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7.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8.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9.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0.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1.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48.xml" ContentType="application/vnd.ms-excel.controlproperties+xml"/>
  <Override PartName="/xl/drawings/drawing15.xml" ContentType="application/vnd.openxmlformats-officedocument.drawing+xml"/>
  <Override PartName="/xl/ctrlProps/ctrlProp49.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neuwirth\Desktop\ALU k nahrání 4.1.2021\29.1.2021\"/>
    </mc:Choice>
  </mc:AlternateContent>
  <xr:revisionPtr revIDLastSave="0" documentId="8_{086389F9-BF38-4C46-832E-E660E8CCCA9F}" xr6:coauthVersionLast="45" xr6:coauthVersionMax="45" xr10:uidLastSave="{00000000-0000-0000-0000-000000000000}"/>
  <bookViews>
    <workbookView showSheetTabs="0" xWindow="-108" yWindow="-108" windowWidth="23256" windowHeight="12576" tabRatio="923" xr2:uid="{00000000-000D-0000-FFFF-FFFF00000000}"/>
  </bookViews>
  <sheets>
    <sheet name="Hlavní" sheetId="97" r:id="rId1"/>
    <sheet name="Zakaznik" sheetId="80" r:id="rId2"/>
    <sheet name="Sklo" sheetId="96" r:id="rId3"/>
    <sheet name="rozpad závěsů bez prázdn. řádků" sheetId="52" state="hidden" r:id="rId4"/>
    <sheet name="Translate &amp; Prices" sheetId="53" state="hidden" r:id="rId5"/>
    <sheet name="Ram_1" sheetId="32" r:id="rId6"/>
    <sheet name="kombinace_1" sheetId="50" state="hidden" r:id="rId7"/>
    <sheet name="závěsy dle výklopu" sheetId="51" state="hidden" r:id="rId8"/>
    <sheet name="Ram_2" sheetId="91" r:id="rId9"/>
    <sheet name="kombinace_2" sheetId="55" state="hidden" r:id="rId10"/>
    <sheet name="Ram_3" sheetId="92" r:id="rId11"/>
    <sheet name="kombinace_3" sheetId="57" state="hidden" r:id="rId12"/>
    <sheet name="Ram_4" sheetId="93" r:id="rId13"/>
    <sheet name="kombinace_4" sheetId="59" state="hidden" r:id="rId14"/>
    <sheet name="Ram_5" sheetId="94" r:id="rId15"/>
    <sheet name="kombinace_5" sheetId="61" state="hidden" r:id="rId16"/>
    <sheet name="Ram_6" sheetId="95" r:id="rId17"/>
    <sheet name="kombinace_6" sheetId="63" state="hidden" r:id="rId18"/>
    <sheet name="Ram_2_zaloha_old" sheetId="81" state="hidden" r:id="rId19"/>
    <sheet name="Posuv" sheetId="73" r:id="rId20"/>
    <sheet name="kombinace_posuv" sheetId="79" state="hidden" r:id="rId21"/>
    <sheet name="_souhrn" sheetId="71" r:id="rId22"/>
    <sheet name="Barevnice" sheetId="44" r:id="rId23"/>
    <sheet name="Typy profilů" sheetId="21" r:id="rId24"/>
    <sheet name="_souhrn (2)" sheetId="99" r:id="rId25"/>
    <sheet name="Posuvné rámečky" sheetId="2" state="hidden" r:id="rId26"/>
    <sheet name="POMOC SEZNAM PANTU" sheetId="29" state="hidden" r:id="rId27"/>
    <sheet name="Běžné rámečky" sheetId="6" state="hidden" r:id="rId28"/>
    <sheet name="Ceny" sheetId="17" state="hidden" r:id="rId29"/>
    <sheet name="Ceny_n" sheetId="30" state="hidden" r:id="rId30"/>
  </sheets>
  <externalReferences>
    <externalReference r:id="rId31"/>
  </externalReferences>
  <definedNames>
    <definedName name="_A1" localSheetId="9">kombinace_2!$R$4:$R$48</definedName>
    <definedName name="_A1" localSheetId="11">kombinace_3!$R$4:$R$48</definedName>
    <definedName name="_A1" localSheetId="13">kombinace_4!$R$4:$R$48</definedName>
    <definedName name="_A1" localSheetId="15">kombinace_5!$R$4:$R$48</definedName>
    <definedName name="_A1" localSheetId="17">kombinace_6!$R$4:$R$48</definedName>
    <definedName name="_A1" localSheetId="20">kombinace_posuv!$R$4:$R$48</definedName>
    <definedName name="_A1">kombinace_1!$R$4:$R$48</definedName>
    <definedName name="_A2" localSheetId="9">kombinace_2!$T$4:$T$7</definedName>
    <definedName name="_A2" localSheetId="11">kombinace_3!$T$4:$T$7</definedName>
    <definedName name="_A2" localSheetId="13">kombinace_4!$T$4:$T$7</definedName>
    <definedName name="_A2" localSheetId="15">kombinace_5!$T$4:$T$7</definedName>
    <definedName name="_A2" localSheetId="17">kombinace_6!$T$4:$T$7</definedName>
    <definedName name="_A2" localSheetId="20">kombinace_posuv!$T$4:$T$7</definedName>
    <definedName name="_A2">kombinace_1!$T$4:$T$7</definedName>
    <definedName name="_A3" localSheetId="9">kombinace_2!$V$4:$V$43</definedName>
    <definedName name="_A3" localSheetId="11">kombinace_3!$V$4:$V$43</definedName>
    <definedName name="_A3" localSheetId="13">kombinace_4!$V$4:$V$43</definedName>
    <definedName name="_A3" localSheetId="15">kombinace_5!$V$4:$V$43</definedName>
    <definedName name="_A3" localSheetId="17">kombinace_6!$V$4:$V$43</definedName>
    <definedName name="_A3" localSheetId="20">kombinace_posuv!$V$4:$V$43</definedName>
    <definedName name="_A3">kombinace_1!$V$4:$V$43</definedName>
    <definedName name="_corleone">kombinace_1!$Q$6:$Q$61</definedName>
    <definedName name="_xlnm._FilterDatabase" localSheetId="28" hidden="1">Ceny!$A$128:$IW$497</definedName>
    <definedName name="_xlnm._FilterDatabase" localSheetId="29" hidden="1">Ceny_n!$A$128:$IZ$497</definedName>
    <definedName name="_xlnm._FilterDatabase" localSheetId="26" hidden="1">'POMOC SEZNAM PANTU'!$A$1:$AJ$55</definedName>
    <definedName name="_xlnm._FilterDatabase" localSheetId="3" hidden="1">'rozpad závěsů bez prázdn. řádků'!$A$1:$F$64</definedName>
    <definedName name="_kombinovane_profily" localSheetId="20">kombinace_posuv!$F$14:$F$19</definedName>
    <definedName name="_kombinovane_profily">kombinace_1!$F$14:$F$19</definedName>
    <definedName name="_N1" localSheetId="9">kombinace_2!$Q$4:$Q$61</definedName>
    <definedName name="_N1" localSheetId="11">kombinace_3!$Q$4:$Q$61</definedName>
    <definedName name="_N1" localSheetId="13">kombinace_4!$Q$4:$Q$61</definedName>
    <definedName name="_N1" localSheetId="15">kombinace_5!$Q$4:$Q$61</definedName>
    <definedName name="_N1" localSheetId="17">kombinace_6!$Q$4:$Q$61</definedName>
    <definedName name="_N1" localSheetId="20">kombinace_posuv!$Q$4:$Q$61</definedName>
    <definedName name="_N1">kombinace_1!$Q$4:$Q$61</definedName>
    <definedName name="_N2" localSheetId="9">kombinace_2!$S$4:$S$19</definedName>
    <definedName name="_N2" localSheetId="11">kombinace_3!$S$4:$S$19</definedName>
    <definedName name="_N2" localSheetId="13">kombinace_4!$S$4:$S$19</definedName>
    <definedName name="_N2" localSheetId="15">kombinace_5!$S$4:$S$19</definedName>
    <definedName name="_N2" localSheetId="17">kombinace_6!$S$4:$S$19</definedName>
    <definedName name="_N2" localSheetId="20">kombinace_posuv!$S$4:$S$19</definedName>
    <definedName name="_N2">kombinace_1!$S$4:$S$19</definedName>
    <definedName name="_N3" localSheetId="9">kombinace_2!$U$4:$U$43</definedName>
    <definedName name="_N3" localSheetId="11">kombinace_3!$U$4:$U$43</definedName>
    <definedName name="_N3" localSheetId="13">kombinace_4!$U$4:$U$43</definedName>
    <definedName name="_N3" localSheetId="15">kombinace_5!$U$4:$U$43</definedName>
    <definedName name="_N3" localSheetId="17">kombinace_6!$U$4:$U$43</definedName>
    <definedName name="_N3" localSheetId="20">kombinace_posuv!$U$4:$U$43</definedName>
    <definedName name="_N3">kombinace_1!$U$4:$U$43</definedName>
    <definedName name="_obrazek" localSheetId="9">IF(kombinace_2!$H$1="PRAVDA",kombinace_2!$G$23,IF(kombinace_2!$H$1="NEPRAVDA",kombinace_2!$G$31,0))</definedName>
    <definedName name="_obrazek" localSheetId="11">IF(kombinace_3!$H$1="PRAVDA",kombinace_3!$G$23,IF(kombinace_3!$H$1="NEPRAVDA",kombinace_3!$G$31,0))</definedName>
    <definedName name="_obrazek" localSheetId="13">IF(kombinace_4!$H$1="PRAVDA",kombinace_4!$G$23,IF(kombinace_4!$H$1="NEPRAVDA",kombinace_4!$G$31,0))</definedName>
    <definedName name="_obrazek" localSheetId="15">IF(kombinace_5!$H$1="PRAVDA",kombinace_5!$G$23,IF(kombinace_5!$H$1="NEPRAVDA",kombinace_5!$G$31,0))</definedName>
    <definedName name="_obrazek" localSheetId="17">IF(kombinace_6!$H$1="PRAVDA",kombinace_6!$G$23,IF(kombinace_6!$H$1="NEPRAVDA",kombinace_6!$G$31,0))</definedName>
    <definedName name="_obrazek" localSheetId="20">IF(kombinace_posuv!$H$1="PRAVDA",kombinace_posuv!$G$23,IF(kombinace_posuv!$H$1="NEPRAVDA",kombinace_posuv!$G$31,0))</definedName>
    <definedName name="_obrazek">IF(kombinace_1!$H$1="PRAVDA",kombinace_1!$G$23,IF(kombinace_1!$H$1="NEPRAVDA",kombinace_1!$G$31,0))</definedName>
    <definedName name="_pocet_sprzosy" localSheetId="9">kombinace_2!$BY$18:$BY$27</definedName>
    <definedName name="_pocet_sprzosy" localSheetId="11">kombinace_3!$BY$18:$BY$27</definedName>
    <definedName name="_pocet_sprzosy" localSheetId="13">kombinace_4!$BY$18:$BY$27</definedName>
    <definedName name="_pocet_sprzosy" localSheetId="15">kombinace_5!$BY$18:$BY$27</definedName>
    <definedName name="_pocet_sprzosy" localSheetId="17">kombinace_6!$BY$18:$BY$27</definedName>
    <definedName name="_pocet_sprzosy" localSheetId="20">kombinace_posuv!$BY$18:$BY$27</definedName>
    <definedName name="_pocet_sprzosy">kombinace_1!$BY$18:$BY$27</definedName>
    <definedName name="_ramena_HL">'Translate &amp; Prices'!$B$596:$B$604</definedName>
    <definedName name="_strong_klopna">'Translate &amp; Prices'!$B$594:$B$595</definedName>
    <definedName name="_strong_vzpera_horni">'Translate &amp; Prices'!$B$573:$B$592</definedName>
    <definedName name="_široký_Automatická_vzpěra" localSheetId="9">kombinace_2!$DH$5:$DH$10</definedName>
    <definedName name="_široký_Automatická_vzpěra" localSheetId="11">kombinace_3!$DH$5:$DH$10</definedName>
    <definedName name="_široký_Automatická_vzpěra" localSheetId="13">kombinace_4!$DH$5:$DH$10</definedName>
    <definedName name="_široký_Automatická_vzpěra" localSheetId="15">kombinace_5!$DH$5:$DH$10</definedName>
    <definedName name="_široký_Automatická_vzpěra" localSheetId="17">kombinace_6!$DH$5:$DH$10</definedName>
    <definedName name="_široký_Automatická_vzpěra" localSheetId="20">kombinace_posuv!$DH$5:$DH$10</definedName>
    <definedName name="_široký_Aventos_HF" localSheetId="9">kombinace_2!$CH$5</definedName>
    <definedName name="_široký_Aventos_HF" localSheetId="11">kombinace_3!$CH$5</definedName>
    <definedName name="_široký_Aventos_HF" localSheetId="13">kombinace_4!$CH$5</definedName>
    <definedName name="_široký_Aventos_HF" localSheetId="15">kombinace_5!$CH$5</definedName>
    <definedName name="_široký_Aventos_HF" localSheetId="17">kombinace_6!$CH$5</definedName>
    <definedName name="_široký_Aventos_HF" localSheetId="20">kombinace_posuv!$CH$5</definedName>
    <definedName name="_široký_Aventos_HF">kombinace_1!$CH$5</definedName>
    <definedName name="_široký_Aventos_HK_XS" localSheetId="9">kombinace_2!$CJ$5</definedName>
    <definedName name="_široký_Aventos_HK_XS" localSheetId="11">kombinace_3!$CJ$5</definedName>
    <definedName name="_široký_Aventos_HK_XS" localSheetId="13">kombinace_4!$CJ$5</definedName>
    <definedName name="_široký_Aventos_HK_XS" localSheetId="15">kombinace_5!$CJ$5</definedName>
    <definedName name="_široký_Aventos_HK_XS" localSheetId="17">kombinace_6!$CJ$5</definedName>
    <definedName name="_široký_Aventos_HK_XS" localSheetId="20">kombinace_posuv!$CJ$5</definedName>
    <definedName name="_široký_Aventos_HK_XS">kombinace_1!$CJ$5</definedName>
    <definedName name="_široký_BLUM_naložený">'rozpad závěsů bez prázdn. řádků'!$G$23:$G$26</definedName>
    <definedName name="_široký_BLUM_polonaložený">'rozpad závěsů bez prázdn. řádků'!$G$27:$G$30</definedName>
    <definedName name="_široký_BLUM_vložený">'rozpad závěsů bez prázdn. řádků'!$G$31:$G$34</definedName>
    <definedName name="_široký_Duo" localSheetId="9">kombinace_2!$CT$5:$CT$10</definedName>
    <definedName name="_široký_Duo" localSheetId="11">kombinace_3!$CT$5:$CT$10</definedName>
    <definedName name="_široký_Duo" localSheetId="13">kombinace_4!$CT$5:$CT$10</definedName>
    <definedName name="_široký_Duo" localSheetId="15">kombinace_5!$CT$5:$CT$10</definedName>
    <definedName name="_široký_Duo" localSheetId="17">kombinace_6!$CT$5:$CT$10</definedName>
    <definedName name="_široký_Duo" localSheetId="20">kombinace_posuv!$CT$5:$CT$10</definedName>
    <definedName name="_široký_Duo">kombinace_1!$CT$5:$CT$10</definedName>
    <definedName name="_široký_Duo_Forte" localSheetId="9">kombinace_2!$CR$5:$CR$10</definedName>
    <definedName name="_široký_Duo_Forte" localSheetId="11">kombinace_3!$CR$5:$CR$10</definedName>
    <definedName name="_široký_Duo_Forte" localSheetId="13">kombinace_4!$CR$5:$CR$10</definedName>
    <definedName name="_široký_Duo_Forte" localSheetId="15">kombinace_5!$CR$5:$CR$10</definedName>
    <definedName name="_široký_Duo_Forte" localSheetId="17">kombinace_6!$CR$5:$CR$10</definedName>
    <definedName name="_široký_Duo_Forte" localSheetId="20">kombinace_posuv!$CR$5:$CR$10</definedName>
    <definedName name="_široký_Duo_Forte">kombinace_1!$CR$5:$CR$10</definedName>
    <definedName name="_široký_FREEfold" localSheetId="9">kombinace_2!$CN$5:$CN$10</definedName>
    <definedName name="_široký_FREEfold" localSheetId="11">kombinace_3!$CN$5:$CN$10</definedName>
    <definedName name="_široký_FREEfold" localSheetId="13">kombinace_4!$CN$5:$CN$10</definedName>
    <definedName name="_široký_FREEfold" localSheetId="15">kombinace_5!$CN$5:$CN$10</definedName>
    <definedName name="_široký_FREEfold" localSheetId="17">kombinace_6!$CN$5:$CN$10</definedName>
    <definedName name="_široký_FREEfold" localSheetId="20">kombinace_posuv!$CN$5:$CN$10</definedName>
    <definedName name="_široký_FREEfold">kombinace_1!$CN$5:$CN$10</definedName>
    <definedName name="_široký_FREElight" localSheetId="9">kombinace_2!$CL$5:$CL$10</definedName>
    <definedName name="_široký_FREElight" localSheetId="11">kombinace_3!$CL$5:$CL$10</definedName>
    <definedName name="_široký_FREElight" localSheetId="13">kombinace_4!$CL$5:$CL$10</definedName>
    <definedName name="_široký_FREElight" localSheetId="15">kombinace_5!$CL$5:$CL$10</definedName>
    <definedName name="_široký_FREElight" localSheetId="17">kombinace_6!$CL$5:$CL$10</definedName>
    <definedName name="_široký_FREElight" localSheetId="20">kombinace_posuv!$CL$5:$CL$10</definedName>
    <definedName name="_široký_FREElight">kombinace_1!$CL$5:$CL$10</definedName>
    <definedName name="_široký_HETTICH_naložený">'rozpad závěsů bez prázdn. řádků'!$G$35:$G$39</definedName>
    <definedName name="_široký_HETTICH_polonaložený">'rozpad závěsů bez prázdn. řádků'!$G$40:$G$44</definedName>
    <definedName name="_široký_HETTICH_vložený">'rozpad závěsů bez prázdn. řádků'!$G$45:$G$49</definedName>
    <definedName name="_široký_K12" localSheetId="9">kombinace_2!$CV$5:$CV$10</definedName>
    <definedName name="_široký_K12" localSheetId="11">kombinace_3!$CV$5:$CV$10</definedName>
    <definedName name="_široký_K12" localSheetId="13">kombinace_4!$CV$5:$CV$10</definedName>
    <definedName name="_široký_K12" localSheetId="15">kombinace_5!$CV$5:$CV$10</definedName>
    <definedName name="_široký_K12" localSheetId="17">kombinace_6!$CV$5:$CV$10</definedName>
    <definedName name="_široký_K12" localSheetId="20">kombinace_posuv!$CV$5:$CV$10</definedName>
    <definedName name="_široký_K12">kombinace_1!$CV$5:$CV$10</definedName>
    <definedName name="_široký_Kiaro" localSheetId="9">kombinace_2!$DD$5:$DD$8</definedName>
    <definedName name="_široký_Kiaro" localSheetId="11">kombinace_3!$DD$5:$DD$8</definedName>
    <definedName name="_široký_Kiaro" localSheetId="13">kombinace_4!$DD$5:$DD$8</definedName>
    <definedName name="_široký_Kiaro" localSheetId="15">kombinace_5!$DD$5:$DD$8</definedName>
    <definedName name="_široký_Kiaro" localSheetId="17">kombinace_6!$DD$5:$DD$8</definedName>
    <definedName name="_široký_Kiaro" localSheetId="20">kombinace_posuv!$DD$5:$DD$8</definedName>
    <definedName name="_široký_Kiaro">kombinace_1!$DD$5:$DD$8</definedName>
    <definedName name="_široký_Kraby" localSheetId="9">kombinace_2!$CZ$5:$CZ$10</definedName>
    <definedName name="_široký_Kraby" localSheetId="11">kombinace_3!$CZ$5:$CZ$10</definedName>
    <definedName name="_široký_Kraby" localSheetId="13">kombinace_4!$CZ$5:$CZ$10</definedName>
    <definedName name="_široký_Kraby" localSheetId="15">kombinace_5!$CZ$5:$CZ$10</definedName>
    <definedName name="_široký_Kraby" localSheetId="17">kombinace_6!$CZ$5:$CZ$10</definedName>
    <definedName name="_široký_Kraby" localSheetId="20">kombinace_posuv!$CZ$5:$CZ$10</definedName>
    <definedName name="_široký_Kraby">kombinace_1!$CZ$5:$CZ$10</definedName>
    <definedName name="_široký_LiftMini" localSheetId="9">kombinace_2!$DL$5:$DL$8</definedName>
    <definedName name="_široký_LiftMini" localSheetId="11">kombinace_3!$DL$5:$DL$8</definedName>
    <definedName name="_široký_LiftMini" localSheetId="13">kombinace_4!$DL$5:$DL$8</definedName>
    <definedName name="_široký_LiftMini" localSheetId="15">kombinace_5!$DL$5:$DL$8</definedName>
    <definedName name="_široký_LiftMini" localSheetId="17">kombinace_6!$DL$5:$DL$8</definedName>
    <definedName name="_široký_LiftMini" localSheetId="20">kombinace_posuv!$DL$5:$DL$8</definedName>
    <definedName name="_široký_LiftMini">kombinace_1!$DL$5:$DL$8</definedName>
    <definedName name="_široký_Link" localSheetId="9">kombinace_2!$DF$5:$DF$8</definedName>
    <definedName name="_široký_Link" localSheetId="11">kombinace_3!$DF$5:$DF$8</definedName>
    <definedName name="_široký_Link" localSheetId="13">kombinace_4!$DF$5:$DF$8</definedName>
    <definedName name="_široký_Link" localSheetId="15">kombinace_5!$DF$5:$DF$8</definedName>
    <definedName name="_široký_Link" localSheetId="17">kombinace_6!$DF$5:$DF$8</definedName>
    <definedName name="_široký_Link" localSheetId="20">kombinace_posuv!$DF$5:$DF$8</definedName>
    <definedName name="_široký_Link">kombinace_1!$DF$5:$DF$8</definedName>
    <definedName name="_široký_Maxi" localSheetId="9">kombinace_2!$CP$5:$CP$10</definedName>
    <definedName name="_široký_Maxi" localSheetId="11">kombinace_3!$CP$5:$CP$10</definedName>
    <definedName name="_široký_Maxi" localSheetId="13">kombinace_4!$CP$5:$CP$10</definedName>
    <definedName name="_široký_Maxi" localSheetId="15">kombinace_5!$CP$5:$CP$10</definedName>
    <definedName name="_široký_Maxi" localSheetId="17">kombinace_6!$CP$5:$CP$10</definedName>
    <definedName name="_široký_Maxi" localSheetId="20">kombinace_posuv!$CP$5:$CP$10</definedName>
    <definedName name="_široký_Maxi">kombinace_1!$CP$5:$CP$10</definedName>
    <definedName name="_široký_Polohovací_vzpěra" localSheetId="9">kombinace_2!$DJ$5:$DJ$10</definedName>
    <definedName name="_široký_Polohovací_vzpěra" localSheetId="11">kombinace_3!$DJ$5:$DJ$10</definedName>
    <definedName name="_široký_Polohovací_vzpěra" localSheetId="13">kombinace_4!$DJ$5:$DJ$10</definedName>
    <definedName name="_široký_Polohovací_vzpěra" localSheetId="15">kombinace_5!$DJ$5:$DJ$10</definedName>
    <definedName name="_široký_Polohovací_vzpěra" localSheetId="17">kombinace_6!$DJ$5:$DJ$10</definedName>
    <definedName name="_široký_Polohovací_vzpěra" localSheetId="20">kombinace_posuv!$DJ$5:$DJ$10</definedName>
    <definedName name="_široký_Spodní_K12" localSheetId="9">kombinace_2!$CX$5:$CX$8</definedName>
    <definedName name="_široký_Spodní_K12" localSheetId="11">kombinace_3!$CX$5:$CX$8</definedName>
    <definedName name="_široký_Spodní_K12" localSheetId="13">kombinace_4!$CX$5:$CX$8</definedName>
    <definedName name="_široký_Spodní_K12" localSheetId="15">kombinace_5!$CX$5:$CX$8</definedName>
    <definedName name="_široký_Spodní_K12" localSheetId="17">kombinace_6!$CX$5:$CX$8</definedName>
    <definedName name="_široký_Spodní_K12" localSheetId="20">kombinace_posuv!$CX$5:$CX$8</definedName>
    <definedName name="_široký_Spodní_K12">kombinace_1!$CX$5:$CX$8</definedName>
    <definedName name="_široký_Spodní_Kraby" localSheetId="9">kombinace_2!$DB$5:$DB$8</definedName>
    <definedName name="_široký_Spodní_Kraby" localSheetId="11">kombinace_3!$DB$5:$DB$8</definedName>
    <definedName name="_široký_Spodní_Kraby" localSheetId="13">kombinace_4!$DB$5:$DB$8</definedName>
    <definedName name="_široký_Spodní_Kraby" localSheetId="15">kombinace_5!$DB$5:$DB$8</definedName>
    <definedName name="_široký_Spodní_Kraby" localSheetId="17">kombinace_6!$DB$5:$DB$8</definedName>
    <definedName name="_široký_Spodní_Kraby" localSheetId="20">kombinace_posuv!$DB$5:$DB$8</definedName>
    <definedName name="_široký_Spodní_Kraby">kombinace_1!$DB$5:$DB$8</definedName>
    <definedName name="_široký_Strong_horní">kombinace_1!$DH$5:$DH$10</definedName>
    <definedName name="_široký_STRONG_naložený">'rozpad závěsů bez prázdn. řádků'!$G$50:$G$51</definedName>
    <definedName name="_široký_STRONG_PLUS_naložený">'rozpad závěsů bez prázdn. řádků'!$G$56:$G$58</definedName>
    <definedName name="_široký_STRONG_PLUS_polonaložený">'rozpad závěsů bez prázdn. řádků'!$G$59:$G$61</definedName>
    <definedName name="_široký_STRONG_PLUS_vložený">'rozpad závěsů bez prázdn. řádků'!$G$62:$G$64</definedName>
    <definedName name="_široký_STRONG_polonaložený">'rozpad závěsů bez prázdn. řádků'!$G$52:$G$53</definedName>
    <definedName name="_široký_Strong_spodní">kombinace_1!$DJ$5:$DJ$10</definedName>
    <definedName name="_široký_STRONG_vložený">'rozpad závěsů bez prázdn. řádků'!$G$54:$G$55</definedName>
    <definedName name="_umisteni_zavesu" localSheetId="20">kombinace_posuv!$BY$3:$BY$6</definedName>
    <definedName name="_umisteni_zavesu">kombinace_1!$BY$3:$BY$6</definedName>
    <definedName name="_umisteni_zavesu_vyklop" localSheetId="20">kombinace_posuv!$BY$5:$BY$6</definedName>
    <definedName name="_umisteni_zavesu_vyklop">kombinace_1!$BY$5:$BY$6</definedName>
    <definedName name="_Úzký_Automatická_vzpěra" localSheetId="9">kombinace_2!$DG$5:$DG$12</definedName>
    <definedName name="_Úzký_Automatická_vzpěra" localSheetId="11">kombinace_3!$DG$5:$DG$12</definedName>
    <definedName name="_Úzký_Automatická_vzpěra" localSheetId="13">kombinace_4!$DG$5:$DG$12</definedName>
    <definedName name="_Úzký_Automatická_vzpěra" localSheetId="15">kombinace_5!$DG$5:$DG$12</definedName>
    <definedName name="_Úzký_Automatická_vzpěra" localSheetId="17">kombinace_6!$DG$5:$DG$12</definedName>
    <definedName name="_Úzký_Automatická_vzpěra" localSheetId="20">kombinace_posuv!$DG$5:$DG$12</definedName>
    <definedName name="_Úzký_Aventos_HF" localSheetId="9">kombinace_2!$CG$5</definedName>
    <definedName name="_Úzký_Aventos_HF" localSheetId="11">kombinace_3!$CG$5</definedName>
    <definedName name="_Úzký_Aventos_HF" localSheetId="13">kombinace_4!$CG$5</definedName>
    <definedName name="_Úzký_Aventos_HF" localSheetId="15">kombinace_5!$CG$5</definedName>
    <definedName name="_Úzký_Aventos_HF" localSheetId="17">kombinace_6!$CG$5</definedName>
    <definedName name="_Úzký_Aventos_HF" localSheetId="20">kombinace_posuv!$CG$5</definedName>
    <definedName name="_Úzký_Aventos_HF">kombinace_1!$CG$5</definedName>
    <definedName name="_Úzký_Aventos_HK_XS" localSheetId="9">kombinace_2!$CI$5</definedName>
    <definedName name="_Úzký_Aventos_HK_XS" localSheetId="11">kombinace_3!$CI$5</definedName>
    <definedName name="_Úzký_Aventos_HK_XS" localSheetId="13">kombinace_4!$CI$5</definedName>
    <definedName name="_Úzký_Aventos_HK_XS" localSheetId="15">kombinace_5!$CI$5</definedName>
    <definedName name="_Úzký_Aventos_HK_XS" localSheetId="17">kombinace_6!$CI$5</definedName>
    <definedName name="_Úzký_Aventos_HK_XS" localSheetId="20">kombinace_posuv!$CI$5</definedName>
    <definedName name="_Úzký_Aventos_HK_XS">kombinace_1!$CI$5</definedName>
    <definedName name="_úzký_BLUM_naložený">'rozpad závěsů bez prázdn. řádků'!$G$2:$G$5</definedName>
    <definedName name="_úzký_BLUM_polonaložený">'rozpad závěsů bez prázdn. řádků'!$G$6:$G$7</definedName>
    <definedName name="_úzký_BLUM_vložený">'rozpad závěsů bez prázdn. řádků'!$G$8:$G$9</definedName>
    <definedName name="_Úzký_Duo" localSheetId="9">kombinace_2!$CS$5:$CS$12</definedName>
    <definedName name="_Úzký_Duo" localSheetId="11">kombinace_3!$CS$5:$CS$12</definedName>
    <definedName name="_Úzký_Duo" localSheetId="13">kombinace_4!$CS$5:$CS$12</definedName>
    <definedName name="_Úzký_Duo" localSheetId="15">kombinace_5!$CS$5:$CS$12</definedName>
    <definedName name="_Úzký_Duo" localSheetId="17">kombinace_6!$CS$5:$CS$12</definedName>
    <definedName name="_Úzký_Duo" localSheetId="20">kombinace_posuv!$CS$5:$CS$12</definedName>
    <definedName name="_Úzký_Duo">kombinace_1!$CS$5:$CS$12</definedName>
    <definedName name="_Úzký_Duo_Forte" localSheetId="9">kombinace_2!$CQ$5:$CQ$12</definedName>
    <definedName name="_Úzký_Duo_Forte" localSheetId="11">kombinace_3!$CQ$5:$CQ$12</definedName>
    <definedName name="_Úzký_Duo_Forte" localSheetId="13">kombinace_4!$CQ$5:$CQ$12</definedName>
    <definedName name="_Úzký_Duo_Forte" localSheetId="15">kombinace_5!$CQ$5:$CQ$12</definedName>
    <definedName name="_Úzký_Duo_Forte" localSheetId="17">kombinace_6!$CQ$5:$CQ$12</definedName>
    <definedName name="_Úzký_Duo_Forte" localSheetId="20">kombinace_posuv!$CQ$5:$CQ$12</definedName>
    <definedName name="_Úzký_Duo_Forte">kombinace_1!$CQ$5:$CQ$12</definedName>
    <definedName name="_Úzký_FREEfold" localSheetId="9">kombinace_2!$CM$5:$CM$12</definedName>
    <definedName name="_Úzký_FREEfold" localSheetId="11">kombinace_3!$CM$5:$CM$12</definedName>
    <definedName name="_Úzký_FREEfold" localSheetId="13">kombinace_4!$CM$5:$CM$12</definedName>
    <definedName name="_Úzký_FREEfold" localSheetId="15">kombinace_5!$CM$5:$CM$12</definedName>
    <definedName name="_Úzký_FREEfold" localSheetId="17">kombinace_6!$CM$5:$CM$12</definedName>
    <definedName name="_Úzký_FREEfold" localSheetId="20">kombinace_posuv!$CM$5:$CM$12</definedName>
    <definedName name="_Úzký_FREEfold">kombinace_1!$CM$5:$CM$12</definedName>
    <definedName name="_Úzký_FREElight" localSheetId="9">kombinace_2!$CK$5:$CK$12</definedName>
    <definedName name="_Úzký_FREElight" localSheetId="11">kombinace_3!$CK$5:$CK$12</definedName>
    <definedName name="_Úzký_FREElight" localSheetId="13">kombinace_4!$CK$5:$CK$12</definedName>
    <definedName name="_Úzký_FREElight" localSheetId="15">kombinace_5!$CK$5:$CK$12</definedName>
    <definedName name="_Úzký_FREElight" localSheetId="17">kombinace_6!$CK$5:$CK$12</definedName>
    <definedName name="_Úzký_FREElight" localSheetId="20">kombinace_posuv!$CK$5:$CK$12</definedName>
    <definedName name="_Úzký_FREElight">kombinace_1!$CK$5:$CK$12</definedName>
    <definedName name="_úzký_HETTICH_naložený">'rozpad závěsů bez prázdn. řádků'!$G$10:$G$13</definedName>
    <definedName name="_úzký_HETTICH_polonaložený">'rozpad závěsů bez prázdn. řádků'!$G$14:$G$16</definedName>
    <definedName name="_úzký_HETTICH_vložený">'rozpad závěsů bez prázdn. řádků'!$G$17:$G$19</definedName>
    <definedName name="_Úzký_K12" localSheetId="9">kombinace_2!$CU$5:$CU$12</definedName>
    <definedName name="_Úzký_K12" localSheetId="11">kombinace_3!$CU$5:$CU$12</definedName>
    <definedName name="_Úzký_K12" localSheetId="13">kombinace_4!$CU$5:$CU$12</definedName>
    <definedName name="_Úzký_K12" localSheetId="15">kombinace_5!$CU$5:$CU$12</definedName>
    <definedName name="_Úzký_K12" localSheetId="17">kombinace_6!$CU$5:$CU$12</definedName>
    <definedName name="_Úzký_K12" localSheetId="20">kombinace_posuv!$CU$5:$CU$12</definedName>
    <definedName name="_Úzký_K12">kombinace_1!$CU$5:$CU$12</definedName>
    <definedName name="_Úzký_Kiaro" localSheetId="9">kombinace_2!$DC$5:$DC$7</definedName>
    <definedName name="_Úzký_Kiaro" localSheetId="11">kombinace_3!$DC$5:$DC$7</definedName>
    <definedName name="_Úzký_Kiaro" localSheetId="13">kombinace_4!$DC$5:$DC$7</definedName>
    <definedName name="_Úzký_Kiaro" localSheetId="15">kombinace_5!$DC$5:$DC$7</definedName>
    <definedName name="_Úzký_Kiaro" localSheetId="17">kombinace_6!$DC$5:$DC$7</definedName>
    <definedName name="_Úzký_Kiaro" localSheetId="20">kombinace_posuv!$DC$5:$DC$7</definedName>
    <definedName name="_Úzký_Kiaro">kombinace_1!$DC$5:$DC$7</definedName>
    <definedName name="_Úzký_Kraby" localSheetId="9">kombinace_2!$CY$5:$CY$12</definedName>
    <definedName name="_Úzký_Kraby" localSheetId="11">kombinace_3!$CY$5:$CY$12</definedName>
    <definedName name="_Úzký_Kraby" localSheetId="13">kombinace_4!$CY$5:$CY$12</definedName>
    <definedName name="_Úzký_Kraby" localSheetId="15">kombinace_5!$CY$5:$CY$12</definedName>
    <definedName name="_Úzký_Kraby" localSheetId="17">kombinace_6!$CY$5:$CY$12</definedName>
    <definedName name="_Úzký_Kraby" localSheetId="20">kombinace_posuv!$CY$5:$CY$12</definedName>
    <definedName name="_Úzký_Kraby">kombinace_1!$CY$5:$CY$12</definedName>
    <definedName name="_Úzký_LiftMini" localSheetId="9">kombinace_2!$DK$5:$DK$7</definedName>
    <definedName name="_Úzký_LiftMini" localSheetId="11">kombinace_3!$DK$5:$DK$7</definedName>
    <definedName name="_Úzký_LiftMini" localSheetId="13">kombinace_4!$DK$5:$DK$7</definedName>
    <definedName name="_Úzký_LiftMini" localSheetId="15">kombinace_5!$DK$5:$DK$7</definedName>
    <definedName name="_Úzký_LiftMini" localSheetId="17">kombinace_6!$DK$5:$DK$7</definedName>
    <definedName name="_Úzký_LiftMini" localSheetId="20">kombinace_posuv!$DK$5:$DK$7</definedName>
    <definedName name="_Úzký_LiftMini">kombinace_1!$DK$5:$DK$7</definedName>
    <definedName name="_Úzký_Link" localSheetId="9">kombinace_2!$DE$5:$DE$7</definedName>
    <definedName name="_Úzký_Link" localSheetId="11">kombinace_3!$DE$5:$DE$7</definedName>
    <definedName name="_Úzký_Link" localSheetId="13">kombinace_4!$DE$5:$DE$7</definedName>
    <definedName name="_Úzký_Link" localSheetId="15">kombinace_5!$DE$5:$DE$7</definedName>
    <definedName name="_Úzký_Link" localSheetId="17">kombinace_6!$DE$5:$DE$7</definedName>
    <definedName name="_Úzký_Link" localSheetId="20">kombinace_posuv!$DE$5:$DE$7</definedName>
    <definedName name="_Úzký_Link">kombinace_1!$DE$5:$DE$7</definedName>
    <definedName name="_Úzký_Maxi" localSheetId="9">kombinace_2!$CO$5:$CO$12</definedName>
    <definedName name="_Úzký_Maxi" localSheetId="11">kombinace_3!$CO$5:$CO$12</definedName>
    <definedName name="_Úzký_Maxi" localSheetId="13">kombinace_4!$CO$5:$CO$12</definedName>
    <definedName name="_Úzký_Maxi" localSheetId="15">kombinace_5!$CO$5:$CO$12</definedName>
    <definedName name="_Úzký_Maxi" localSheetId="17">kombinace_6!$CO$5:$CO$12</definedName>
    <definedName name="_Úzký_Maxi" localSheetId="20">kombinace_posuv!$CO$5:$CO$12</definedName>
    <definedName name="_Úzký_Maxi">kombinace_1!$CO$5:$CO$12</definedName>
    <definedName name="_Úzký_Polohovací_vzpěra" localSheetId="9">kombinace_2!$DI$5:$DI$12</definedName>
    <definedName name="_Úzký_Polohovací_vzpěra" localSheetId="11">kombinace_3!$DI$5:$DI$12</definedName>
    <definedName name="_Úzký_Polohovací_vzpěra" localSheetId="13">kombinace_4!$DI$5:$DI$12</definedName>
    <definedName name="_Úzký_Polohovací_vzpěra" localSheetId="15">kombinace_5!$DI$5:$DI$12</definedName>
    <definedName name="_Úzký_Polohovací_vzpěra" localSheetId="17">kombinace_6!$DI$5:$DI$12</definedName>
    <definedName name="_Úzký_Polohovací_vzpěra" localSheetId="20">kombinace_posuv!$DI$5:$DI$12</definedName>
    <definedName name="_Úzký_Spodní_K12" localSheetId="9">kombinace_2!$CW$5:$CW$7</definedName>
    <definedName name="_Úzký_Spodní_K12" localSheetId="11">kombinace_3!$CW$5:$CW$7</definedName>
    <definedName name="_Úzký_Spodní_K12" localSheetId="13">kombinace_4!$CW$5:$CW$7</definedName>
    <definedName name="_Úzký_Spodní_K12" localSheetId="15">kombinace_5!$CW$5:$CW$7</definedName>
    <definedName name="_Úzký_Spodní_K12" localSheetId="17">kombinace_6!$CW$5:$CW$7</definedName>
    <definedName name="_Úzký_Spodní_K12" localSheetId="20">kombinace_posuv!$CW$5:$CW$7</definedName>
    <definedName name="_Úzký_Spodní_K12">kombinace_1!$CW$5:$CW$7</definedName>
    <definedName name="_Úzký_Spodní_Kraby" localSheetId="9">kombinace_2!$DA$5:$DA$7</definedName>
    <definedName name="_Úzký_Spodní_Kraby" localSheetId="11">kombinace_3!$DA$5:$DA$7</definedName>
    <definedName name="_Úzký_Spodní_Kraby" localSheetId="13">kombinace_4!$DA$5:$DA$7</definedName>
    <definedName name="_Úzký_Spodní_Kraby" localSheetId="15">kombinace_5!$DA$5:$DA$7</definedName>
    <definedName name="_Úzký_Spodní_Kraby" localSheetId="17">kombinace_6!$DA$5:$DA$7</definedName>
    <definedName name="_Úzký_Spodní_Kraby" localSheetId="20">kombinace_posuv!$DA$5:$DA$7</definedName>
    <definedName name="_Úzký_Spodní_Kraby">kombinace_1!$DA$5:$DA$7</definedName>
    <definedName name="_Úzký_Strong_horní">kombinace_1!$DG$5:$DG$12</definedName>
    <definedName name="_úzký_STRONG_naložený">'rozpad závěsů bez prázdn. řádků'!$G$20</definedName>
    <definedName name="_úzký_STRONG_PLUS_naložený">'rozpad závěsů bez prázdn. řádků'!$G$21:$G$22</definedName>
    <definedName name="_Úzký_Strong_spodní">kombinace_1!$DI$5:$DI$12</definedName>
    <definedName name="_varna_panty_svisle">'Translate &amp; Prices'!$M$548:$M$550</definedName>
    <definedName name="_vše_profily" localSheetId="20">kombinace_posuv!$A$3:$A$47</definedName>
    <definedName name="_vše_profily">kombinace_1!$A$3:$A$49</definedName>
    <definedName name="_vyklopy_blum" localSheetId="9">kombinace_2!$AB$4:$AB$9</definedName>
    <definedName name="_vyklopy_blum" localSheetId="11">kombinace_3!$AB$4:$AB$9</definedName>
    <definedName name="_vyklopy_blum" localSheetId="13">kombinace_4!$AB$4:$AB$9</definedName>
    <definedName name="_vyklopy_blum" localSheetId="15">kombinace_5!$AB$4:$AB$9</definedName>
    <definedName name="_vyklopy_blum" localSheetId="17">kombinace_6!$AB$4:$AB$9</definedName>
    <definedName name="_vyklopy_blum" localSheetId="20">kombinace_posuv!$AB$4:$AB$9</definedName>
    <definedName name="_vyklopy_blum">kombinace_1!$AB$4:$AB$9</definedName>
    <definedName name="_vyklopy_hettich" localSheetId="9">kombinace_2!$AB$43:$AB$45</definedName>
    <definedName name="_vyklopy_hettich" localSheetId="11">kombinace_3!$AB$43:$AB$45</definedName>
    <definedName name="_vyklopy_hettich" localSheetId="13">kombinace_4!$AB$43:$AB$45</definedName>
    <definedName name="_vyklopy_hettich" localSheetId="15">kombinace_5!$AB$43:$AB$45</definedName>
    <definedName name="_vyklopy_hettich" localSheetId="17">kombinace_6!$AB$43:$AB$45</definedName>
    <definedName name="_vyklopy_hettich" localSheetId="20">kombinace_posuv!$AB$43:$AB$45</definedName>
    <definedName name="_vyklopy_hettich">kombinace_1!$AB$43:$AB$45</definedName>
    <definedName name="_vyklopy_italiana" localSheetId="9">kombinace_2!$AB$29:$AB$34</definedName>
    <definedName name="_vyklopy_italiana" localSheetId="11">kombinace_3!$AB$29:$AB$34</definedName>
    <definedName name="_vyklopy_italiana" localSheetId="13">kombinace_4!$AB$29:$AB$34</definedName>
    <definedName name="_vyklopy_italiana" localSheetId="15">kombinace_5!$AB$29:$AB$34</definedName>
    <definedName name="_vyklopy_italiana" localSheetId="17">kombinace_6!$AB$29:$AB$34</definedName>
    <definedName name="_vyklopy_italiana" localSheetId="20">kombinace_posuv!$AB$29:$AB$34</definedName>
    <definedName name="_vyklopy_italiana">kombinace_1!$AB$29:$AB$34</definedName>
    <definedName name="_vyklopy_kesse" localSheetId="9">kombinace_2!$AB$15:$AB$23</definedName>
    <definedName name="_vyklopy_kesse" localSheetId="11">kombinace_3!$AB$15:$AB$23</definedName>
    <definedName name="_vyklopy_kesse" localSheetId="13">kombinace_4!$AB$15:$AB$23</definedName>
    <definedName name="_vyklopy_kesse" localSheetId="15">kombinace_5!$AB$15:$AB$23</definedName>
    <definedName name="_vyklopy_kesse" localSheetId="17">kombinace_6!$AB$15:$AB$23</definedName>
    <definedName name="_vyklopy_kesse" localSheetId="20">kombinace_posuv!$AB$15:$AB$23</definedName>
    <definedName name="_vyklopy_kesse">kombinace_1!$AB$15:$AB$23</definedName>
    <definedName name="_vyklopy_strong" localSheetId="9">kombinace_2!$AB$40:$AB$41</definedName>
    <definedName name="_vyklopy_strong" localSheetId="11">kombinace_3!$AB$40:$AB$41</definedName>
    <definedName name="_vyklopy_strong" localSheetId="13">kombinace_4!$AB$40:$AB$41</definedName>
    <definedName name="_vyklopy_strong" localSheetId="15">kombinace_5!$AB$40:$AB$41</definedName>
    <definedName name="_vyklopy_strong" localSheetId="17">kombinace_6!$AB$40:$AB$41</definedName>
    <definedName name="_vyklopy_strong" localSheetId="20">kombinace_posuv!$AB$40:$AB$41</definedName>
    <definedName name="_vyklopy_strong">kombinace_1!$AB$40:$AB$41</definedName>
    <definedName name="_zavesy_blum" localSheetId="9">kombinace_2!$AZ$10:$AZ$14</definedName>
    <definedName name="_zavesy_blum" localSheetId="11">kombinace_3!$AZ$10:$AZ$14</definedName>
    <definedName name="_zavesy_blum" localSheetId="13">kombinace_4!$AZ$10:$AZ$14</definedName>
    <definedName name="_zavesy_blum" localSheetId="15">kombinace_5!$AZ$10:$AZ$14</definedName>
    <definedName name="_zavesy_blum" localSheetId="17">kombinace_6!$AZ$10:$AZ$14</definedName>
    <definedName name="_zavesy_blum" localSheetId="20">kombinace_posuv!$AZ$10:$AZ$14</definedName>
    <definedName name="_zavesy_blum">kombinace_1!$AZ$10:$AZ$14</definedName>
    <definedName name="_zavesy_hettich" localSheetId="9">kombinace_2!$AZ$4:$AZ$8</definedName>
    <definedName name="_zavesy_hettich" localSheetId="11">kombinace_3!$AZ$4:$AZ$8</definedName>
    <definedName name="_zavesy_hettich" localSheetId="13">kombinace_4!$AZ$4:$AZ$8</definedName>
    <definedName name="_zavesy_hettich" localSheetId="15">kombinace_5!$AZ$4:$AZ$8</definedName>
    <definedName name="_zavesy_hettich" localSheetId="17">kombinace_6!$AZ$4:$AZ$8</definedName>
    <definedName name="_zavesy_hettich" localSheetId="20">kombinace_posuv!$AZ$4:$AZ$8</definedName>
    <definedName name="_zavesy_hettich">kombinace_1!$AZ$4:$AZ$8</definedName>
    <definedName name="_zavesy_kombo">kombinace_1!$BY$32:$BY$33</definedName>
    <definedName name="_zavesy_strong" localSheetId="9">kombinace_2!$AZ$16:$AZ$20</definedName>
    <definedName name="_zavesy_strong" localSheetId="11">kombinace_3!$AZ$16:$AZ$20</definedName>
    <definedName name="_zavesy_strong" localSheetId="13">kombinace_4!$AZ$16:$AZ$20</definedName>
    <definedName name="_zavesy_strong" localSheetId="15">kombinace_5!$AZ$16:$AZ$20</definedName>
    <definedName name="_zavesy_strong" localSheetId="17">kombinace_6!$AZ$16:$AZ$20</definedName>
    <definedName name="_zavesy_strong" localSheetId="20">kombinace_posuv!$AZ$16:$AZ$20</definedName>
    <definedName name="_zavesy_strong">kombinace_1!$AZ$16:$AZ$20</definedName>
    <definedName name="_znacka_vyklopy" localSheetId="9">kombinace_2!$BR$3:$BR$6</definedName>
    <definedName name="_znacka_vyklopy" localSheetId="11">kombinace_3!$BR$3:$BR$6</definedName>
    <definedName name="_znacka_vyklopy" localSheetId="13">kombinace_4!$BR$3:$BR$6</definedName>
    <definedName name="_znacka_vyklopy" localSheetId="15">kombinace_5!$BR$3:$BR$6</definedName>
    <definedName name="_znacka_vyklopy" localSheetId="17">kombinace_6!$BR$3:$BR$6</definedName>
    <definedName name="_znacka_vyklopy" localSheetId="20">kombinace_posuv!$BR$3:$BR$6</definedName>
    <definedName name="_znacka_vyklopy">kombinace_1!$BR$3:$BR$6</definedName>
    <definedName name="_znacka_zavesy" localSheetId="9">kombinace_2!$BQ$3:$BQ$5</definedName>
    <definedName name="_znacka_zavesy" localSheetId="11">kombinace_3!$BQ$3:$BQ$5</definedName>
    <definedName name="_znacka_zavesy" localSheetId="13">kombinace_4!$BQ$3:$BQ$5</definedName>
    <definedName name="_znacka_zavesy" localSheetId="15">kombinace_5!$BQ$3:$BQ$5</definedName>
    <definedName name="_znacka_zavesy" localSheetId="17">kombinace_6!$BQ$3:$BQ$5</definedName>
    <definedName name="_znacka_zavesy" localSheetId="20">kombinace_posuv!$BQ$3:$BQ$5</definedName>
    <definedName name="_znacka_zavesy">kombinace_1!$BQ$3:$BQ$6</definedName>
    <definedName name="AV_HF" localSheetId="29">'[1]Běžné rámečky'!$J$406</definedName>
    <definedName name="AV_HF" localSheetId="0">'[1]Běžné rámečky'!$J$406</definedName>
    <definedName name="AV_HF">'Běžné rámečky'!$J$350</definedName>
    <definedName name="AV_HF_SD" localSheetId="29">'[1]Běžné rámečky'!$J$407</definedName>
    <definedName name="AV_HF_SD" localSheetId="0">'[1]Běžné rámečky'!$J$407</definedName>
    <definedName name="AV_HF_SD">'Běžné rámečky'!$J$351</definedName>
    <definedName name="AV_HK" localSheetId="29">'[1]Běžné rámečky'!$J$413</definedName>
    <definedName name="AV_HK" localSheetId="0">'[1]Běžné rámečky'!$J$413</definedName>
    <definedName name="AV_HK">'Běžné rámečky'!$J$357</definedName>
    <definedName name="AV_HK_SD" localSheetId="29">'[1]Běžné rámečky'!$J$428</definedName>
    <definedName name="AV_HK_SD" localSheetId="0">'[1]Běžné rámečky'!$J$428</definedName>
    <definedName name="AV_HK_SD">'Běžné rámečky'!$J$372</definedName>
    <definedName name="AV_HK_TIP" localSheetId="29">'[1]Běžné rámečky'!$J$448</definedName>
    <definedName name="AV_HK_TIP" localSheetId="0">'[1]Běžné rámečky'!$J$448</definedName>
    <definedName name="AV_HK_TIP">'Běžné rámečky'!$J$392</definedName>
    <definedName name="AV_HKS" localSheetId="29">'[1]Běžné rámečky'!$J$414</definedName>
    <definedName name="AV_HKS" localSheetId="0">'[1]Běžné rámečky'!$J$414</definedName>
    <definedName name="AV_HKS">'Běžné rámečky'!$J$358</definedName>
    <definedName name="AV_HKS_TIP" localSheetId="29">'[1]Běžné rámečky'!$J$450</definedName>
    <definedName name="AV_HKS_TIP" localSheetId="0">'[1]Běžné rámečky'!$J$450</definedName>
    <definedName name="AV_HKS_TIP">'Běžné rámečky'!$J$394</definedName>
    <definedName name="AV_HKXS" localSheetId="29">'[1]Běžné rámečky'!$J$417</definedName>
    <definedName name="AV_HKXS" localSheetId="0">'[1]Běžné rámečky'!$J$417</definedName>
    <definedName name="AV_HKXS">'Běžné rámečky'!$J$361</definedName>
    <definedName name="AV_HKXS_TIP" localSheetId="29">'[1]Běžné rámečky'!$J$447</definedName>
    <definedName name="AV_HKXS_TIP" localSheetId="0">'[1]Běžné rámečky'!$J$447</definedName>
    <definedName name="AV_HKXS_TIP">'Běžné rámečky'!$J$391</definedName>
    <definedName name="AV_HL" localSheetId="29">'[1]Běžné rámečky'!$J$415</definedName>
    <definedName name="AV_HL" localSheetId="0">'[1]Běžné rámečky'!$J$415</definedName>
    <definedName name="AV_HL">'Běžné rámečky'!$J$359</definedName>
    <definedName name="AV_HL_SD" localSheetId="29">'[1]Běžné rámečky'!$J$437</definedName>
    <definedName name="AV_HL_SD" localSheetId="0">'[1]Běžné rámečky'!$J$437</definedName>
    <definedName name="AV_HL_SD">'Běžné rámečky'!$J$381</definedName>
    <definedName name="AV_HS" localSheetId="29">'[1]Běžné rámečky'!$J$416</definedName>
    <definedName name="AV_HS" localSheetId="0">'[1]Běžné rámečky'!$J$416</definedName>
    <definedName name="AV_HS">'Běžné rámečky'!$J$360</definedName>
    <definedName name="AV_HS_SD" localSheetId="29">'[1]Běžné rámečky'!$J$449</definedName>
    <definedName name="AV_HS_SD" localSheetId="0">'[1]Běžné rámečky'!$J$449</definedName>
    <definedName name="AV_HS_SD">'Běžné rámečky'!$J$393</definedName>
    <definedName name="AV_OST" localSheetId="29">'[1]Běžné rámečky'!$J$408</definedName>
    <definedName name="AV_OST" localSheetId="0">'[1]Běžné rámečky'!$J$408</definedName>
    <definedName name="AV_OST">'Běžné rámečky'!$J$352</definedName>
    <definedName name="BLUM" localSheetId="29">'[1]Běžné rámečky'!$J$419</definedName>
    <definedName name="BLUM" localSheetId="0">'[1]Běžné rámečky'!$J$419</definedName>
    <definedName name="BLUM">'Běžné rámečky'!$J$363</definedName>
    <definedName name="BLUM_WIDE">'Běžné rámečky'!$B$570:$B$581</definedName>
    <definedName name="DOL_DV" localSheetId="29">'[1]Běžné rámečky'!$J$412</definedName>
    <definedName name="DOL_DV" localSheetId="0">'[1]Běžné rámečky'!$J$412</definedName>
    <definedName name="DOL_DV">'Běžné rámečky'!$J$356</definedName>
    <definedName name="DOLE" localSheetId="29">'[1]Běžné rámečky'!$J$452</definedName>
    <definedName name="DOLE" localSheetId="0">'[1]Běžné rámečky'!$J$452</definedName>
    <definedName name="DOLE">'Běžné rámečky'!$J$396</definedName>
    <definedName name="DTDL_18" localSheetId="29">'[1]Běžné rámečky'!$J$446</definedName>
    <definedName name="DTDL_18" localSheetId="0">'[1]Běžné rámečky'!$J$446</definedName>
    <definedName name="DTDL_18">'Běžné rámečky'!$J$390</definedName>
    <definedName name="HETTICH" localSheetId="29">'[1]Běžné rámečky'!$J$422</definedName>
    <definedName name="HETTICH" localSheetId="0">'[1]Běžné rámečky'!$J$422</definedName>
    <definedName name="HETTICH">'Běžné rámečky'!$J$366</definedName>
    <definedName name="HF_POZICE_2_DVIRKA">#REF!</definedName>
    <definedName name="HF_TYP_2_CILKA" localSheetId="29">'[1]Použite kovani'!$M$1:$M$5</definedName>
    <definedName name="HF_TYP_2_CILKA" localSheetId="0">'[1]Použite kovani'!$M$1:$M$5</definedName>
    <definedName name="HF_TYP_2_CILKA">#REF!</definedName>
    <definedName name="HM_UCH" localSheetId="29">'[1]Běžné rámečky'!$J$429</definedName>
    <definedName name="HM_UCH" localSheetId="0">'[1]Běžné rámečky'!$J$429</definedName>
    <definedName name="HM_UCH">'Běžné rámečky'!$J$373</definedName>
    <definedName name="HOR_DV" localSheetId="29">'[1]Běžné rámečky'!$J$411</definedName>
    <definedName name="HOR_DV" localSheetId="0">'[1]Běžné rámečky'!$J$411</definedName>
    <definedName name="HOR_DV">'Běžné rámečky'!$J$355</definedName>
    <definedName name="MAX_ROZ_RAM" localSheetId="29">Ceny_n!$B$292</definedName>
    <definedName name="MAX_ROZ_RAM" localSheetId="0">[1]Ceny!$B$292</definedName>
    <definedName name="MAX_ROZ_RAM">Ceny!$B$292</definedName>
    <definedName name="MDF_16" localSheetId="29">'[1]Běžné rámečky'!$J$444</definedName>
    <definedName name="MDF_16" localSheetId="0">'[1]Běžné rámečky'!$J$444</definedName>
    <definedName name="MDF_16">'Běžné rámečky'!$J$388</definedName>
    <definedName name="MDF_18" localSheetId="29">'[1]Běžné rámečky'!$J$445</definedName>
    <definedName name="MDF_18" localSheetId="0">'[1]Běžné rámečky'!$J$445</definedName>
    <definedName name="MDF_18">'Běžné rámečky'!$J$389</definedName>
    <definedName name="MIN_POZ_ZAVES" localSheetId="29">Ceny_n!$B$293</definedName>
    <definedName name="MIN_POZ_ZAVES" localSheetId="0">[1]Ceny!$B$293</definedName>
    <definedName name="MIN_POZ_ZAVES">Ceny!$B$293</definedName>
    <definedName name="MIN_POZ_ZAVES_80" localSheetId="29">Ceny_n!$B$294</definedName>
    <definedName name="MIN_POZ_ZAVES_80" localSheetId="0">[1]Ceny!$B$294</definedName>
    <definedName name="MIN_POZ_ZAVES_80">Ceny!$B$294</definedName>
    <definedName name="MIN_ROZ_RAM" localSheetId="29">Ceny_n!$B$472</definedName>
    <definedName name="MIN_ROZ_RAM" localSheetId="0">[1]Ceny!$B$472</definedName>
    <definedName name="MIN_ROZ_RAM">Ceny!$B$472</definedName>
    <definedName name="NAHORE" localSheetId="29">'[1]Běžné rámečky'!$J$451</definedName>
    <definedName name="NAHORE" localSheetId="0">'[1]Běžné rámečky'!$J$451</definedName>
    <definedName name="NAHORE">'Běžné rámečky'!$J$395</definedName>
    <definedName name="OBE_STRANY" localSheetId="29">'[1]Běžné rámečky'!$J$427</definedName>
    <definedName name="OBE_STRANY" localSheetId="0">'[1]Běžné rámečky'!$J$427</definedName>
    <definedName name="OBE_STRANY">'Běžné rámečky'!$J$371</definedName>
    <definedName name="_xlnm.Print_Area" localSheetId="21">_souhrn!$A$1:$AP$172</definedName>
    <definedName name="_xlnm.Print_Area" localSheetId="24">'_souhrn (2)'!$A$4:$AR$224</definedName>
    <definedName name="_xlnm.Print_Area" localSheetId="5">Ram_1!$A$1:$AS$33</definedName>
    <definedName name="_xlnm.Print_Area" localSheetId="8">Ram_2!$A$1:$AS$33</definedName>
    <definedName name="_xlnm.Print_Area" localSheetId="10">Ram_3!$A$1:$AS$33</definedName>
    <definedName name="_xlnm.Print_Area" localSheetId="12">Ram_4!$A$1:$AS$33</definedName>
    <definedName name="_xlnm.Print_Area" localSheetId="14">Ram_5!$A$1:$AS$33</definedName>
    <definedName name="_xlnm.Print_Area" localSheetId="16">Ram_6!$A$1:$AS$33</definedName>
    <definedName name="PANT_BLUM_SLIM" localSheetId="29">'[1]Použite kovani'!$E$254:$E$266</definedName>
    <definedName name="PANT_BLUM_SLIM" localSheetId="0">'[1]Použite kovani'!$E$254:$E$266</definedName>
    <definedName name="PANT_BLUM_SLIM">#REF!</definedName>
    <definedName name="PANT_BLUM_WIDE" localSheetId="29">'[1]Použite kovani'!$E$232:$E$253</definedName>
    <definedName name="PANT_BLUM_WIDE" localSheetId="0">'[1]Použite kovani'!$E$232:$E$253</definedName>
    <definedName name="PANT_BLUM_WIDE">#REF!</definedName>
    <definedName name="PANT_HETTICH_SLIM" localSheetId="29">'[1]Použite kovani'!$E$214:$E$222</definedName>
    <definedName name="PANT_HETTICH_SLIM" localSheetId="0">'[1]Použite kovani'!$E$214:$E$222</definedName>
    <definedName name="PANT_HETTICH_SLIM">#REF!</definedName>
    <definedName name="PANT_HETTICH_WIDE" localSheetId="29">'[1]Použite kovani'!$E$192:$E$213</definedName>
    <definedName name="PANT_HETTICH_WIDE" localSheetId="0">'[1]Použite kovani'!$E$192:$E$213</definedName>
    <definedName name="PANT_HETTICH_WIDE">#REF!</definedName>
    <definedName name="PANT_STRONG_SLIM_BTL" localSheetId="29">'[1]Použite kovani'!$E$174:$E$179</definedName>
    <definedName name="PANT_STRONG_SLIM_BTL" localSheetId="0">'[1]Použite kovani'!$E$174:$E$179</definedName>
    <definedName name="PANT_STRONG_SLIM_BTL">#REF!</definedName>
    <definedName name="PANT_STRONG_SLIM_STL" localSheetId="29">'[1]Použite kovani'!$E$181:$E$187</definedName>
    <definedName name="PANT_STRONG_SLIM_STL" localSheetId="0">'[1]Použite kovani'!$E$181:$E$187</definedName>
    <definedName name="PANT_STRONG_SLIM_STL">#REF!</definedName>
    <definedName name="PANT_STRONG_WIDE_BTL" localSheetId="29">'[1]Použite kovani'!$E$134:$E$149</definedName>
    <definedName name="PANT_STRONG_WIDE_BTL" localSheetId="0">'[1]Použite kovani'!$E$134:$E$149</definedName>
    <definedName name="PANT_STRONG_WIDE_BTL">#REF!</definedName>
    <definedName name="PANT_STRONG_WIDE_STL" localSheetId="29">'[1]Použite kovani'!$E$159:$E$172</definedName>
    <definedName name="PANT_STRONG_WIDE_STL" localSheetId="0">'[1]Použite kovani'!$E$159:$E$172</definedName>
    <definedName name="PANT_STRONG_WIDE_STL">#REF!</definedName>
    <definedName name="PANTY_TAB1">'Běžné rámečky'!$AO$27:$AO$52</definedName>
    <definedName name="POC_ZAVES" localSheetId="29">'[1]Běžné rámečky'!$J$438</definedName>
    <definedName name="POC_ZAVES" localSheetId="0">'[1]Běžné rámečky'!$J$438</definedName>
    <definedName name="POC_ZAVES">'Běžné rámečky'!$J$382</definedName>
    <definedName name="POZ_RAM" localSheetId="29">'[1]Běžné rámečky'!$J$441</definedName>
    <definedName name="POZ_RAM" localSheetId="0">'[1]Běžné rámečky'!$J$441</definedName>
    <definedName name="POZ_RAM">'Běžné rámečky'!$J$385</definedName>
    <definedName name="POZICE_RAMENE" localSheetId="29">'[1]Běžné rámečky'!$J$442</definedName>
    <definedName name="POZICE_RAMENE" localSheetId="0">'[1]Běžné rámečky'!$J$442</definedName>
    <definedName name="POZICE_RAMENE">'Běžné rámečky'!$J$386</definedName>
    <definedName name="PRAZDNE_1" localSheetId="29">'[1]Běžné rámečky'!$J$418</definedName>
    <definedName name="PRAZDNE_1" localSheetId="0">'[1]Běžné rámečky'!$J$418</definedName>
    <definedName name="PRAZDNE_1">'Běžné rámečky'!$J$362</definedName>
    <definedName name="PROFILY_ALL" localSheetId="29">'[1]Použite kovani'!$AB$2:$AB$43</definedName>
    <definedName name="PROFILY_ALL" localSheetId="0">'[1]Použite kovani'!$AB$2:$AB$43</definedName>
    <definedName name="PROFILY_ALL">#REF!</definedName>
    <definedName name="PROV_2_CILKA" localSheetId="29">'[1]Běžné rámečky'!$J$432</definedName>
    <definedName name="PROV_2_CILKA" localSheetId="0">'[1]Běžné rámečky'!$J$432</definedName>
    <definedName name="PROV_2_CILKA">'Běžné rámečky'!$J$376</definedName>
    <definedName name="RADEK_1_5" localSheetId="29">OFFSET('[1]Běžné rámečky'!$AJ$82,0,0,COUNT('[1]Běžné rámečky'!$AK$82:'[1]Běžné rámečky'!$AK$92),1)</definedName>
    <definedName name="RADEK_1_5" localSheetId="0">OFFSET('[1]Běžné rámečky'!$AJ$82,0,0,COUNT('[1]Běžné rámečky'!$AK$82:'[1]Běžné rámečky'!$AK$92),1)</definedName>
    <definedName name="RADEK_1_5">OFFSET('Běžné rámečky'!$AJ$26,0,0,COUNT('Běžné rámečky'!$AK$26:'Běžné rámečky'!$AK$36),1)</definedName>
    <definedName name="RADEK_1_6" localSheetId="29">OFFSET('[1]Běžné rámečky'!$AP$83,0,0,COUNT('[1]Běžné rámečky'!$AQ$83:'[1]Běžné rámečky'!$AQ$108),1)</definedName>
    <definedName name="RADEK_1_6" localSheetId="0">OFFSET('[1]Běžné rámečky'!$AP$83,0,0,COUNT('[1]Běžné rámečky'!$AQ$83:'[1]Běžné rámečky'!$AQ$108),1)</definedName>
    <definedName name="RADEK_1_6">OFFSET('Běžné rámečky'!$AP$27,0,0,COUNT('Běžné rámečky'!$AQ$27:'Běžné rámečky'!$AQ$52),1)</definedName>
    <definedName name="RADEK_2_5" localSheetId="29">OFFSET('[1]Běžné rámečky'!$AJ$136,0,0,COUNT('[1]Běžné rámečky'!$AK$136:'[1]Běžné rámečky'!$AK$146),1)</definedName>
    <definedName name="RADEK_2_5" localSheetId="0">OFFSET('[1]Běžné rámečky'!$AJ$136,0,0,COUNT('[1]Běžné rámečky'!$AK$136:'[1]Běžné rámečky'!$AK$146),1)</definedName>
    <definedName name="RADEK_2_5">OFFSET('Běžné rámečky'!$AJ$80,0,0,COUNT('Běžné rámečky'!$AK$80:'Běžné rámečky'!$AK$90),1)</definedName>
    <definedName name="RADEK_2_6" localSheetId="29">OFFSET('[1]Běžné rámečky'!$AP$137,0,0,COUNT('[1]Běžné rámečky'!$AQ$137:'[1]Běžné rámečky'!$AQ$162),1)</definedName>
    <definedName name="RADEK_2_6" localSheetId="0">OFFSET('[1]Běžné rámečky'!$AP$137,0,0,COUNT('[1]Běžné rámečky'!$AQ$137:'[1]Běžné rámečky'!$AQ$162),1)</definedName>
    <definedName name="RADEK_2_6">OFFSET('Běžné rámečky'!$AP$81,0,0,COUNT('Běžné rámečky'!$AQ$81:'Běžné rámečky'!$AQ$106),1)</definedName>
    <definedName name="RADEK_3_5" localSheetId="29">OFFSET('[1]Běžné rámečky'!$AJ$190,0,0,COUNT('[1]Běžné rámečky'!$AK$190:'[1]Běžné rámečky'!$AK$200),1)</definedName>
    <definedName name="RADEK_3_5" localSheetId="0">OFFSET('[1]Běžné rámečky'!$AJ$190,0,0,COUNT('[1]Běžné rámečky'!$AK$190:'[1]Běžné rámečky'!$AK$200),1)</definedName>
    <definedName name="RADEK_3_5">OFFSET('Běžné rámečky'!$AJ$134,0,0,COUNT('Běžné rámečky'!$AK$134:'Běžné rámečky'!$AK$144),1)</definedName>
    <definedName name="RADEK_3_6" localSheetId="29">OFFSET('[1]Běžné rámečky'!$AP$191,0,0,COUNT('[1]Běžné rámečky'!$AQ$191:'[1]Běžné rámečky'!$AQ$216),1)</definedName>
    <definedName name="RADEK_3_6" localSheetId="0">OFFSET('[1]Běžné rámečky'!$AP$191,0,0,COUNT('[1]Běžné rámečky'!$AQ$191:'[1]Běžné rámečky'!$AQ$216),1)</definedName>
    <definedName name="RADEK_3_6">OFFSET('Běžné rámečky'!$AP$135,0,0,COUNT('Běžné rámečky'!$AQ$135:'Běžné rámečky'!$AQ$160),1)</definedName>
    <definedName name="RADEK_4_5" localSheetId="29">OFFSET('[1]Běžné rámečky'!$AJ$244,0,0,COUNT('[1]Běžné rámečky'!$AK$244:'[1]Běžné rámečky'!$AK$254),1)</definedName>
    <definedName name="RADEK_4_5" localSheetId="0">OFFSET('[1]Běžné rámečky'!$AJ$244,0,0,COUNT('[1]Běžné rámečky'!$AK$244:'[1]Běžné rámečky'!$AK$254),1)</definedName>
    <definedName name="RADEK_4_5">OFFSET('Běžné rámečky'!$AJ$188,0,0,COUNT('Běžné rámečky'!$AK$188:'Běžné rámečky'!$AK$198),1)</definedName>
    <definedName name="RADEK_4_6" localSheetId="29">OFFSET('[1]Běžné rámečky'!$AP$245,0,0,COUNT('[1]Běžné rámečky'!$AQ$245:'[1]Běžné rámečky'!$AQ$270),1)</definedName>
    <definedName name="RADEK_4_6" localSheetId="0">OFFSET('[1]Běžné rámečky'!$AP$245,0,0,COUNT('[1]Běžné rámečky'!$AQ$245:'[1]Běžné rámečky'!$AQ$270),1)</definedName>
    <definedName name="RADEK_4_6">OFFSET('Běžné rámečky'!$AP$189,0,0,COUNT('Běžné rámečky'!$AQ$189:'Běžné rámečky'!$AQ$214),1)</definedName>
    <definedName name="RADEK_5_5" localSheetId="29">OFFSET('[1]Běžné rámečky'!$AJ$298,0,0,COUNT('[1]Běžné rámečky'!$AK$298:'[1]Běžné rámečky'!$AK$308),1)</definedName>
    <definedName name="RADEK_5_5" localSheetId="0">OFFSET('[1]Běžné rámečky'!$AJ$298,0,0,COUNT('[1]Běžné rámečky'!$AK$298:'[1]Běžné rámečky'!$AK$308),1)</definedName>
    <definedName name="RADEK_5_5">OFFSET('Běžné rámečky'!$AJ$242,0,0,COUNT('Běžné rámečky'!$AK$242:'Běžné rámečky'!$AK$252),1)</definedName>
    <definedName name="RADEK_5_6" localSheetId="29">OFFSET('[1]Běžné rámečky'!$AP$299,0,0,COUNT('[1]Běžné rámečky'!$AQ$299:'[1]Běžné rámečky'!$AQ$324),1)</definedName>
    <definedName name="RADEK_5_6" localSheetId="0">OFFSET('[1]Běžné rámečky'!$AP$299,0,0,COUNT('[1]Běžné rámečky'!$AQ$299:'[1]Běžné rámečky'!$AQ$324),1)</definedName>
    <definedName name="RADEK_5_6">OFFSET('Běžné rámečky'!$AP$243,0,0,COUNT('Běžné rámečky'!$AQ$243:'Běžné rámečky'!$AQ$268),1)</definedName>
    <definedName name="RADEK_6_5" localSheetId="29">OFFSET('[1]Běžné rámečky'!$AJ$352,0,0,COUNT('[1]Běžné rámečky'!$AK$352:'[1]Běžné rámečky'!$AK$362),1)</definedName>
    <definedName name="RADEK_6_5" localSheetId="0">OFFSET('[1]Běžné rámečky'!$AJ$352,0,0,COUNT('[1]Běžné rámečky'!$AK$352:'[1]Běžné rámečky'!$AK$362),1)</definedName>
    <definedName name="RADEK_6_5">OFFSET('Běžné rámečky'!$AJ$296,0,0,COUNT('Běžné rámečky'!$AK$296:'Běžné rámečky'!$AK$306),1)</definedName>
    <definedName name="RADEK_6_6" localSheetId="29">OFFSET('[1]Běžné rámečky'!$AP$353,0,0,COUNT('[1]Běžné rámečky'!$AQ$353:'[1]Běžné rámečky'!$AQ$378),1)</definedName>
    <definedName name="RADEK_6_6" localSheetId="0">OFFSET('[1]Běžné rámečky'!$AP$353,0,0,COUNT('[1]Běžné rámečky'!$AQ$353:'[1]Běžné rámečky'!$AQ$378),1)</definedName>
    <definedName name="RADEK_6_6">OFFSET('Běžné rámečky'!$AP$297,0,0,COUNT('Běžné rámečky'!$AQ$297:'Běžné rámečky'!$AQ$322),1)</definedName>
    <definedName name="SIR_RAM" localSheetId="29">'[1]Běžné rámečky'!$J$443</definedName>
    <definedName name="SIR_RAM" localSheetId="0">'[1]Běžné rámečky'!$J$443</definedName>
    <definedName name="SIR_RAM">'Běžné rámečky'!$J$387</definedName>
    <definedName name="SKLO_ALL" localSheetId="29">'[1]Použite kovani'!$X$2:$X$62</definedName>
    <definedName name="SKLO_ALL" localSheetId="0">'[1]Použite kovani'!$X$2:$X$62</definedName>
    <definedName name="SKLO_ALL">#REF!</definedName>
    <definedName name="SKLO_FOR_STICK" localSheetId="29">'[1]Použite kovani'!$Y$2:$Y$48</definedName>
    <definedName name="SKLO_FOR_STICK" localSheetId="0">'[1]Použite kovani'!$Y$2:$Y$48</definedName>
    <definedName name="SKLO_FOR_STICK">#REF!</definedName>
    <definedName name="SKLO_VYBER_T1" localSheetId="29">OFFSET('[1]Vypocet 1'!$A$3,0,0,COUNT('[1]Vypocet 1'!$B$3:$B$70),1)</definedName>
    <definedName name="SKLO_VYBER_T1" localSheetId="0">OFFSET('[1]Vypocet 1'!$A$3,0,0,COUNT('[1]Vypocet 1'!$B$3:$B$70),1)</definedName>
    <definedName name="SKLO_VYBER_T1">OFFSET(#REF!,0,0,COUNT(#REF!),1)</definedName>
    <definedName name="SKLO_VYBER_T2" localSheetId="29">OFFSET('[1]Vypocet 1'!$N$3,0,0,COUNT('[1]Vypocet 1'!$O$3:$O$70),1)</definedName>
    <definedName name="SKLO_VYBER_T2" localSheetId="0">OFFSET('[1]Vypocet 1'!$N$3,0,0,COUNT('[1]Vypocet 1'!$O$3:$O$70),1)</definedName>
    <definedName name="SKLO_VYBER_T2">OFFSET(#REF!,0,0,COUNT(#REF!),1)</definedName>
    <definedName name="SKLO_VYBER_T3" localSheetId="29">OFFSET('[1]Vypocet 1'!$AA$3,0,0,COUNT('[1]Vypocet 1'!$AB$3:$AB$70),1)</definedName>
    <definedName name="SKLO_VYBER_T3" localSheetId="0">OFFSET('[1]Vypocet 1'!$AA$3,0,0,COUNT('[1]Vypocet 1'!$AB$3:$AB$70),1)</definedName>
    <definedName name="SKLO_VYBER_T3">OFFSET(#REF!,0,0,COUNT(#REF!),1)</definedName>
    <definedName name="SKLO_VYBER_T4" localSheetId="29">OFFSET('[1]Vypocet 1'!$AN$3,0,0,COUNT('[1]Vypocet 1'!$AO$3:$AO$70),1)</definedName>
    <definedName name="SKLO_VYBER_T4" localSheetId="0">OFFSET('[1]Vypocet 1'!$AN$3,0,0,COUNT('[1]Vypocet 1'!$AO$3:$AO$70),1)</definedName>
    <definedName name="SKLO_VYBER_T4">OFFSET(#REF!,0,0,COUNT(#REF!),1)</definedName>
    <definedName name="SKLO_VYBER_T5" localSheetId="29">OFFSET('[1]Vypocet 1'!$BA$3,0,0,COUNT('[1]Vypocet 1'!$BB$3:$BB$70),1)</definedName>
    <definedName name="SKLO_VYBER_T5" localSheetId="0">OFFSET('[1]Vypocet 1'!$BA$3,0,0,COUNT('[1]Vypocet 1'!$BB$3:$BB$70),1)</definedName>
    <definedName name="SKLO_VYBER_T5">OFFSET(#REF!,0,0,COUNT(#REF!),1)</definedName>
    <definedName name="SKLO_VYBER_T6" localSheetId="29">OFFSET('[1]Vypocet 1'!$BN$3,0,0,COUNT('[1]Vypocet 1'!$BO$3:$BO$70),1)</definedName>
    <definedName name="SKLO_VYBER_T6" localSheetId="0">OFFSET('[1]Vypocet 1'!$BN$3,0,0,COUNT('[1]Vypocet 1'!$BO$3:$BO$70),1)</definedName>
    <definedName name="SKLO_VYBER_T6">OFFSET(#REF!,0,0,COUNT(#REF!),1)</definedName>
    <definedName name="STRONG_BINT_TL" localSheetId="29">'[1]Běžné rámečky'!$J$421</definedName>
    <definedName name="STRONG_BINT_TL" localSheetId="0">'[1]Běžné rámečky'!$J$421</definedName>
    <definedName name="STRONG_BINT_TL">'Běžné rámečky'!$J$365</definedName>
    <definedName name="STRONG_INT_TL" localSheetId="29">'[1]Běžné rámečky'!$J$420</definedName>
    <definedName name="STRONG_INT_TL" localSheetId="0">'[1]Běžné rámečky'!$J$420</definedName>
    <definedName name="STRONG_INT_TL">'Běžné rámečky'!$J$364</definedName>
    <definedName name="STRONG_Plus" localSheetId="29">'[1]Běžné rámečky'!$J$423</definedName>
    <definedName name="STRONG_Plus" localSheetId="0">'[1]Běžné rámečky'!$J$423</definedName>
    <definedName name="STRONG_Plus">'Běžné rámečky'!$J$367</definedName>
    <definedName name="T1_PANT_BLUM" localSheetId="29">'[1]Běžné rámečky'!$BC$81:$BC$98</definedName>
    <definedName name="T1_PANT_BLUM" localSheetId="0">'[1]Běžné rámečky'!$BC$81:$BC$98</definedName>
    <definedName name="T1_PANT_BLUM">'Běžné rámečky'!$BC$25:$BC$42</definedName>
    <definedName name="T1_PANT_HETTICH" localSheetId="29">'[1]Běžné rámečky'!$BB$81:$BB$98</definedName>
    <definedName name="T1_PANT_HETTICH" localSheetId="0">'[1]Běžné rámečky'!$BB$81:$BB$98</definedName>
    <definedName name="T1_PANT_HETTICH">'Běžné rámečky'!$BB$25:$BB$42</definedName>
    <definedName name="T1_PANT_STRONG_BTL" localSheetId="29">'[1]Běžné rámečky'!$BF$81:$BF$97</definedName>
    <definedName name="T1_PANT_STRONG_BTL" localSheetId="0">'[1]Běžné rámečky'!$BF$81:$BF$97</definedName>
    <definedName name="T1_PANT_STRONG_BTL">'Běžné rámečky'!$BF$25:$BF$41</definedName>
    <definedName name="T1_PANT_STRONG_PLUS">'Běžné rámečky'!$BH$25:$BH$41</definedName>
    <definedName name="T1_PANT_STRONG_STL" localSheetId="29">'[1]Běžné rámečky'!$BG$81:$BG$97</definedName>
    <definedName name="T1_PANT_STRONG_STL" localSheetId="0">'[1]Běžné rámečky'!$BG$81:$BG$97</definedName>
    <definedName name="T1_PANT_STRONG_STL">'Běžné rámečky'!$BG$25:$BG$41</definedName>
    <definedName name="T1_PODLOZKA_TYPY" localSheetId="29">OFFSET('[1]Běžné rámečky'!$AS$83,0,0,COUNT('[1]Běžné rámečky'!$AT$83:$AT$92),1)</definedName>
    <definedName name="T1_PODLOZKA_TYPY" localSheetId="0">OFFSET('[1]Běžné rámečky'!$AS$83,0,0,COUNT('[1]Běžné rámečky'!$AT$83:$AT$92),1)</definedName>
    <definedName name="T1_PODLOZKA_TYPY">OFFSET('Běžné rámečky'!$AS$27,0,0,COUNT('Běžné rámečky'!$AT$27:$AT$36),1)</definedName>
    <definedName name="T1_VYKLOPY" localSheetId="29">OFFSET('[1]Běžné rámečky'!$BD$81,0,0,COUNT('[1]Běžné rámečky'!$BE$81:$BE$121),1)</definedName>
    <definedName name="T1_VYKLOPY" localSheetId="0">OFFSET('[1]Běžné rámečky'!$BD$81,0,0,COUNT('[1]Běžné rámečky'!$BE$81:$BE$121),1)</definedName>
    <definedName name="T1_VYKLOPY">OFFSET('Běžné rámečky'!$BD$25,0,0,COUNT('Běžné rámečky'!$BE$25:$BE$65),1)</definedName>
    <definedName name="T2_PANT_BLUM">'Běžné rámečky'!$BC$79:$BC$96</definedName>
    <definedName name="T2_PANT_HETTICH">'Běžné rámečky'!$BB$79:$BB$96</definedName>
    <definedName name="T2_PANT_STRONG_BTL">'Běžné rámečky'!$BF$79:$BF$95</definedName>
    <definedName name="T2_PANT_STRONG_STL">'Běžné rámečky'!$BG$79:$BG$95</definedName>
    <definedName name="T2_PODLOZKA_TYPY" localSheetId="29">OFFSET('[1]Běžné rámečky'!$AS$137,0,0,COUNT('[1]Běžné rámečky'!$AT$137:$AT$146),1)</definedName>
    <definedName name="T2_PODLOZKA_TYPY" localSheetId="0">OFFSET('[1]Běžné rámečky'!$AS$137,0,0,COUNT('[1]Běžné rámečky'!$AT$137:$AT$146),1)</definedName>
    <definedName name="T2_PODLOZKA_TYPY">OFFSET('Běžné rámečky'!$AS$81,0,0,COUNT('Běžné rámečky'!$AT$81:$AT$90),1)</definedName>
    <definedName name="T2_VYKLOPY" localSheetId="29">OFFSET('[1]Běžné rámečky'!$BD$135,0,0,COUNT('[1]Běžné rámečky'!$BE$135:$BE$175),1)</definedName>
    <definedName name="T2_VYKLOPY" localSheetId="0">OFFSET('[1]Běžné rámečky'!$BD$135,0,0,COUNT('[1]Běžné rámečky'!$BE$135:$BE$175),1)</definedName>
    <definedName name="T2_VYKLOPY">OFFSET('Běžné rámečky'!$BD$79,0,0,COUNT('Běžné rámečky'!$BE$79:$BE$119),1)</definedName>
    <definedName name="T3_PANT_BLUM">'Běžné rámečky'!$BC$133:$BC$150</definedName>
    <definedName name="T3_PANT_HETTICH">'Běžné rámečky'!$BB$133:$BB$150</definedName>
    <definedName name="T3_PANT_STRONG_BTL">'Běžné rámečky'!$BF$133:$BF$149</definedName>
    <definedName name="T3_PANT_STRONG_STL">'Běžné rámečky'!$BG$133:$BG$149</definedName>
    <definedName name="T3_PODLOZKA_TYPY" localSheetId="29">OFFSET('[1]Běžné rámečky'!$AS$191,0,0,COUNT('[1]Běžné rámečky'!$AT$191:$AT$200),1)</definedName>
    <definedName name="T3_PODLOZKA_TYPY" localSheetId="0">OFFSET('[1]Běžné rámečky'!$AS$191,0,0,COUNT('[1]Běžné rámečky'!$AT$191:$AT$200),1)</definedName>
    <definedName name="T3_PODLOZKA_TYPY">OFFSET('Běžné rámečky'!$AS$135,0,0,COUNT('Běžné rámečky'!$AT$135:$AT$144),1)</definedName>
    <definedName name="T3_VYKLOPY" localSheetId="29">OFFSET('[1]Běžné rámečky'!$BD$189,0,0,COUNT('[1]Běžné rámečky'!$BE$189:$BE$229),1)</definedName>
    <definedName name="T3_VYKLOPY" localSheetId="0">OFFSET('[1]Běžné rámečky'!$BD$189,0,0,COUNT('[1]Běžné rámečky'!$BE$189:$BE$229),1)</definedName>
    <definedName name="T3_VYKLOPY">OFFSET('Běžné rámečky'!$BD$133,0,0,COUNT('Běžné rámečky'!$BE$133:$BE$173),1)</definedName>
    <definedName name="T4_PANT_BLUM">'Běžné rámečky'!$BC$187:$BC$204</definedName>
    <definedName name="T4_PANT_HETTICH">'Běžné rámečky'!$BB$187:$BB$204</definedName>
    <definedName name="T4_PANT_STRONG_BTL">'Běžné rámečky'!$BF$187:$BF$203</definedName>
    <definedName name="T4_PANT_STRONG_STL">'Běžné rámečky'!$BG$187:$BG$203</definedName>
    <definedName name="T4_PODLOZKA_TYPY" localSheetId="29">OFFSET('[1]Běžné rámečky'!$AS$245,0,0,COUNT('[1]Běžné rámečky'!$AT$245:$AT$254),1)</definedName>
    <definedName name="T4_PODLOZKA_TYPY" localSheetId="0">OFFSET('[1]Běžné rámečky'!$AS$245,0,0,COUNT('[1]Běžné rámečky'!$AT$245:$AT$254),1)</definedName>
    <definedName name="T4_PODLOZKA_TYPY">OFFSET('Běžné rámečky'!$AS$189,0,0,COUNT('Běžné rámečky'!$AT$189:$AT$198),1)</definedName>
    <definedName name="T4_VYKLOPY" localSheetId="29">OFFSET('[1]Běžné rámečky'!$BD$243,0,0,COUNT('[1]Běžné rámečky'!$BE$243:$BE$283),1)</definedName>
    <definedName name="T4_VYKLOPY" localSheetId="0">OFFSET('[1]Běžné rámečky'!$BD$243,0,0,COUNT('[1]Běžné rámečky'!$BE$243:$BE$283),1)</definedName>
    <definedName name="T4_VYKLOPY">OFFSET('Běžné rámečky'!$BD$187,0,0,COUNT('Běžné rámečky'!$BE$187:$BE$227),1)</definedName>
    <definedName name="T5_PANT_BLUM">'Běžné rámečky'!$BC$241:$BC$258</definedName>
    <definedName name="T5_PANT_HETTICH">'Běžné rámečky'!$BB$241:$BB$258</definedName>
    <definedName name="T5_PANT_STRONG_BTL">'Běžné rámečky'!$BF$241:$BF$257</definedName>
    <definedName name="T5_PANT_STRONG_STL">'Běžné rámečky'!$BG$241:$BG$257</definedName>
    <definedName name="T5_PODLOZKA_TYPY" localSheetId="29">OFFSET('[1]Běžné rámečky'!$AS$299,0,0,COUNT('[1]Běžné rámečky'!$AT$299:$AT$308),1)</definedName>
    <definedName name="T5_PODLOZKA_TYPY" localSheetId="0">OFFSET('[1]Běžné rámečky'!$AS$299,0,0,COUNT('[1]Běžné rámečky'!$AT$299:$AT$308),1)</definedName>
    <definedName name="T5_PODLOZKA_TYPY">OFFSET('Běžné rámečky'!$AS$243,0,0,COUNT('Běžné rámečky'!$AT$243:$AT$252),1)</definedName>
    <definedName name="T5_VYKLOPY" localSheetId="29">OFFSET('[1]Běžné rámečky'!$BD$297,0,0,COUNT('[1]Běžné rámečky'!$BE$297:$BE$337),1)</definedName>
    <definedName name="T5_VYKLOPY" localSheetId="0">OFFSET('[1]Běžné rámečky'!$BD$297,0,0,COUNT('[1]Běžné rámečky'!$BE$297:$BE$337),1)</definedName>
    <definedName name="T5_VYKLOPY">OFFSET('Běžné rámečky'!$BD$241,0,0,COUNT('Běžné rámečky'!$BE$241:$BE$281),1)</definedName>
    <definedName name="T6_PANT_BLUM">'Běžné rámečky'!$BC$295:$BC$312</definedName>
    <definedName name="T6_PANT_HETTICH">'Běžné rámečky'!$BB$295:$BB$312</definedName>
    <definedName name="T6_PANT_STRONG_BTL">'Běžné rámečky'!$BF$295:$BF$311</definedName>
    <definedName name="T6_PANT_STRONG_STL" localSheetId="29">'[1]Běžné rámečky'!#REF!</definedName>
    <definedName name="T6_PANT_STRONG_STL" localSheetId="0">'[1]Běžné rámečky'!#REF!</definedName>
    <definedName name="T6_PANT_STRONG_STL">'Běžné rámečky'!#REF!</definedName>
    <definedName name="T6_PODLOZKA_TYPY" localSheetId="29">OFFSET('[1]Běžné rámečky'!$AS$353,0,0,COUNT('[1]Běžné rámečky'!$AT$353:$AT$362),1)</definedName>
    <definedName name="T6_PODLOZKA_TYPY" localSheetId="0">OFFSET('[1]Běžné rámečky'!$AS$353,0,0,COUNT('[1]Běžné rámečky'!$AT$353:$AT$362),1)</definedName>
    <definedName name="T6_PODLOZKA_TYPY">OFFSET('Běžné rámečky'!$AS$297,0,0,COUNT('Běžné rámečky'!$AT$297:$AT$306),1)</definedName>
    <definedName name="T6_VYKLOPY" localSheetId="29">OFFSET('[1]Běžné rámečky'!$BD$351,0,0,COUNT('[1]Běžné rámečky'!$BE$351:$BE$391),1)</definedName>
    <definedName name="T6_VYKLOPY" localSheetId="0">OFFSET('[1]Běžné rámečky'!$BD$351,0,0,COUNT('[1]Běžné rámečky'!$BE$351:$BE$391),1)</definedName>
    <definedName name="T6_VYKLOPY">OFFSET('Běžné rámečky'!$BD$295,0,0,COUNT('Běžné rámečky'!$BE$295:$BE$335),1)</definedName>
    <definedName name="TYP_AV" localSheetId="29">'[1]Běžné rámečky'!$J$435</definedName>
    <definedName name="TYP_AV" localSheetId="0">'[1]Běžné rámečky'!$J$435</definedName>
    <definedName name="TYP_AV">'Běžné rámečky'!$J$379</definedName>
    <definedName name="TYP_AV_OST">#REF!</definedName>
    <definedName name="TYP_PODL" localSheetId="29">'[1]Běžné rámečky'!$J$436</definedName>
    <definedName name="TYP_PODL" localSheetId="0">'[1]Běžné rámečky'!$J$436</definedName>
    <definedName name="TYP_PODL">'Běžné rámečky'!$J$380</definedName>
    <definedName name="TYP_RAM" localSheetId="29">'[1]Běžné rámečky'!$J$430</definedName>
    <definedName name="TYP_RAM" localSheetId="0">'[1]Běžné rámečky'!$J$430</definedName>
    <definedName name="TYP_RAM">'Běžné rámečky'!$J$374</definedName>
    <definedName name="TYP_RAM_AV_HL" localSheetId="29">'[1]Použite kovani'!$P$15:$P$18</definedName>
    <definedName name="TYP_RAM_AV_HL" localSheetId="0">'[1]Použite kovani'!$P$15:$P$18</definedName>
    <definedName name="TYP_RAM_AV_HL">#REF!</definedName>
    <definedName name="TYP_ZAV" localSheetId="29">'[1]Běžné rámečky'!$J$431</definedName>
    <definedName name="TYP_ZAV" localSheetId="0">'[1]Běžné rámečky'!$J$431</definedName>
    <definedName name="TYP_ZAV">'Běžné rámečky'!$J$375</definedName>
    <definedName name="UMISTENI_RAM_HKXS" localSheetId="29">'[1]Použite kovani'!$P$20:$P$22</definedName>
    <definedName name="UMISTENI_RAM_HKXS" localSheetId="0">'[1]Použite kovani'!$P$20:$P$22</definedName>
    <definedName name="UMISTENI_RAM_HKXS">#REF!</definedName>
    <definedName name="UMISTENI_VYKLOP" localSheetId="29">'[1]Použite kovani'!$P$24:$P$26</definedName>
    <definedName name="UMISTENI_VYKLOP" localSheetId="0">'[1]Použite kovani'!$P$24:$P$26</definedName>
    <definedName name="UMISTENI_VYKLOP">#REF!</definedName>
    <definedName name="UZKY_RAM" localSheetId="29">'[1]Běžné rámečky'!$J$440</definedName>
    <definedName name="UZKY_RAM" localSheetId="0">'[1]Běžné rámečky'!$J$440</definedName>
    <definedName name="UZKY_RAM">'Běžné rámečky'!$J$384</definedName>
    <definedName name="VLEVO" localSheetId="29">'[1]Běžné rámečky'!$J$426</definedName>
    <definedName name="VLEVO" localSheetId="0">'[1]Běžné rámečky'!$J$426</definedName>
    <definedName name="VLEVO">'Běžné rámečky'!$J$370</definedName>
    <definedName name="VPRAVO" localSheetId="29">'[1]Běžné rámečky'!$J$425</definedName>
    <definedName name="VPRAVO" localSheetId="0">'[1]Běžné rámečky'!$J$425</definedName>
    <definedName name="VPRAVO">'Běžné rámečky'!$J$369</definedName>
    <definedName name="VYBER_SEZN">'Běžné rámečky'!$J$347</definedName>
    <definedName name="VYKLOP_DWN_SLIM" localSheetId="29">'[1]Použite kovani'!$D$49:$D$55</definedName>
    <definedName name="VYKLOP_DWN_SLIM" localSheetId="0">'[1]Použite kovani'!$D$49:$D$55</definedName>
    <definedName name="VYKLOP_DWN_SLIM">#REF!</definedName>
    <definedName name="VYKLOP_DWN_WIDE" localSheetId="29">'[1]Použite kovani'!$D$104:$D$110</definedName>
    <definedName name="VYKLOP_DWN_WIDE" localSheetId="0">'[1]Použite kovani'!$D$104:$D$110</definedName>
    <definedName name="VYKLOP_DWN_WIDE">#REF!</definedName>
    <definedName name="VYKLOP_UP_SLIM" localSheetId="29">'[1]Použite kovani'!$D$2:$D$41</definedName>
    <definedName name="VYKLOP_UP_SLIM" localSheetId="0">'[1]Použite kovani'!$D$2:$D$41</definedName>
    <definedName name="VYKLOP_UP_SLIM">#REF!</definedName>
    <definedName name="VYKLOP_UP_WIDE" localSheetId="29">'[1]Použite kovani'!$D$60:$D$99</definedName>
    <definedName name="VYKLOP_UP_WIDE" localSheetId="0">'[1]Použite kovani'!$D$60:$D$99</definedName>
    <definedName name="VYKLOP_UP_WIDE">#REF!</definedName>
    <definedName name="VYR_ZAVES" localSheetId="29">'[1]Běžné rámečky'!$J$434</definedName>
    <definedName name="VYR_ZAVES" localSheetId="0">'[1]Běžné rámečky'!$J$434</definedName>
    <definedName name="VYR_ZAVES">'Běžné rámečky'!$J$378</definedName>
    <definedName name="VZD_ZAVES" localSheetId="29">'[1]Běžné rámečky'!$J$439</definedName>
    <definedName name="VZD_ZAVES" localSheetId="0">'[1]Běžné rámečky'!$J$439</definedName>
    <definedName name="VZD_ZAVES">'Běžné rámečky'!$J$383</definedName>
    <definedName name="ZAVESY" localSheetId="29">'[1]Běžné rámečky'!$J$404</definedName>
    <definedName name="ZAVESY" localSheetId="0">'[1]Běžné rámečky'!$J$404</definedName>
    <definedName name="ZAVESY">'Běžné rámečky'!$J$348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3" i="99" l="1"/>
  <c r="AT35" i="95"/>
  <c r="AT35" i="94"/>
  <c r="AT35" i="93"/>
  <c r="AT35" i="92"/>
  <c r="AT35" i="91"/>
  <c r="AT35" i="32"/>
  <c r="B17" i="95" l="1"/>
  <c r="B17" i="94"/>
  <c r="B17" i="93"/>
  <c r="B17" i="92"/>
  <c r="B17" i="91"/>
  <c r="I38" i="32" a="1"/>
  <c r="I38" i="32" s="1"/>
  <c r="B597" i="53"/>
  <c r="B598" i="53"/>
  <c r="B599" i="53"/>
  <c r="B600" i="53"/>
  <c r="B601" i="53"/>
  <c r="B602" i="53"/>
  <c r="B603" i="53"/>
  <c r="B604" i="53"/>
  <c r="B605" i="53"/>
  <c r="B606" i="53"/>
  <c r="B607" i="53"/>
  <c r="B17" i="32"/>
  <c r="CD35" i="63" l="1"/>
  <c r="CD34" i="63"/>
  <c r="CD33" i="63"/>
  <c r="CD32" i="63"/>
  <c r="CD35" i="61"/>
  <c r="CD34" i="61"/>
  <c r="CD33" i="61"/>
  <c r="CD32" i="61"/>
  <c r="CD35" i="59"/>
  <c r="CD34" i="59"/>
  <c r="CD33" i="59"/>
  <c r="CD32" i="59"/>
  <c r="CD35" i="57"/>
  <c r="CD34" i="57"/>
  <c r="CD33" i="57"/>
  <c r="CD32" i="57"/>
  <c r="CD35" i="55"/>
  <c r="CD34" i="55"/>
  <c r="CD33" i="55"/>
  <c r="CD32" i="55"/>
  <c r="J16" i="95"/>
  <c r="B16" i="95"/>
  <c r="J16" i="94"/>
  <c r="B16" i="94"/>
  <c r="J16" i="93"/>
  <c r="B16" i="93"/>
  <c r="J16" i="92"/>
  <c r="B16" i="92"/>
  <c r="J16" i="91"/>
  <c r="B16" i="91"/>
  <c r="J16" i="32"/>
  <c r="B16" i="32"/>
  <c r="M10" i="32"/>
  <c r="H10" i="32"/>
  <c r="B574" i="53"/>
  <c r="B575" i="53"/>
  <c r="B576" i="53"/>
  <c r="B577" i="53"/>
  <c r="B579" i="53"/>
  <c r="B580" i="53"/>
  <c r="B581" i="53"/>
  <c r="B582" i="53"/>
  <c r="B583" i="53"/>
  <c r="B584" i="53"/>
  <c r="B586" i="53"/>
  <c r="B587" i="53"/>
  <c r="B588" i="53"/>
  <c r="B589" i="53"/>
  <c r="B590" i="53"/>
  <c r="B591" i="53"/>
  <c r="B592" i="53"/>
  <c r="B594" i="53"/>
  <c r="B595" i="53"/>
  <c r="B596" i="53"/>
  <c r="C7" i="53" l="1"/>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1" i="53"/>
  <c r="D51" i="53"/>
  <c r="C52" i="53"/>
  <c r="D52" i="53"/>
  <c r="C53" i="53"/>
  <c r="D53" i="53"/>
  <c r="C54" i="53"/>
  <c r="D54" i="53"/>
  <c r="C55" i="53"/>
  <c r="D55" i="53"/>
  <c r="C56" i="53"/>
  <c r="D56" i="53"/>
  <c r="C57" i="53"/>
  <c r="D57" i="53"/>
  <c r="CC35" i="50" l="1"/>
  <c r="CD35" i="50"/>
  <c r="CD33" i="50"/>
  <c r="CC33" i="50"/>
  <c r="CD34" i="50"/>
  <c r="CD32" i="50"/>
  <c r="CC34" i="50"/>
  <c r="CC32" i="50"/>
  <c r="B570" i="53"/>
  <c r="BZ35" i="50" s="1"/>
  <c r="B571" i="53"/>
  <c r="CA33" i="50" s="1"/>
  <c r="B572" i="53"/>
  <c r="CA35" i="50" s="1"/>
  <c r="B573" i="53"/>
  <c r="B569" i="53"/>
  <c r="BZ33" i="50" s="1"/>
  <c r="W26" i="99"/>
  <c r="CA32" i="50" l="1"/>
  <c r="BZ32" i="50"/>
  <c r="BZ34" i="50"/>
  <c r="CA34" i="50"/>
  <c r="S126" i="99" l="1"/>
  <c r="J148" i="99"/>
  <c r="C144" i="53" l="1"/>
  <c r="D144" i="53"/>
  <c r="B144" i="53"/>
  <c r="S5" i="50" s="1"/>
  <c r="D86" i="53"/>
  <c r="D87" i="53"/>
  <c r="D88" i="53"/>
  <c r="D89" i="53"/>
  <c r="D90" i="53"/>
  <c r="D91" i="53"/>
  <c r="D92" i="53"/>
  <c r="D93" i="53"/>
  <c r="D94" i="53"/>
  <c r="D95" i="53"/>
  <c r="D96" i="53"/>
  <c r="D97" i="53"/>
  <c r="D98" i="53"/>
  <c r="D99" i="53"/>
  <c r="D100" i="53"/>
  <c r="D101" i="53"/>
  <c r="D102" i="53"/>
  <c r="D103" i="53"/>
  <c r="D104" i="53"/>
  <c r="D105" i="53"/>
  <c r="D106" i="53"/>
  <c r="D107" i="53"/>
  <c r="D108" i="53"/>
  <c r="D109" i="53"/>
  <c r="D110" i="53"/>
  <c r="D111" i="53"/>
  <c r="D112" i="53"/>
  <c r="D113" i="53"/>
  <c r="D114" i="53"/>
  <c r="D115" i="53"/>
  <c r="D116" i="53"/>
  <c r="D117" i="53"/>
  <c r="D118" i="53"/>
  <c r="D119" i="53"/>
  <c r="D120" i="53"/>
  <c r="D121" i="53"/>
  <c r="D122" i="53"/>
  <c r="D123" i="53"/>
  <c r="D124" i="53"/>
  <c r="D125" i="53"/>
  <c r="D126" i="53"/>
  <c r="D127" i="53"/>
  <c r="D128" i="53"/>
  <c r="D129" i="53"/>
  <c r="D130" i="53"/>
  <c r="D131" i="53"/>
  <c r="D132" i="53"/>
  <c r="D133" i="53"/>
  <c r="D134" i="53"/>
  <c r="D135" i="53"/>
  <c r="D136" i="53"/>
  <c r="D137" i="53"/>
  <c r="D138" i="53"/>
  <c r="D139" i="53"/>
  <c r="D140" i="53"/>
  <c r="D141" i="53"/>
  <c r="D142" i="53"/>
  <c r="D143" i="53"/>
  <c r="D145" i="53"/>
  <c r="D146" i="53"/>
  <c r="Q5" i="50" l="1"/>
  <c r="C78" i="53" l="1"/>
  <c r="C79" i="53"/>
  <c r="B79" i="53"/>
  <c r="B78" i="53"/>
  <c r="V16" i="96" l="1"/>
  <c r="W16" i="96" s="1"/>
  <c r="D217" i="99"/>
  <c r="D181" i="99"/>
  <c r="D145" i="99"/>
  <c r="D109" i="99"/>
  <c r="D73" i="99"/>
  <c r="D37" i="99"/>
  <c r="B55" i="53"/>
  <c r="A29" i="50" s="1"/>
  <c r="BR6" i="50" l="1"/>
  <c r="AC198" i="99"/>
  <c r="AC162" i="99"/>
  <c r="AC126" i="99"/>
  <c r="AC90" i="99"/>
  <c r="AC54" i="99"/>
  <c r="AC18" i="99"/>
  <c r="AC191" i="99"/>
  <c r="AC155" i="99"/>
  <c r="AC119" i="99"/>
  <c r="AC83" i="99"/>
  <c r="AC47" i="99"/>
  <c r="AC11" i="99"/>
  <c r="B567" i="53" l="1"/>
  <c r="W189" i="99" l="1"/>
  <c r="W153" i="99"/>
  <c r="W117" i="99"/>
  <c r="W81" i="99"/>
  <c r="W45" i="99"/>
  <c r="W9" i="99"/>
  <c r="J40" i="99" l="1"/>
  <c r="AC190" i="99" l="1"/>
  <c r="AC154" i="99"/>
  <c r="AC118" i="99"/>
  <c r="AC82" i="99"/>
  <c r="AC46" i="99"/>
  <c r="AC210" i="99"/>
  <c r="AC209" i="99"/>
  <c r="AC208" i="99"/>
  <c r="AC207" i="99"/>
  <c r="AC206" i="99"/>
  <c r="AL203" i="99"/>
  <c r="AB203" i="99"/>
  <c r="AC202" i="99"/>
  <c r="AC201" i="99"/>
  <c r="AC200" i="99"/>
  <c r="AL199" i="99"/>
  <c r="AB199" i="99"/>
  <c r="AC197" i="99"/>
  <c r="AC196" i="99"/>
  <c r="AJ194" i="99"/>
  <c r="AC194" i="99"/>
  <c r="AC174" i="99"/>
  <c r="AC173" i="99"/>
  <c r="AC172" i="99"/>
  <c r="AC171" i="99"/>
  <c r="AC170" i="99"/>
  <c r="AL167" i="99"/>
  <c r="AB167" i="99"/>
  <c r="AC166" i="99"/>
  <c r="AC165" i="99"/>
  <c r="AC164" i="99"/>
  <c r="AL163" i="99"/>
  <c r="AB163" i="99"/>
  <c r="AC161" i="99"/>
  <c r="AC160" i="99"/>
  <c r="AJ158" i="99"/>
  <c r="AC158" i="99"/>
  <c r="AC138" i="99"/>
  <c r="AC137" i="99"/>
  <c r="AC136" i="99"/>
  <c r="AC135" i="99"/>
  <c r="AC134" i="99"/>
  <c r="AL131" i="99"/>
  <c r="AB131" i="99"/>
  <c r="AC130" i="99"/>
  <c r="AC129" i="99"/>
  <c r="AC128" i="99"/>
  <c r="AL127" i="99"/>
  <c r="AB127" i="99"/>
  <c r="AC125" i="99"/>
  <c r="AC124" i="99"/>
  <c r="AJ122" i="99"/>
  <c r="AC122" i="99"/>
  <c r="AC102" i="99"/>
  <c r="AC101" i="99"/>
  <c r="AC100" i="99"/>
  <c r="AC99" i="99"/>
  <c r="AC98" i="99"/>
  <c r="AL95" i="99"/>
  <c r="AB95" i="99"/>
  <c r="AC94" i="99"/>
  <c r="AC93" i="99"/>
  <c r="AC92" i="99"/>
  <c r="AL91" i="99"/>
  <c r="AB91" i="99"/>
  <c r="AC89" i="99"/>
  <c r="AC88" i="99"/>
  <c r="AJ86" i="99"/>
  <c r="AC86" i="99"/>
  <c r="AC66" i="99"/>
  <c r="AC65" i="99"/>
  <c r="AC64" i="99"/>
  <c r="AC63" i="99"/>
  <c r="AC62" i="99"/>
  <c r="AL59" i="99"/>
  <c r="AB59" i="99"/>
  <c r="AC58" i="99"/>
  <c r="AC57" i="99"/>
  <c r="AC56" i="99"/>
  <c r="AL55" i="99"/>
  <c r="AB55" i="99"/>
  <c r="AC53" i="99"/>
  <c r="AC52" i="99"/>
  <c r="AJ50" i="99"/>
  <c r="AC50" i="99"/>
  <c r="W210" i="99"/>
  <c r="W209" i="99"/>
  <c r="W208" i="99"/>
  <c r="W207" i="99"/>
  <c r="W206" i="99"/>
  <c r="W205" i="99"/>
  <c r="W202" i="99"/>
  <c r="W201" i="99"/>
  <c r="W200" i="99"/>
  <c r="AG199" i="99"/>
  <c r="W199" i="99"/>
  <c r="W198" i="99"/>
  <c r="W197" i="99"/>
  <c r="W196" i="99"/>
  <c r="W195" i="99"/>
  <c r="W194" i="99"/>
  <c r="AJ193" i="99"/>
  <c r="AC193" i="99"/>
  <c r="W192" i="99"/>
  <c r="W191" i="99"/>
  <c r="W190" i="99"/>
  <c r="W174" i="99"/>
  <c r="W173" i="99"/>
  <c r="W172" i="99"/>
  <c r="W171" i="99"/>
  <c r="W170" i="99"/>
  <c r="W169" i="99"/>
  <c r="W166" i="99"/>
  <c r="W165" i="99"/>
  <c r="W164" i="99"/>
  <c r="AG163" i="99"/>
  <c r="W163" i="99"/>
  <c r="W162" i="99"/>
  <c r="W161" i="99"/>
  <c r="W160" i="99"/>
  <c r="W159" i="99"/>
  <c r="W158" i="99"/>
  <c r="AJ157" i="99"/>
  <c r="AC157" i="99"/>
  <c r="W156" i="99"/>
  <c r="W155" i="99"/>
  <c r="W154" i="99"/>
  <c r="W138" i="99"/>
  <c r="W137" i="99"/>
  <c r="W136" i="99"/>
  <c r="W135" i="99"/>
  <c r="W134" i="99"/>
  <c r="W133" i="99"/>
  <c r="W130" i="99"/>
  <c r="W129" i="99"/>
  <c r="W128" i="99"/>
  <c r="AG127" i="99"/>
  <c r="W127" i="99"/>
  <c r="W126" i="99"/>
  <c r="W125" i="99"/>
  <c r="W124" i="99"/>
  <c r="W123" i="99"/>
  <c r="W122" i="99"/>
  <c r="AJ121" i="99"/>
  <c r="AC121" i="99"/>
  <c r="W120" i="99"/>
  <c r="W119" i="99"/>
  <c r="W118" i="99"/>
  <c r="W102" i="99"/>
  <c r="W101" i="99"/>
  <c r="W100" i="99"/>
  <c r="W99" i="99"/>
  <c r="W98" i="99"/>
  <c r="W97" i="99"/>
  <c r="W94" i="99"/>
  <c r="W93" i="99"/>
  <c r="W92" i="99"/>
  <c r="AG91" i="99"/>
  <c r="W91" i="99"/>
  <c r="W90" i="99"/>
  <c r="W89" i="99"/>
  <c r="W88" i="99"/>
  <c r="W87" i="99"/>
  <c r="W86" i="99"/>
  <c r="AJ85" i="99"/>
  <c r="AC85" i="99"/>
  <c r="W84" i="99"/>
  <c r="W83" i="99"/>
  <c r="W82" i="99"/>
  <c r="W66" i="99"/>
  <c r="W65" i="99"/>
  <c r="W64" i="99"/>
  <c r="W63" i="99"/>
  <c r="W62" i="99"/>
  <c r="W61" i="99"/>
  <c r="W58" i="99"/>
  <c r="W57" i="99"/>
  <c r="W56" i="99"/>
  <c r="AG55" i="99"/>
  <c r="W55" i="99"/>
  <c r="W54" i="99"/>
  <c r="W53" i="99"/>
  <c r="W52" i="99"/>
  <c r="W51" i="99"/>
  <c r="W50" i="99"/>
  <c r="AJ49" i="99"/>
  <c r="AC49" i="99"/>
  <c r="W48" i="99"/>
  <c r="W47" i="99"/>
  <c r="W46" i="99"/>
  <c r="AC30" i="99"/>
  <c r="AC29" i="99"/>
  <c r="AC28" i="99"/>
  <c r="AC27" i="99"/>
  <c r="AC26" i="99"/>
  <c r="AL23" i="99"/>
  <c r="AB23" i="99"/>
  <c r="AC22" i="99"/>
  <c r="AC21" i="99"/>
  <c r="AC20" i="99"/>
  <c r="AL19" i="99"/>
  <c r="AB19" i="99"/>
  <c r="AC17" i="99"/>
  <c r="AC16" i="99"/>
  <c r="AC14" i="99"/>
  <c r="AJ14" i="99"/>
  <c r="S198" i="99"/>
  <c r="J220" i="99"/>
  <c r="J184" i="99"/>
  <c r="S162" i="99"/>
  <c r="S90" i="99"/>
  <c r="J112" i="99"/>
  <c r="J76" i="99"/>
  <c r="S54" i="99"/>
  <c r="S18" i="99"/>
  <c r="L220" i="99"/>
  <c r="K220" i="99"/>
  <c r="I220" i="99"/>
  <c r="H220" i="99"/>
  <c r="G220" i="99"/>
  <c r="S207" i="99"/>
  <c r="S206" i="99"/>
  <c r="S205" i="99"/>
  <c r="S204" i="99"/>
  <c r="S203" i="99"/>
  <c r="S202" i="99"/>
  <c r="S201" i="99"/>
  <c r="S200" i="99"/>
  <c r="S199" i="99"/>
  <c r="AV195" i="99"/>
  <c r="BY194" i="99"/>
  <c r="AV194" i="99"/>
  <c r="BY193" i="99"/>
  <c r="BA193" i="99"/>
  <c r="AV193" i="99"/>
  <c r="BY192" i="99"/>
  <c r="AC205" i="99" s="1"/>
  <c r="BA192" i="99"/>
  <c r="AV192" i="99"/>
  <c r="L184" i="99"/>
  <c r="K184" i="99"/>
  <c r="I184" i="99"/>
  <c r="H184" i="99"/>
  <c r="G184" i="99"/>
  <c r="S171" i="99"/>
  <c r="S170" i="99"/>
  <c r="S169" i="99"/>
  <c r="S168" i="99"/>
  <c r="S167" i="99"/>
  <c r="S166" i="99"/>
  <c r="S165" i="99"/>
  <c r="S164" i="99"/>
  <c r="S163" i="99"/>
  <c r="AV159" i="99"/>
  <c r="BY158" i="99"/>
  <c r="AV158" i="99"/>
  <c r="BY157" i="99"/>
  <c r="BA157" i="99"/>
  <c r="AV157" i="99"/>
  <c r="BY156" i="99"/>
  <c r="AC169" i="99" s="1"/>
  <c r="BA156" i="99"/>
  <c r="AV156" i="99"/>
  <c r="L148" i="99"/>
  <c r="K148" i="99"/>
  <c r="I148" i="99"/>
  <c r="H148" i="99"/>
  <c r="G148" i="99"/>
  <c r="S135" i="99"/>
  <c r="S134" i="99"/>
  <c r="S133" i="99"/>
  <c r="S132" i="99"/>
  <c r="S131" i="99"/>
  <c r="S130" i="99"/>
  <c r="S129" i="99"/>
  <c r="S128" i="99"/>
  <c r="S127" i="99"/>
  <c r="AV123" i="99"/>
  <c r="BY122" i="99"/>
  <c r="AV122" i="99"/>
  <c r="BY121" i="99"/>
  <c r="BA121" i="99"/>
  <c r="AV121" i="99"/>
  <c r="BY120" i="99"/>
  <c r="AC133" i="99" s="1"/>
  <c r="BA120" i="99"/>
  <c r="AV120" i="99"/>
  <c r="L112" i="99"/>
  <c r="K112" i="99"/>
  <c r="I112" i="99"/>
  <c r="H112" i="99"/>
  <c r="G112" i="99"/>
  <c r="S99" i="99"/>
  <c r="S98" i="99"/>
  <c r="S97" i="99"/>
  <c r="S96" i="99"/>
  <c r="S95" i="99"/>
  <c r="S94" i="99"/>
  <c r="S93" i="99"/>
  <c r="S92" i="99"/>
  <c r="S91" i="99"/>
  <c r="AV87" i="99"/>
  <c r="BY86" i="99"/>
  <c r="AV86" i="99"/>
  <c r="BY85" i="99"/>
  <c r="BA85" i="99"/>
  <c r="AV85" i="99"/>
  <c r="BY84" i="99"/>
  <c r="AC97" i="99" s="1"/>
  <c r="BA84" i="99"/>
  <c r="AV84" i="99"/>
  <c r="L76" i="99"/>
  <c r="K76" i="99"/>
  <c r="I76" i="99"/>
  <c r="H76" i="99"/>
  <c r="G76" i="99"/>
  <c r="S63" i="99"/>
  <c r="S62" i="99"/>
  <c r="S61" i="99"/>
  <c r="S60" i="99"/>
  <c r="S59" i="99"/>
  <c r="S58" i="99"/>
  <c r="S57" i="99"/>
  <c r="S56" i="99"/>
  <c r="S55" i="99"/>
  <c r="AV51" i="99"/>
  <c r="BY50" i="99"/>
  <c r="AV50" i="99"/>
  <c r="BY49" i="99"/>
  <c r="BA49" i="99"/>
  <c r="AV49" i="99"/>
  <c r="BY48" i="99"/>
  <c r="AC61" i="99" s="1"/>
  <c r="BA48" i="99"/>
  <c r="AV48" i="99"/>
  <c r="BY14" i="99"/>
  <c r="BY13" i="99"/>
  <c r="BY12" i="99"/>
  <c r="BA13" i="99"/>
  <c r="BA12" i="99"/>
  <c r="AV15" i="99"/>
  <c r="AV14" i="99"/>
  <c r="AV13" i="99"/>
  <c r="AV12" i="99"/>
  <c r="AJ13" i="99"/>
  <c r="AC13" i="99"/>
  <c r="AC10" i="99"/>
  <c r="W30" i="99"/>
  <c r="W29" i="99"/>
  <c r="W28" i="99"/>
  <c r="W27" i="99"/>
  <c r="W25" i="99"/>
  <c r="W22" i="99"/>
  <c r="W21" i="99"/>
  <c r="W20" i="99"/>
  <c r="AG19" i="99"/>
  <c r="W19" i="99"/>
  <c r="W18" i="99"/>
  <c r="W17" i="99"/>
  <c r="W16" i="99"/>
  <c r="W15" i="99"/>
  <c r="W14" i="99"/>
  <c r="W12" i="99"/>
  <c r="W11" i="99"/>
  <c r="W10" i="99"/>
  <c r="S23" i="99"/>
  <c r="S19" i="99"/>
  <c r="S20" i="99"/>
  <c r="S21" i="99"/>
  <c r="S22" i="99"/>
  <c r="S24" i="99"/>
  <c r="S25" i="99"/>
  <c r="S26" i="99"/>
  <c r="S27" i="99"/>
  <c r="G40" i="99"/>
  <c r="H40" i="99"/>
  <c r="I40" i="99"/>
  <c r="K40" i="99"/>
  <c r="L40" i="99"/>
  <c r="AC25" i="99" l="1"/>
  <c r="AO1" i="99"/>
  <c r="AL6" i="71" l="1"/>
  <c r="AD7" i="71"/>
  <c r="AD6" i="71"/>
  <c r="AD5" i="71"/>
  <c r="Q7" i="71"/>
  <c r="Q6" i="71"/>
  <c r="Q5" i="71"/>
  <c r="B13" i="53" l="1"/>
  <c r="B14" i="53"/>
  <c r="B15" i="53"/>
  <c r="B16" i="53"/>
  <c r="B17" i="53"/>
  <c r="B18" i="53"/>
  <c r="B19" i="53"/>
  <c r="B20" i="53"/>
  <c r="B21" i="53"/>
  <c r="B22" i="53"/>
  <c r="B23" i="53"/>
  <c r="B24" i="53"/>
  <c r="B25" i="53"/>
  <c r="B26" i="53"/>
  <c r="B27" i="53"/>
  <c r="B28" i="53"/>
  <c r="B29" i="53"/>
  <c r="B30" i="53"/>
  <c r="B31" i="53"/>
  <c r="B32" i="53"/>
  <c r="B33" i="53"/>
  <c r="B34" i="53"/>
  <c r="B35" i="53"/>
  <c r="B36" i="53"/>
  <c r="B37" i="53"/>
  <c r="B38" i="53"/>
  <c r="B39" i="53"/>
  <c r="A38" i="50" s="1"/>
  <c r="B40" i="53"/>
  <c r="B41" i="53"/>
  <c r="B42" i="53"/>
  <c r="B43" i="53"/>
  <c r="B44" i="53"/>
  <c r="B45" i="53"/>
  <c r="B46" i="53"/>
  <c r="B47" i="53"/>
  <c r="B48" i="53"/>
  <c r="B49" i="53"/>
  <c r="B50" i="53"/>
  <c r="B51" i="53"/>
  <c r="B52" i="53"/>
  <c r="B53" i="53"/>
  <c r="B54" i="53"/>
  <c r="B56" i="53"/>
  <c r="B57" i="53"/>
  <c r="A38" i="63" l="1"/>
  <c r="A53" i="63"/>
  <c r="A37" i="63"/>
  <c r="A33" i="63"/>
  <c r="A29" i="63"/>
  <c r="A26" i="63"/>
  <c r="A22" i="63"/>
  <c r="A19" i="61"/>
  <c r="A15" i="59"/>
  <c r="A11" i="63"/>
  <c r="A54" i="63"/>
  <c r="A41" i="63"/>
  <c r="A30" i="63"/>
  <c r="A10" i="63"/>
  <c r="A34" i="63"/>
  <c r="A27" i="61"/>
  <c r="A23" i="59"/>
  <c r="A20" i="63"/>
  <c r="A16" i="63"/>
  <c r="A12" i="63"/>
  <c r="A43" i="61"/>
  <c r="A40" i="63"/>
  <c r="A36" i="63"/>
  <c r="A32" i="63"/>
  <c r="A28" i="63"/>
  <c r="A25" i="63"/>
  <c r="A51" i="63"/>
  <c r="A18" i="63"/>
  <c r="A42" i="63"/>
  <c r="A39" i="59"/>
  <c r="A35" i="57"/>
  <c r="A31" i="63"/>
  <c r="A52" i="63"/>
  <c r="A24" i="63"/>
  <c r="A21" i="63"/>
  <c r="A17" i="63"/>
  <c r="A13" i="63"/>
  <c r="A50" i="63"/>
  <c r="A14" i="63"/>
  <c r="G7" i="95"/>
  <c r="G7" i="94"/>
  <c r="G7" i="93"/>
  <c r="G7" i="92"/>
  <c r="G7" i="91"/>
  <c r="G7" i="32"/>
  <c r="A43" i="59"/>
  <c r="A43" i="50"/>
  <c r="A31" i="61"/>
  <c r="A35" i="55"/>
  <c r="A51" i="61"/>
  <c r="A39" i="57"/>
  <c r="A35" i="63"/>
  <c r="A27" i="59"/>
  <c r="A23" i="55"/>
  <c r="A39" i="55"/>
  <c r="A27" i="57"/>
  <c r="A43" i="57"/>
  <c r="A31" i="59"/>
  <c r="A51" i="59"/>
  <c r="A35" i="61"/>
  <c r="A23" i="63"/>
  <c r="A39" i="63"/>
  <c r="A27" i="55"/>
  <c r="A43" i="55"/>
  <c r="A31" i="57"/>
  <c r="A51" i="57"/>
  <c r="A35" i="59"/>
  <c r="A23" i="61"/>
  <c r="A39" i="61"/>
  <c r="A27" i="63"/>
  <c r="A43" i="63"/>
  <c r="A23" i="57"/>
  <c r="A31" i="55"/>
  <c r="A51" i="55"/>
  <c r="A19" i="55"/>
  <c r="A15" i="57"/>
  <c r="A11" i="61"/>
  <c r="A15" i="63"/>
  <c r="A19" i="63"/>
  <c r="A14" i="50"/>
  <c r="A31" i="50"/>
  <c r="A10" i="55"/>
  <c r="A14" i="55"/>
  <c r="A18" i="55"/>
  <c r="A22" i="55"/>
  <c r="A26" i="55"/>
  <c r="A30" i="55"/>
  <c r="A34" i="55"/>
  <c r="A38" i="55"/>
  <c r="A42" i="55"/>
  <c r="A50" i="55"/>
  <c r="A54" i="55"/>
  <c r="A10" i="57"/>
  <c r="A14" i="57"/>
  <c r="A18" i="57"/>
  <c r="A22" i="57"/>
  <c r="A26" i="57"/>
  <c r="A30" i="57"/>
  <c r="A34" i="57"/>
  <c r="A38" i="57"/>
  <c r="A42" i="57"/>
  <c r="A50" i="57"/>
  <c r="A54" i="57"/>
  <c r="A10" i="59"/>
  <c r="A14" i="59"/>
  <c r="A18" i="59"/>
  <c r="A22" i="59"/>
  <c r="A26" i="59"/>
  <c r="A30" i="59"/>
  <c r="A34" i="59"/>
  <c r="A38" i="59"/>
  <c r="A42" i="59"/>
  <c r="A50" i="59"/>
  <c r="A54" i="59"/>
  <c r="A10" i="61"/>
  <c r="A14" i="61"/>
  <c r="A18" i="61"/>
  <c r="A22" i="61"/>
  <c r="A26" i="61"/>
  <c r="A30" i="61"/>
  <c r="A34" i="61"/>
  <c r="A38" i="61"/>
  <c r="A42" i="61"/>
  <c r="A50" i="61"/>
  <c r="A54" i="61"/>
  <c r="A11" i="55"/>
  <c r="A11" i="57"/>
  <c r="A19" i="57"/>
  <c r="A11" i="59"/>
  <c r="A19" i="59"/>
  <c r="A15" i="61"/>
  <c r="A49" i="50"/>
  <c r="A12" i="55"/>
  <c r="A16" i="55"/>
  <c r="A20" i="55"/>
  <c r="A24" i="55"/>
  <c r="A28" i="55"/>
  <c r="A32" i="55"/>
  <c r="A36" i="55"/>
  <c r="A40" i="55"/>
  <c r="A52" i="55"/>
  <c r="A12" i="57"/>
  <c r="A16" i="57"/>
  <c r="A20" i="57"/>
  <c r="A24" i="57"/>
  <c r="A28" i="57"/>
  <c r="A32" i="57"/>
  <c r="A36" i="57"/>
  <c r="A40" i="57"/>
  <c r="A52" i="57"/>
  <c r="A12" i="59"/>
  <c r="A16" i="59"/>
  <c r="A20" i="59"/>
  <c r="A24" i="59"/>
  <c r="A28" i="59"/>
  <c r="A32" i="59"/>
  <c r="A36" i="59"/>
  <c r="A40" i="59"/>
  <c r="A52" i="59"/>
  <c r="A12" i="61"/>
  <c r="A16" i="61"/>
  <c r="A20" i="61"/>
  <c r="A24" i="61"/>
  <c r="A28" i="61"/>
  <c r="A32" i="61"/>
  <c r="A36" i="61"/>
  <c r="A40" i="61"/>
  <c r="A52" i="61"/>
  <c r="A15" i="55"/>
  <c r="A21" i="50"/>
  <c r="A13" i="55"/>
  <c r="A17" i="55"/>
  <c r="A21" i="55"/>
  <c r="A25" i="55"/>
  <c r="A29" i="55"/>
  <c r="A33" i="55"/>
  <c r="A37" i="55"/>
  <c r="A41" i="55"/>
  <c r="A53" i="55"/>
  <c r="A13" i="57"/>
  <c r="A17" i="57"/>
  <c r="A21" i="57"/>
  <c r="A25" i="57"/>
  <c r="A29" i="57"/>
  <c r="A33" i="57"/>
  <c r="A37" i="57"/>
  <c r="A41" i="57"/>
  <c r="A53" i="57"/>
  <c r="A13" i="59"/>
  <c r="A17" i="59"/>
  <c r="A21" i="59"/>
  <c r="A25" i="59"/>
  <c r="A29" i="59"/>
  <c r="A33" i="59"/>
  <c r="A37" i="59"/>
  <c r="A41" i="59"/>
  <c r="A53" i="59"/>
  <c r="A13" i="61"/>
  <c r="A17" i="61"/>
  <c r="A21" i="61"/>
  <c r="A25" i="61"/>
  <c r="A29" i="61"/>
  <c r="A33" i="61"/>
  <c r="A37" i="61"/>
  <c r="A41" i="61"/>
  <c r="A53" i="61"/>
  <c r="B563" i="53"/>
  <c r="E63" i="52" s="1"/>
  <c r="B564" i="53"/>
  <c r="E61" i="52" s="1"/>
  <c r="B565" i="53"/>
  <c r="F63" i="52" s="1"/>
  <c r="B566" i="53"/>
  <c r="F49" i="52" s="1"/>
  <c r="AA29" i="95"/>
  <c r="AA29" i="94"/>
  <c r="AA29" i="93"/>
  <c r="AA29" i="92"/>
  <c r="AA29" i="91"/>
  <c r="AA29" i="32"/>
  <c r="F19" i="52" l="1"/>
  <c r="F40" i="52"/>
  <c r="F60" i="52"/>
  <c r="G63" i="52"/>
  <c r="E9" i="52"/>
  <c r="F6" i="52"/>
  <c r="F23" i="52"/>
  <c r="F47" i="52"/>
  <c r="F64" i="52"/>
  <c r="E55" i="52"/>
  <c r="E25" i="52"/>
  <c r="F10" i="52"/>
  <c r="F29" i="52"/>
  <c r="F52" i="52"/>
  <c r="F28" i="52"/>
  <c r="E42" i="52"/>
  <c r="F15" i="52"/>
  <c r="F34" i="52"/>
  <c r="F56" i="52"/>
  <c r="F41" i="52"/>
  <c r="E22" i="52"/>
  <c r="E64" i="52"/>
  <c r="E3" i="52"/>
  <c r="E12" i="52"/>
  <c r="E29" i="52"/>
  <c r="G29" i="52" s="1"/>
  <c r="E47" i="52"/>
  <c r="E57" i="52"/>
  <c r="E13" i="52"/>
  <c r="E26" i="52"/>
  <c r="E39" i="52"/>
  <c r="E49" i="52"/>
  <c r="G49" i="52" s="1"/>
  <c r="F2" i="52"/>
  <c r="F7" i="52"/>
  <c r="F12" i="52"/>
  <c r="F16" i="52"/>
  <c r="F20" i="52"/>
  <c r="F25" i="52"/>
  <c r="F30" i="52"/>
  <c r="F35" i="52"/>
  <c r="F42" i="52"/>
  <c r="F48" i="52"/>
  <c r="F53" i="52"/>
  <c r="F57" i="52"/>
  <c r="F61" i="52"/>
  <c r="G61" i="52" s="1"/>
  <c r="F4" i="52"/>
  <c r="F32" i="52"/>
  <c r="F44" i="52"/>
  <c r="E38" i="52"/>
  <c r="E4" i="52"/>
  <c r="G4" i="52" s="1"/>
  <c r="E15" i="52"/>
  <c r="E33" i="52"/>
  <c r="E51" i="52"/>
  <c r="E60" i="52"/>
  <c r="E16" i="52"/>
  <c r="E30" i="52"/>
  <c r="E43" i="52"/>
  <c r="E58" i="52"/>
  <c r="F3" i="52"/>
  <c r="F8" i="52"/>
  <c r="F13" i="52"/>
  <c r="F17" i="52"/>
  <c r="F21" i="52"/>
  <c r="F26" i="52"/>
  <c r="F31" i="52"/>
  <c r="F37" i="52"/>
  <c r="F43" i="52"/>
  <c r="F50" i="52"/>
  <c r="F54" i="52"/>
  <c r="F58" i="52"/>
  <c r="F62" i="52"/>
  <c r="F11" i="52"/>
  <c r="F36" i="52"/>
  <c r="F46" i="52"/>
  <c r="E5" i="52"/>
  <c r="E48" i="52"/>
  <c r="E7" i="52"/>
  <c r="E18" i="52"/>
  <c r="E37" i="52"/>
  <c r="E53" i="52"/>
  <c r="E19" i="52"/>
  <c r="E34" i="52"/>
  <c r="E44" i="52"/>
  <c r="F5" i="52"/>
  <c r="F9" i="52"/>
  <c r="F14" i="52"/>
  <c r="F18" i="52"/>
  <c r="F22" i="52"/>
  <c r="F27" i="52"/>
  <c r="F33" i="52"/>
  <c r="F38" i="52"/>
  <c r="F45" i="52"/>
  <c r="F51" i="52"/>
  <c r="F55" i="52"/>
  <c r="F59" i="52"/>
  <c r="F24" i="52"/>
  <c r="F39" i="52"/>
  <c r="D6" i="53"/>
  <c r="G53" i="52" l="1"/>
  <c r="G30" i="52"/>
  <c r="G19" i="52"/>
  <c r="G34" i="52"/>
  <c r="G18" i="52"/>
  <c r="G60" i="52"/>
  <c r="G7" i="52"/>
  <c r="G48" i="52"/>
  <c r="G33" i="52"/>
  <c r="G3" i="52"/>
  <c r="G25" i="52"/>
  <c r="G15" i="52"/>
  <c r="G47" i="52"/>
  <c r="G44" i="52"/>
  <c r="G37" i="52"/>
  <c r="G5" i="52"/>
  <c r="G16" i="52"/>
  <c r="G39" i="52"/>
  <c r="G64" i="52"/>
  <c r="G55" i="52"/>
  <c r="G58" i="52"/>
  <c r="G26" i="52"/>
  <c r="G22" i="52"/>
  <c r="G9" i="52"/>
  <c r="G57" i="52"/>
  <c r="G43" i="52"/>
  <c r="G51" i="52"/>
  <c r="G38" i="52"/>
  <c r="G13" i="52"/>
  <c r="G12" i="52"/>
  <c r="G42" i="52"/>
  <c r="B558" i="53"/>
  <c r="B559" i="53"/>
  <c r="B560" i="53"/>
  <c r="B561" i="53"/>
  <c r="J21" i="97" s="1"/>
  <c r="B562" i="53"/>
  <c r="B70" i="53"/>
  <c r="A47" i="55" l="1"/>
  <c r="A47" i="59"/>
  <c r="A47" i="57"/>
  <c r="A47" i="63"/>
  <c r="A47" i="61"/>
  <c r="E59" i="52"/>
  <c r="G59" i="52" s="1"/>
  <c r="E50" i="52"/>
  <c r="G50" i="52" s="1"/>
  <c r="E40" i="52"/>
  <c r="G40" i="52" s="1"/>
  <c r="E31" i="52"/>
  <c r="G31" i="52" s="1"/>
  <c r="E23" i="52"/>
  <c r="G23" i="52" s="1"/>
  <c r="E14" i="52"/>
  <c r="G14" i="52" s="1"/>
  <c r="E6" i="52"/>
  <c r="G6" i="52" s="1"/>
  <c r="E62" i="52"/>
  <c r="G62" i="52" s="1"/>
  <c r="E41" i="52"/>
  <c r="G41" i="52" s="1"/>
  <c r="E8" i="52"/>
  <c r="G8" i="52" s="1"/>
  <c r="E56" i="52"/>
  <c r="G56" i="52" s="1"/>
  <c r="E46" i="52"/>
  <c r="G46" i="52" s="1"/>
  <c r="E36" i="52"/>
  <c r="G36" i="52" s="1"/>
  <c r="E28" i="52"/>
  <c r="G28" i="52" s="1"/>
  <c r="E21" i="52"/>
  <c r="G21" i="52" s="1"/>
  <c r="E11" i="52"/>
  <c r="G11" i="52" s="1"/>
  <c r="E2" i="52"/>
  <c r="G2" i="52" s="1"/>
  <c r="E52" i="52"/>
  <c r="G52" i="52" s="1"/>
  <c r="E24" i="52"/>
  <c r="G24" i="52" s="1"/>
  <c r="E54" i="52"/>
  <c r="G54" i="52" s="1"/>
  <c r="E45" i="52"/>
  <c r="G45" i="52" s="1"/>
  <c r="E35" i="52"/>
  <c r="G35" i="52" s="1"/>
  <c r="E27" i="52"/>
  <c r="G27" i="52" s="1"/>
  <c r="E20" i="52"/>
  <c r="G20" i="52" s="1"/>
  <c r="E10" i="52"/>
  <c r="G10" i="52" s="1"/>
  <c r="E32" i="52"/>
  <c r="G32" i="52" s="1"/>
  <c r="E17" i="52"/>
  <c r="G17" i="52" s="1"/>
  <c r="A53" i="50"/>
  <c r="F17" i="50"/>
  <c r="S18" i="95" l="1"/>
  <c r="S13" i="95"/>
  <c r="S18" i="94"/>
  <c r="S13" i="94"/>
  <c r="S18" i="93"/>
  <c r="S18" i="92"/>
  <c r="S18" i="91"/>
  <c r="B83" i="53" l="1"/>
  <c r="B84" i="53"/>
  <c r="B85" i="53"/>
  <c r="B86" i="53"/>
  <c r="B87" i="53"/>
  <c r="B88" i="53"/>
  <c r="B89" i="53"/>
  <c r="B90" i="53"/>
  <c r="B91" i="53"/>
  <c r="B92" i="53"/>
  <c r="B93" i="53"/>
  <c r="B94" i="53"/>
  <c r="B95" i="53"/>
  <c r="B96" i="53"/>
  <c r="B97" i="53"/>
  <c r="B98" i="53"/>
  <c r="B99" i="53"/>
  <c r="B100" i="53"/>
  <c r="B101" i="53"/>
  <c r="B102" i="53"/>
  <c r="B103" i="53"/>
  <c r="B104" i="53"/>
  <c r="B105" i="53"/>
  <c r="B106" i="53"/>
  <c r="B107" i="53"/>
  <c r="B108" i="53"/>
  <c r="B109" i="53"/>
  <c r="B110" i="53"/>
  <c r="B111" i="53"/>
  <c r="B112" i="53"/>
  <c r="B113" i="53"/>
  <c r="B114" i="53"/>
  <c r="B115" i="53"/>
  <c r="B116" i="53"/>
  <c r="B117" i="53"/>
  <c r="B118" i="53"/>
  <c r="B119" i="53"/>
  <c r="B120" i="53"/>
  <c r="B121" i="53"/>
  <c r="B122" i="53"/>
  <c r="B123" i="53"/>
  <c r="B124" i="53"/>
  <c r="B125" i="53"/>
  <c r="B126" i="53"/>
  <c r="B127" i="53"/>
  <c r="B128" i="53"/>
  <c r="B129" i="53"/>
  <c r="B130" i="53"/>
  <c r="B131" i="53"/>
  <c r="B132" i="53"/>
  <c r="B133" i="53"/>
  <c r="B134" i="53"/>
  <c r="B135" i="53"/>
  <c r="B136" i="53"/>
  <c r="B137" i="53"/>
  <c r="B138" i="53"/>
  <c r="B139" i="53"/>
  <c r="B140" i="53"/>
  <c r="B141" i="53"/>
  <c r="B142" i="53"/>
  <c r="B143" i="53"/>
  <c r="B145" i="53"/>
  <c r="B146" i="53"/>
  <c r="B147" i="53"/>
  <c r="B148" i="53"/>
  <c r="B149" i="53"/>
  <c r="A2" i="94" s="1"/>
  <c r="B150" i="53"/>
  <c r="B151" i="53"/>
  <c r="B32" i="95" s="1"/>
  <c r="B152" i="53"/>
  <c r="B153" i="53"/>
  <c r="B21" i="94" s="1"/>
  <c r="B154" i="53"/>
  <c r="C17" i="96" s="1"/>
  <c r="B155" i="53"/>
  <c r="B156" i="53"/>
  <c r="B157" i="53"/>
  <c r="B158" i="53"/>
  <c r="C19" i="96" s="1"/>
  <c r="B159" i="53"/>
  <c r="B160" i="53"/>
  <c r="B161" i="53"/>
  <c r="B162" i="53"/>
  <c r="B163" i="53"/>
  <c r="B164" i="53"/>
  <c r="B165" i="53"/>
  <c r="B166" i="53"/>
  <c r="B167" i="53"/>
  <c r="B168" i="53"/>
  <c r="B169" i="53"/>
  <c r="B170" i="53"/>
  <c r="B171" i="53"/>
  <c r="B172" i="53"/>
  <c r="B173" i="53"/>
  <c r="B174" i="53"/>
  <c r="B175" i="53"/>
  <c r="B176" i="53"/>
  <c r="B177" i="53"/>
  <c r="B178" i="53"/>
  <c r="B179" i="53"/>
  <c r="B180" i="53"/>
  <c r="B181" i="53"/>
  <c r="B182" i="53"/>
  <c r="B183" i="53"/>
  <c r="B184" i="53"/>
  <c r="B185" i="53"/>
  <c r="B186"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8" i="21" s="1"/>
  <c r="B214" i="53"/>
  <c r="B27" i="21" s="1"/>
  <c r="B215" i="53"/>
  <c r="B216" i="53"/>
  <c r="B217" i="53"/>
  <c r="B218" i="53"/>
  <c r="B219" i="53"/>
  <c r="B220" i="53"/>
  <c r="B221" i="53"/>
  <c r="B222" i="53"/>
  <c r="B223" i="53"/>
  <c r="B224" i="53"/>
  <c r="B225" i="53"/>
  <c r="C7" i="97" s="1"/>
  <c r="B226" i="53"/>
  <c r="B227" i="53"/>
  <c r="A38" i="97" s="1"/>
  <c r="B228" i="53"/>
  <c r="B229" i="53"/>
  <c r="B230" i="53"/>
  <c r="B231" i="53"/>
  <c r="B232" i="53"/>
  <c r="B233" i="53"/>
  <c r="B234" i="53"/>
  <c r="B235" i="53"/>
  <c r="B236" i="53"/>
  <c r="B237" i="53"/>
  <c r="B238" i="53"/>
  <c r="B12" i="93" s="1"/>
  <c r="B239" i="53"/>
  <c r="B240" i="53"/>
  <c r="B241" i="53"/>
  <c r="B242" i="53"/>
  <c r="B243" i="53"/>
  <c r="B244" i="53"/>
  <c r="B245" i="53"/>
  <c r="B246" i="53"/>
  <c r="B247" i="53"/>
  <c r="B248" i="53"/>
  <c r="B249" i="53"/>
  <c r="B250" i="53"/>
  <c r="B251" i="53"/>
  <c r="B252" i="53"/>
  <c r="B253" i="53"/>
  <c r="B254" i="53"/>
  <c r="B255" i="53"/>
  <c r="B256" i="53"/>
  <c r="B257" i="53"/>
  <c r="B258" i="53"/>
  <c r="B259" i="53"/>
  <c r="B28" i="97" s="1"/>
  <c r="B260" i="53"/>
  <c r="B261" i="53"/>
  <c r="B262" i="53"/>
  <c r="B263" i="53"/>
  <c r="B264" i="53"/>
  <c r="B265" i="53"/>
  <c r="B266" i="53"/>
  <c r="B267" i="53"/>
  <c r="B268" i="53"/>
  <c r="B269" i="53"/>
  <c r="B270" i="53"/>
  <c r="B271" i="53"/>
  <c r="B272" i="53"/>
  <c r="B273" i="53"/>
  <c r="B274" i="53"/>
  <c r="B275" i="53"/>
  <c r="B276" i="53"/>
  <c r="B277" i="53"/>
  <c r="B278" i="53"/>
  <c r="B279" i="53"/>
  <c r="B280" i="53"/>
  <c r="B281" i="53"/>
  <c r="B282" i="53"/>
  <c r="B283" i="53"/>
  <c r="B284" i="53"/>
  <c r="B285" i="53"/>
  <c r="B286" i="53"/>
  <c r="B287" i="53"/>
  <c r="B288" i="53"/>
  <c r="B14" i="97" s="1"/>
  <c r="B289" i="53"/>
  <c r="Q14" i="97" s="1"/>
  <c r="B290" i="53"/>
  <c r="Q28" i="97" s="1"/>
  <c r="B291" i="53"/>
  <c r="B292" i="53"/>
  <c r="B293" i="53"/>
  <c r="B294" i="53"/>
  <c r="B295" i="53"/>
  <c r="B296" i="53"/>
  <c r="B297" i="53"/>
  <c r="S24" i="73" s="1"/>
  <c r="B298" i="53"/>
  <c r="S26" i="73" s="1"/>
  <c r="B299" i="53"/>
  <c r="B300" i="53"/>
  <c r="B301" i="53"/>
  <c r="S28" i="73" s="1"/>
  <c r="B302" i="53"/>
  <c r="S30" i="73" s="1"/>
  <c r="B303" i="53"/>
  <c r="S32" i="73" s="1"/>
  <c r="B304" i="53"/>
  <c r="S34" i="73" s="1"/>
  <c r="B305" i="53"/>
  <c r="B306" i="53"/>
  <c r="B307" i="53"/>
  <c r="B308" i="53"/>
  <c r="B309" i="53"/>
  <c r="B310" i="53"/>
  <c r="B311" i="53"/>
  <c r="B312" i="53"/>
  <c r="B313" i="53"/>
  <c r="B314" i="53"/>
  <c r="B315" i="53"/>
  <c r="B316" i="53"/>
  <c r="B317" i="53"/>
  <c r="B318" i="53"/>
  <c r="B319" i="53"/>
  <c r="B320" i="53"/>
  <c r="B321" i="53"/>
  <c r="B322" i="53"/>
  <c r="B323" i="53"/>
  <c r="B324" i="53"/>
  <c r="B325" i="53"/>
  <c r="B326" i="53"/>
  <c r="B327" i="53"/>
  <c r="B328" i="53"/>
  <c r="B329" i="53"/>
  <c r="B330" i="5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AP2" i="92" s="1"/>
  <c r="B521" i="53"/>
  <c r="B522" i="53"/>
  <c r="B7" i="92" s="1"/>
  <c r="B523" i="53"/>
  <c r="B11" i="93" s="1"/>
  <c r="B524" i="53"/>
  <c r="B13" i="93" s="1"/>
  <c r="B525" i="53"/>
  <c r="B15" i="95" s="1"/>
  <c r="B526" i="53"/>
  <c r="B527" i="53"/>
  <c r="B528" i="53"/>
  <c r="B529" i="53"/>
  <c r="B26" i="94" s="1"/>
  <c r="B530" i="53"/>
  <c r="B27" i="93" s="1"/>
  <c r="B531" i="53"/>
  <c r="DP2" i="50" s="1"/>
  <c r="B532" i="53"/>
  <c r="B533" i="53"/>
  <c r="B534" i="53"/>
  <c r="B535" i="53"/>
  <c r="B536" i="53"/>
  <c r="B537" i="53"/>
  <c r="BY13" i="50" s="1"/>
  <c r="B538" i="53"/>
  <c r="BY14" i="50" s="1"/>
  <c r="B539" i="53"/>
  <c r="BY15" i="50" s="1"/>
  <c r="B540" i="53"/>
  <c r="BY16" i="50" s="1"/>
  <c r="B541" i="53"/>
  <c r="B542" i="53"/>
  <c r="B543" i="53"/>
  <c r="B544" i="53"/>
  <c r="B545" i="53"/>
  <c r="B546" i="53"/>
  <c r="B547" i="53"/>
  <c r="AO31" i="93" s="1"/>
  <c r="B551" i="53"/>
  <c r="B552" i="53"/>
  <c r="B553" i="53"/>
  <c r="B554" i="53"/>
  <c r="B555" i="53"/>
  <c r="B556" i="53"/>
  <c r="S18" i="32" s="1"/>
  <c r="B557" i="53"/>
  <c r="B82" i="53"/>
  <c r="B61" i="53"/>
  <c r="B62" i="53"/>
  <c r="B63" i="53"/>
  <c r="B64" i="53"/>
  <c r="B65" i="53"/>
  <c r="B66" i="53"/>
  <c r="B67" i="53"/>
  <c r="B68" i="53"/>
  <c r="B69" i="53"/>
  <c r="B60" i="53"/>
  <c r="B7" i="53"/>
  <c r="B8" i="53"/>
  <c r="B9" i="53"/>
  <c r="B10" i="53"/>
  <c r="B11" i="53"/>
  <c r="B12" i="53"/>
  <c r="D70" i="53"/>
  <c r="B6" i="53"/>
  <c r="C6" i="53" s="1"/>
  <c r="AT33" i="95"/>
  <c r="AU19" i="95"/>
  <c r="B18" i="95"/>
  <c r="AT33" i="94"/>
  <c r="AU19" i="94"/>
  <c r="B18" i="94"/>
  <c r="AT11" i="94"/>
  <c r="AT33" i="93"/>
  <c r="AU19" i="93"/>
  <c r="B18" i="93"/>
  <c r="AT33" i="92"/>
  <c r="AU19" i="92"/>
  <c r="B18" i="92"/>
  <c r="AT11" i="92"/>
  <c r="AT33" i="91"/>
  <c r="AU19" i="91"/>
  <c r="B18" i="91"/>
  <c r="A2" i="95"/>
  <c r="A2" i="93"/>
  <c r="A2" i="91"/>
  <c r="AT43" i="95"/>
  <c r="J29" i="95"/>
  <c r="B25" i="95"/>
  <c r="K21" i="95"/>
  <c r="B8" i="95"/>
  <c r="R5" i="95"/>
  <c r="J5" i="95"/>
  <c r="B5" i="95"/>
  <c r="BI3" i="95"/>
  <c r="BD3" i="95"/>
  <c r="AT43" i="94"/>
  <c r="J29" i="94"/>
  <c r="B25" i="94"/>
  <c r="K21" i="94"/>
  <c r="AR19" i="94"/>
  <c r="B15" i="94"/>
  <c r="B13" i="94"/>
  <c r="B8" i="94"/>
  <c r="R5" i="94"/>
  <c r="J5" i="94"/>
  <c r="B5" i="94"/>
  <c r="BI3" i="94"/>
  <c r="BD3" i="94"/>
  <c r="AT43" i="93"/>
  <c r="J29" i="93"/>
  <c r="B25" i="93"/>
  <c r="K21" i="93"/>
  <c r="AR19" i="93"/>
  <c r="B15" i="93"/>
  <c r="B8" i="93"/>
  <c r="V5" i="93"/>
  <c r="N5" i="93"/>
  <c r="F5" i="93"/>
  <c r="BI3" i="93"/>
  <c r="BD3" i="93"/>
  <c r="AP2" i="93"/>
  <c r="AT43" i="92"/>
  <c r="J29" i="92"/>
  <c r="B25" i="92"/>
  <c r="K21" i="92"/>
  <c r="AR19" i="92"/>
  <c r="B15" i="92"/>
  <c r="B13" i="92"/>
  <c r="B8" i="92"/>
  <c r="R5" i="92"/>
  <c r="J5" i="92"/>
  <c r="B5" i="92"/>
  <c r="BI3" i="92"/>
  <c r="BD3" i="92"/>
  <c r="AT43" i="91"/>
  <c r="J29" i="91"/>
  <c r="B25" i="91"/>
  <c r="K21" i="91"/>
  <c r="AR19" i="91"/>
  <c r="B15" i="91"/>
  <c r="B8" i="91"/>
  <c r="R5" i="91"/>
  <c r="J5" i="91"/>
  <c r="B5" i="91"/>
  <c r="BI3" i="91"/>
  <c r="BD3" i="91"/>
  <c r="AP2" i="91"/>
  <c r="S13" i="92" l="1"/>
  <c r="S13" i="93"/>
  <c r="S13" i="32"/>
  <c r="S13" i="91"/>
  <c r="C138" i="53"/>
  <c r="C130" i="53"/>
  <c r="C122" i="53"/>
  <c r="C110" i="53"/>
  <c r="C102" i="53"/>
  <c r="C94" i="53"/>
  <c r="C86" i="53"/>
  <c r="C141" i="53"/>
  <c r="C137" i="53"/>
  <c r="H21" i="91"/>
  <c r="C132" i="53"/>
  <c r="C128" i="53"/>
  <c r="C124" i="53"/>
  <c r="C116" i="53"/>
  <c r="C112" i="53"/>
  <c r="C108" i="53"/>
  <c r="C104" i="53"/>
  <c r="C100" i="53"/>
  <c r="C96" i="53"/>
  <c r="C92" i="53"/>
  <c r="C88" i="53"/>
  <c r="O11" i="96"/>
  <c r="L11" i="96"/>
  <c r="B13" i="91"/>
  <c r="F5" i="91"/>
  <c r="V5" i="91"/>
  <c r="N21" i="91"/>
  <c r="F5" i="92"/>
  <c r="V5" i="92"/>
  <c r="N21" i="92"/>
  <c r="B5" i="93"/>
  <c r="R5" i="93"/>
  <c r="N21" i="93"/>
  <c r="F5" i="94"/>
  <c r="V5" i="94"/>
  <c r="N21" i="94"/>
  <c r="F5" i="95"/>
  <c r="V5" i="95"/>
  <c r="B21" i="95"/>
  <c r="B26" i="95"/>
  <c r="A2" i="92"/>
  <c r="D66" i="71" s="1"/>
  <c r="N5" i="91"/>
  <c r="B21" i="91"/>
  <c r="B26" i="91"/>
  <c r="N5" i="92"/>
  <c r="B21" i="92"/>
  <c r="B26" i="92"/>
  <c r="J5" i="93"/>
  <c r="B21" i="93"/>
  <c r="B26" i="93"/>
  <c r="N5" i="94"/>
  <c r="N5" i="95"/>
  <c r="N21" i="95"/>
  <c r="AC24" i="95"/>
  <c r="AE10" i="95"/>
  <c r="AC24" i="94"/>
  <c r="AE10" i="94"/>
  <c r="AC24" i="93"/>
  <c r="AE10" i="93"/>
  <c r="AC24" i="92"/>
  <c r="AE10" i="92"/>
  <c r="AC24" i="91"/>
  <c r="AE10" i="91"/>
  <c r="AL19" i="95"/>
  <c r="AL19" i="94"/>
  <c r="AL19" i="93"/>
  <c r="AL19" i="92"/>
  <c r="AL19" i="91"/>
  <c r="AC8" i="95"/>
  <c r="AC8" i="94"/>
  <c r="AC8" i="93"/>
  <c r="AC8" i="92"/>
  <c r="AC8" i="91"/>
  <c r="AF25" i="95"/>
  <c r="AD14" i="95"/>
  <c r="AF25" i="94"/>
  <c r="AD14" i="94"/>
  <c r="AF25" i="93"/>
  <c r="AD14" i="93"/>
  <c r="AF25" i="92"/>
  <c r="AD14" i="92"/>
  <c r="AF25" i="91"/>
  <c r="AD14" i="91"/>
  <c r="AF9" i="95"/>
  <c r="AF9" i="94"/>
  <c r="AF9" i="93"/>
  <c r="AF9" i="92"/>
  <c r="AF9" i="91"/>
  <c r="AM14" i="95"/>
  <c r="AM14" i="94"/>
  <c r="AM14" i="93"/>
  <c r="AM14" i="92"/>
  <c r="AM14" i="91"/>
  <c r="B13" i="95"/>
  <c r="AP2" i="94"/>
  <c r="AP2" i="95"/>
  <c r="BR2" i="50"/>
  <c r="DP3" i="50"/>
  <c r="Q2" i="96"/>
  <c r="A9" i="63"/>
  <c r="A9" i="61"/>
  <c r="A9" i="59"/>
  <c r="A9" i="57"/>
  <c r="A9" i="55"/>
  <c r="A5" i="63"/>
  <c r="A5" i="61"/>
  <c r="A5" i="59"/>
  <c r="A5" i="57"/>
  <c r="A5" i="55"/>
  <c r="A8" i="63"/>
  <c r="A8" i="61"/>
  <c r="A8" i="59"/>
  <c r="A8" i="57"/>
  <c r="A8" i="55"/>
  <c r="A4" i="63"/>
  <c r="A4" i="61"/>
  <c r="A4" i="59"/>
  <c r="A4" i="57"/>
  <c r="A4" i="55"/>
  <c r="A48" i="63"/>
  <c r="A48" i="61"/>
  <c r="A48" i="59"/>
  <c r="A48" i="57"/>
  <c r="A48" i="55"/>
  <c r="A45" i="63"/>
  <c r="A45" i="61"/>
  <c r="A45" i="59"/>
  <c r="A45" i="57"/>
  <c r="A45" i="55"/>
  <c r="A3" i="61"/>
  <c r="A3" i="59"/>
  <c r="A3" i="55"/>
  <c r="A3" i="63"/>
  <c r="A3" i="57"/>
  <c r="A7" i="59"/>
  <c r="A7" i="57"/>
  <c r="A7" i="61"/>
  <c r="A7" i="63"/>
  <c r="A7" i="55"/>
  <c r="A6" i="63"/>
  <c r="A6" i="61"/>
  <c r="A6" i="59"/>
  <c r="A6" i="57"/>
  <c r="A6" i="55"/>
  <c r="A49" i="63"/>
  <c r="A49" i="61"/>
  <c r="A49" i="59"/>
  <c r="A49" i="57"/>
  <c r="A49" i="55"/>
  <c r="A46" i="63"/>
  <c r="A46" i="61"/>
  <c r="A46" i="59"/>
  <c r="A46" i="57"/>
  <c r="A46" i="55"/>
  <c r="A44" i="63"/>
  <c r="A44" i="61"/>
  <c r="A44" i="59"/>
  <c r="A44" i="57"/>
  <c r="A44" i="55"/>
  <c r="B30" i="95"/>
  <c r="H21" i="93"/>
  <c r="H21" i="92"/>
  <c r="B30" i="93"/>
  <c r="B12" i="94"/>
  <c r="B12" i="91"/>
  <c r="B30" i="91"/>
  <c r="B28" i="93"/>
  <c r="B22" i="21"/>
  <c r="BQ2" i="50"/>
  <c r="AF30" i="94"/>
  <c r="C8" i="96"/>
  <c r="F18" i="50"/>
  <c r="A54" i="50"/>
  <c r="A51" i="50"/>
  <c r="F15" i="50"/>
  <c r="B24" i="94"/>
  <c r="C14" i="96"/>
  <c r="H21" i="95"/>
  <c r="I11" i="96"/>
  <c r="C70" i="53"/>
  <c r="C15" i="96"/>
  <c r="I13" i="96" s="1"/>
  <c r="C11" i="96"/>
  <c r="A55" i="50"/>
  <c r="F19" i="50"/>
  <c r="F16" i="50"/>
  <c r="A52" i="50"/>
  <c r="F14" i="50"/>
  <c r="A50" i="50"/>
  <c r="AR19" i="95"/>
  <c r="C9" i="96"/>
  <c r="M10" i="94"/>
  <c r="M10" i="92"/>
  <c r="M10" i="95"/>
  <c r="M10" i="93"/>
  <c r="M10" i="91"/>
  <c r="H10" i="91"/>
  <c r="H10" i="94"/>
  <c r="H10" i="92"/>
  <c r="H10" i="95"/>
  <c r="H10" i="93"/>
  <c r="D147" i="71"/>
  <c r="B28" i="92"/>
  <c r="B32" i="91"/>
  <c r="B27" i="92"/>
  <c r="H23" i="92"/>
  <c r="H23" i="95"/>
  <c r="B24" i="93"/>
  <c r="B7" i="94"/>
  <c r="H23" i="94"/>
  <c r="B24" i="95"/>
  <c r="B7" i="91"/>
  <c r="H23" i="91"/>
  <c r="H23" i="93"/>
  <c r="B28" i="94"/>
  <c r="B11" i="91"/>
  <c r="D39" i="71"/>
  <c r="B30" i="94"/>
  <c r="J174" i="71"/>
  <c r="J9" i="71"/>
  <c r="S7" i="95"/>
  <c r="S7" i="93"/>
  <c r="S7" i="91"/>
  <c r="S7" i="94"/>
  <c r="S7" i="92"/>
  <c r="S24" i="95"/>
  <c r="S24" i="93"/>
  <c r="S24" i="91"/>
  <c r="S24" i="94"/>
  <c r="S24" i="92"/>
  <c r="B27" i="94"/>
  <c r="AO31" i="92"/>
  <c r="AO31" i="94"/>
  <c r="B14" i="95"/>
  <c r="B19" i="92"/>
  <c r="D120" i="71"/>
  <c r="AT37" i="95"/>
  <c r="B32" i="93"/>
  <c r="B11" i="94"/>
  <c r="B19" i="94"/>
  <c r="B32" i="92"/>
  <c r="B11" i="95"/>
  <c r="AF30" i="95"/>
  <c r="B24" i="91"/>
  <c r="AF30" i="91"/>
  <c r="AT37" i="91"/>
  <c r="B11" i="92"/>
  <c r="B14" i="92"/>
  <c r="B30" i="92"/>
  <c r="B7" i="93"/>
  <c r="AF30" i="93"/>
  <c r="AT37" i="93"/>
  <c r="H21" i="94"/>
  <c r="B7" i="95"/>
  <c r="B12" i="95"/>
  <c r="B27" i="95"/>
  <c r="AO31" i="95"/>
  <c r="B19" i="91"/>
  <c r="B19" i="93"/>
  <c r="B19" i="95"/>
  <c r="B28" i="91"/>
  <c r="B28" i="95"/>
  <c r="D93" i="71"/>
  <c r="B14" i="93"/>
  <c r="B32" i="94"/>
  <c r="B14" i="91"/>
  <c r="B27" i="91"/>
  <c r="AO31" i="91"/>
  <c r="B12" i="92"/>
  <c r="B24" i="92"/>
  <c r="AF30" i="92"/>
  <c r="B14" i="94"/>
  <c r="AT37" i="94"/>
  <c r="AT13" i="93"/>
  <c r="DJ4" i="63"/>
  <c r="DI4" i="63"/>
  <c r="DH4" i="63"/>
  <c r="DG4" i="63"/>
  <c r="DJ4" i="61"/>
  <c r="DI4" i="61"/>
  <c r="DH4" i="61"/>
  <c r="DG4" i="61"/>
  <c r="DJ4" i="59"/>
  <c r="DI4" i="59"/>
  <c r="DH4" i="59"/>
  <c r="DG4" i="59"/>
  <c r="DJ4" i="57"/>
  <c r="DI4" i="57"/>
  <c r="DH4" i="57"/>
  <c r="DG4" i="57"/>
  <c r="DJ4" i="55"/>
  <c r="DI4" i="55"/>
  <c r="DH4" i="55"/>
  <c r="DG4" i="55"/>
  <c r="R23" i="73"/>
  <c r="C145" i="53" l="1"/>
  <c r="C89" i="53"/>
  <c r="C93" i="53"/>
  <c r="C105" i="53"/>
  <c r="C109" i="53"/>
  <c r="C121" i="53"/>
  <c r="C125" i="53"/>
  <c r="C146" i="53"/>
  <c r="C87" i="53"/>
  <c r="AT37" i="92" s="1"/>
  <c r="C95" i="53"/>
  <c r="C99" i="53"/>
  <c r="C103" i="53"/>
  <c r="C111" i="53"/>
  <c r="C115" i="53"/>
  <c r="C119" i="53"/>
  <c r="C127" i="53"/>
  <c r="C131" i="53"/>
  <c r="C113" i="53"/>
  <c r="C117" i="53"/>
  <c r="C129" i="53"/>
  <c r="C133" i="53"/>
  <c r="C135" i="53"/>
  <c r="C139" i="53"/>
  <c r="C143" i="53"/>
  <c r="C82" i="53"/>
  <c r="C91" i="53"/>
  <c r="C107" i="53"/>
  <c r="C123" i="53"/>
  <c r="C120" i="53"/>
  <c r="C97" i="53"/>
  <c r="C101" i="53"/>
  <c r="C136" i="53"/>
  <c r="C140" i="53"/>
  <c r="C90" i="53"/>
  <c r="C98" i="53"/>
  <c r="C106" i="53"/>
  <c r="C114" i="53"/>
  <c r="C118" i="53"/>
  <c r="C126" i="53"/>
  <c r="C134" i="53"/>
  <c r="C142" i="53"/>
  <c r="S27" i="81"/>
  <c r="AU19" i="32"/>
  <c r="AM1" i="71" l="1"/>
  <c r="D69" i="53" l="1"/>
  <c r="C69" i="53"/>
  <c r="F22" i="63" l="1"/>
  <c r="F17" i="61"/>
  <c r="F22" i="57"/>
  <c r="F23" i="63"/>
  <c r="F22" i="61"/>
  <c r="F23" i="57"/>
  <c r="F23" i="61"/>
  <c r="C68" i="53"/>
  <c r="F16" i="55"/>
  <c r="F16" i="59"/>
  <c r="F16" i="63"/>
  <c r="C62" i="53"/>
  <c r="D68" i="53"/>
  <c r="F22" i="55"/>
  <c r="F22" i="59"/>
  <c r="D63" i="53"/>
  <c r="F17" i="55"/>
  <c r="F17" i="59"/>
  <c r="F17" i="63"/>
  <c r="F16" i="57"/>
  <c r="F16" i="61"/>
  <c r="F23" i="55"/>
  <c r="F17" i="57"/>
  <c r="F23" i="59"/>
  <c r="B35" i="81" l="1"/>
  <c r="V34" i="81"/>
  <c r="C29" i="81"/>
  <c r="B13" i="81"/>
  <c r="B45" i="81"/>
  <c r="N20" i="81"/>
  <c r="I20" i="81"/>
  <c r="P8" i="81"/>
  <c r="S7" i="32" l="1"/>
  <c r="B35" i="80" l="1"/>
  <c r="V37" i="81"/>
  <c r="R35" i="80" l="1"/>
  <c r="AF42" i="73"/>
  <c r="AE42" i="73"/>
  <c r="AD42" i="73"/>
  <c r="AC42" i="73"/>
  <c r="AF41" i="73"/>
  <c r="AE41" i="73"/>
  <c r="AD41" i="73"/>
  <c r="AC41" i="73"/>
  <c r="AC40" i="73"/>
  <c r="AF40" i="73"/>
  <c r="AE40" i="73"/>
  <c r="AD40" i="73"/>
  <c r="AK25" i="73"/>
  <c r="AK27" i="73"/>
  <c r="AD43" i="73" l="1"/>
  <c r="AF48" i="81"/>
  <c r="AO31" i="32"/>
  <c r="AE43" i="73"/>
  <c r="AK31" i="73" s="1"/>
  <c r="AC30" i="73" s="1"/>
  <c r="AF43" i="73"/>
  <c r="AC43" i="73"/>
  <c r="AK33" i="73"/>
  <c r="AC32" i="73" s="1"/>
  <c r="AK35" i="73"/>
  <c r="AC34" i="73" s="1"/>
  <c r="BU2" i="63"/>
  <c r="BU2" i="61"/>
  <c r="BU2" i="59"/>
  <c r="BU2" i="57"/>
  <c r="BU2" i="55"/>
  <c r="BU3" i="55" s="1"/>
  <c r="DL4" i="79"/>
  <c r="DK4" i="79"/>
  <c r="DJ4" i="79"/>
  <c r="DI4" i="79"/>
  <c r="DH4" i="79"/>
  <c r="DG4" i="79"/>
  <c r="DF4" i="79"/>
  <c r="DE4" i="79"/>
  <c r="DD4" i="79"/>
  <c r="DC4" i="79"/>
  <c r="DB4" i="79"/>
  <c r="DA4" i="79"/>
  <c r="CZ4" i="79"/>
  <c r="CY4" i="79"/>
  <c r="CX4" i="79"/>
  <c r="CW4" i="79"/>
  <c r="CV4" i="79"/>
  <c r="CU4" i="79"/>
  <c r="CT4" i="79"/>
  <c r="CS4" i="79"/>
  <c r="CR4" i="79"/>
  <c r="CQ4" i="79"/>
  <c r="CP4" i="79"/>
  <c r="CO4" i="79"/>
  <c r="CN4" i="79"/>
  <c r="CM4" i="79"/>
  <c r="CL4" i="79"/>
  <c r="CK4" i="79"/>
  <c r="CJ4" i="79"/>
  <c r="CI4" i="79"/>
  <c r="CH4" i="79"/>
  <c r="CG4" i="79"/>
  <c r="BU2" i="79"/>
  <c r="BU3" i="79" s="1"/>
  <c r="CG4" i="55"/>
  <c r="CH4" i="55"/>
  <c r="CI4" i="55"/>
  <c r="CJ4" i="55"/>
  <c r="CK4" i="55"/>
  <c r="CL4" i="55"/>
  <c r="CM4" i="55"/>
  <c r="CN4" i="55"/>
  <c r="CO4" i="55"/>
  <c r="CP4" i="55"/>
  <c r="CQ4" i="55"/>
  <c r="CR4" i="55"/>
  <c r="CS4" i="55"/>
  <c r="CT4" i="55"/>
  <c r="CU4" i="55"/>
  <c r="CV4" i="55"/>
  <c r="CW4" i="55"/>
  <c r="CX4" i="55"/>
  <c r="CY4" i="55"/>
  <c r="CZ4" i="55"/>
  <c r="DA4" i="55"/>
  <c r="DB4" i="55"/>
  <c r="DC4" i="55"/>
  <c r="DD4" i="55"/>
  <c r="DE4" i="55"/>
  <c r="DF4" i="55"/>
  <c r="DK4" i="55"/>
  <c r="DL4" i="55"/>
  <c r="AK29" i="73" l="1"/>
  <c r="AC28" i="73" s="1"/>
  <c r="C80" i="53"/>
  <c r="C77" i="53"/>
  <c r="C76" i="53"/>
  <c r="C75" i="53"/>
  <c r="C74" i="53"/>
  <c r="X3" i="79"/>
  <c r="X4" i="79"/>
  <c r="X5" i="79"/>
  <c r="BI3" i="32"/>
  <c r="BD3" i="32"/>
  <c r="AT33" i="32" l="1"/>
  <c r="U9" i="96"/>
  <c r="AT15" i="94"/>
  <c r="AT15" i="92"/>
  <c r="AT15" i="91"/>
  <c r="AT15" i="93"/>
  <c r="AT15" i="95"/>
  <c r="B17" i="81"/>
  <c r="C37" i="81"/>
  <c r="B24" i="32"/>
  <c r="AT15" i="32"/>
  <c r="X5" i="63"/>
  <c r="X5" i="55"/>
  <c r="X5" i="57"/>
  <c r="X5" i="59"/>
  <c r="X5" i="61"/>
  <c r="X5" i="50"/>
  <c r="X4" i="61"/>
  <c r="X4" i="50"/>
  <c r="X4" i="63"/>
  <c r="X4" i="55"/>
  <c r="X4" i="57"/>
  <c r="X4" i="59"/>
  <c r="X3" i="59"/>
  <c r="X3" i="61"/>
  <c r="X3" i="50"/>
  <c r="X3" i="63"/>
  <c r="X3" i="55"/>
  <c r="X3" i="57"/>
  <c r="B76" i="53"/>
  <c r="B75" i="53"/>
  <c r="B74" i="53"/>
  <c r="U10" i="96" s="1"/>
  <c r="B37" i="81" l="1"/>
  <c r="AT43" i="32"/>
  <c r="AT8" i="93"/>
  <c r="AY2" i="93" s="1"/>
  <c r="AX3" i="93" l="1"/>
  <c r="AX3" i="95"/>
  <c r="AX3" i="94"/>
  <c r="AX3" i="92"/>
  <c r="AX3" i="91"/>
  <c r="AX2" i="93"/>
  <c r="AZ2" i="93" s="1"/>
  <c r="BA2" i="93" s="1"/>
  <c r="AX2" i="94"/>
  <c r="AZ2" i="94" s="1"/>
  <c r="AX2" i="92"/>
  <c r="AZ2" i="92" s="1"/>
  <c r="AX2" i="95"/>
  <c r="AZ2" i="95" s="1"/>
  <c r="AX2" i="91"/>
  <c r="AZ2" i="91" s="1"/>
  <c r="DL4" i="63" l="1"/>
  <c r="DK4" i="63"/>
  <c r="DF4" i="63"/>
  <c r="DE4" i="63"/>
  <c r="DD4" i="63"/>
  <c r="DC4" i="63"/>
  <c r="DB4" i="63"/>
  <c r="DA4" i="63"/>
  <c r="CZ4" i="63"/>
  <c r="CY4" i="63"/>
  <c r="CX4" i="63"/>
  <c r="CW4" i="63"/>
  <c r="CV4" i="63"/>
  <c r="CU4" i="63"/>
  <c r="CT4" i="63"/>
  <c r="CS4" i="63"/>
  <c r="CR4" i="63"/>
  <c r="CQ4" i="63"/>
  <c r="CP4" i="63"/>
  <c r="CO4" i="63"/>
  <c r="CN4" i="63"/>
  <c r="CM4" i="63"/>
  <c r="CL4" i="63"/>
  <c r="CK4" i="63"/>
  <c r="CJ4" i="63"/>
  <c r="CI4" i="63"/>
  <c r="CH4" i="63"/>
  <c r="CG4" i="63"/>
  <c r="BU3" i="63"/>
  <c r="DL4" i="61"/>
  <c r="DK4" i="61"/>
  <c r="DF4" i="61"/>
  <c r="DE4" i="61"/>
  <c r="DD4" i="61"/>
  <c r="DC4" i="61"/>
  <c r="DB4" i="61"/>
  <c r="DA4" i="61"/>
  <c r="CZ4" i="61"/>
  <c r="CY4" i="61"/>
  <c r="CX4" i="61"/>
  <c r="CW4" i="61"/>
  <c r="CV4" i="61"/>
  <c r="CU4" i="61"/>
  <c r="CT4" i="61"/>
  <c r="CS4" i="61"/>
  <c r="CR4" i="61"/>
  <c r="CQ4" i="61"/>
  <c r="CP4" i="61"/>
  <c r="CO4" i="61"/>
  <c r="CN4" i="61"/>
  <c r="CM4" i="61"/>
  <c r="CL4" i="61"/>
  <c r="CK4" i="61"/>
  <c r="CJ4" i="61"/>
  <c r="CI4" i="61"/>
  <c r="CH4" i="61"/>
  <c r="CG4" i="61"/>
  <c r="BU3" i="61"/>
  <c r="DL4" i="59"/>
  <c r="DK4" i="59"/>
  <c r="DF4" i="59"/>
  <c r="DE4" i="59"/>
  <c r="DD4" i="59"/>
  <c r="DC4" i="59"/>
  <c r="DB4" i="59"/>
  <c r="DA4" i="59"/>
  <c r="CZ4" i="59"/>
  <c r="CY4" i="59"/>
  <c r="CX4" i="59"/>
  <c r="CW4" i="59"/>
  <c r="CV4" i="59"/>
  <c r="CU4" i="59"/>
  <c r="CT4" i="59"/>
  <c r="CS4" i="59"/>
  <c r="CR4" i="59"/>
  <c r="CQ4" i="59"/>
  <c r="CP4" i="59"/>
  <c r="CO4" i="59"/>
  <c r="CN4" i="59"/>
  <c r="CM4" i="59"/>
  <c r="CL4" i="59"/>
  <c r="CK4" i="59"/>
  <c r="CJ4" i="59"/>
  <c r="CI4" i="59"/>
  <c r="CH4" i="59"/>
  <c r="CG4" i="59"/>
  <c r="BU3" i="59"/>
  <c r="DL4" i="57"/>
  <c r="DK4" i="57"/>
  <c r="DF4" i="57"/>
  <c r="DE4" i="57"/>
  <c r="DD4" i="57"/>
  <c r="DC4" i="57"/>
  <c r="DB4" i="57"/>
  <c r="DA4" i="57"/>
  <c r="CZ4" i="57"/>
  <c r="CY4" i="57"/>
  <c r="CX4" i="57"/>
  <c r="CW4" i="57"/>
  <c r="CV4" i="57"/>
  <c r="CU4" i="57"/>
  <c r="CT4" i="57"/>
  <c r="CS4" i="57"/>
  <c r="CR4" i="57"/>
  <c r="CQ4" i="57"/>
  <c r="CP4" i="57"/>
  <c r="CO4" i="57"/>
  <c r="CN4" i="57"/>
  <c r="CM4" i="57"/>
  <c r="CL4" i="57"/>
  <c r="CK4" i="57"/>
  <c r="CJ4" i="57"/>
  <c r="CI4" i="57"/>
  <c r="CH4" i="57"/>
  <c r="CG4" i="57"/>
  <c r="BU3" i="57"/>
  <c r="BY14" i="79"/>
  <c r="BY15" i="79"/>
  <c r="BY16" i="79"/>
  <c r="BY13" i="79"/>
  <c r="DN3" i="79"/>
  <c r="A44" i="79"/>
  <c r="A27" i="79"/>
  <c r="B18" i="32"/>
  <c r="BY5" i="79" l="1"/>
  <c r="BY5" i="50"/>
  <c r="BY34" i="50"/>
  <c r="BY6" i="79"/>
  <c r="BY6" i="50"/>
  <c r="BY35" i="50"/>
  <c r="C25" i="81"/>
  <c r="B14" i="32"/>
  <c r="AG24" i="81"/>
  <c r="X29" i="81"/>
  <c r="X13" i="81"/>
  <c r="Z15" i="81"/>
  <c r="AA14" i="81"/>
  <c r="AH19" i="81"/>
  <c r="AA30" i="81"/>
  <c r="Y19" i="81"/>
  <c r="L35" i="81"/>
  <c r="I35" i="81"/>
  <c r="D62" i="53"/>
  <c r="C63" i="53"/>
  <c r="F21" i="61"/>
  <c r="F21" i="57"/>
  <c r="F21" i="63"/>
  <c r="F21" i="59"/>
  <c r="F21" i="55"/>
  <c r="F15" i="63"/>
  <c r="F15" i="59"/>
  <c r="F15" i="55"/>
  <c r="F15" i="61"/>
  <c r="F15" i="57"/>
  <c r="F19" i="63"/>
  <c r="F19" i="59"/>
  <c r="F19" i="55"/>
  <c r="F19" i="61"/>
  <c r="F19" i="57"/>
  <c r="M549" i="53"/>
  <c r="F18" i="63"/>
  <c r="F18" i="59"/>
  <c r="F18" i="55"/>
  <c r="F18" i="61"/>
  <c r="F18" i="57"/>
  <c r="O35" i="81"/>
  <c r="M550" i="53"/>
  <c r="F20" i="61"/>
  <c r="F20" i="57"/>
  <c r="F20" i="63"/>
  <c r="F20" i="59"/>
  <c r="F20" i="55"/>
  <c r="F14" i="63"/>
  <c r="F14" i="59"/>
  <c r="F14" i="55"/>
  <c r="F14" i="61"/>
  <c r="F14" i="57"/>
  <c r="C41" i="81"/>
  <c r="C43" i="81"/>
  <c r="I13" i="81"/>
  <c r="M548" i="53"/>
  <c r="BR2" i="79"/>
  <c r="DP3" i="79"/>
  <c r="A33" i="79"/>
  <c r="F19" i="79"/>
  <c r="A53" i="79"/>
  <c r="F15" i="79"/>
  <c r="A49" i="79"/>
  <c r="A50" i="79"/>
  <c r="F16" i="79"/>
  <c r="DN2" i="55"/>
  <c r="DN2" i="79"/>
  <c r="A52" i="79"/>
  <c r="F18" i="79"/>
  <c r="A48" i="79"/>
  <c r="F14" i="79"/>
  <c r="DN4" i="55"/>
  <c r="DN4" i="79"/>
  <c r="S6" i="79"/>
  <c r="Q6" i="79"/>
  <c r="F17" i="79"/>
  <c r="A51" i="79"/>
  <c r="DP2" i="79"/>
  <c r="BQ2" i="79"/>
  <c r="BR2" i="55"/>
  <c r="DP3" i="55"/>
  <c r="BY15" i="61"/>
  <c r="BY15" i="55"/>
  <c r="N18" i="81" s="1"/>
  <c r="BY14" i="61"/>
  <c r="BY14" i="55"/>
  <c r="I18" i="81" s="1"/>
  <c r="BY6" i="57"/>
  <c r="BY6" i="55"/>
  <c r="BY13" i="55"/>
  <c r="BY5" i="61"/>
  <c r="BY5" i="55"/>
  <c r="Q7" i="50"/>
  <c r="S6" i="55"/>
  <c r="Q6" i="55"/>
  <c r="BQ2" i="55"/>
  <c r="DP2" i="55"/>
  <c r="C60" i="52"/>
  <c r="D60" i="52" s="1"/>
  <c r="DN3" i="55"/>
  <c r="BY16" i="55"/>
  <c r="BY13" i="59"/>
  <c r="BY13" i="57"/>
  <c r="BY5" i="57"/>
  <c r="S6" i="57"/>
  <c r="BY16" i="59"/>
  <c r="Q6" i="61"/>
  <c r="BY16" i="63"/>
  <c r="Q6" i="57"/>
  <c r="DN3" i="59"/>
  <c r="BY16" i="61"/>
  <c r="DN3" i="63"/>
  <c r="BY5" i="59"/>
  <c r="S6" i="63"/>
  <c r="DN3" i="57"/>
  <c r="S6" i="59"/>
  <c r="BY14" i="63"/>
  <c r="B27" i="32"/>
  <c r="C56" i="52"/>
  <c r="D56" i="52" s="1"/>
  <c r="DN2" i="63"/>
  <c r="DN2" i="61"/>
  <c r="DN2" i="59"/>
  <c r="BR2" i="63"/>
  <c r="AL19" i="32"/>
  <c r="BY15" i="63"/>
  <c r="BY15" i="59"/>
  <c r="BY15" i="57"/>
  <c r="K21" i="32"/>
  <c r="DP3" i="61"/>
  <c r="DP3" i="59"/>
  <c r="DP3" i="57"/>
  <c r="BR2" i="59"/>
  <c r="BR2" i="61"/>
  <c r="DP3" i="63"/>
  <c r="BR2" i="57"/>
  <c r="DN2" i="57"/>
  <c r="AD14" i="32"/>
  <c r="A34" i="50"/>
  <c r="BY14" i="57"/>
  <c r="BY14" i="59"/>
  <c r="N21" i="32"/>
  <c r="BY13" i="63"/>
  <c r="H21" i="32"/>
  <c r="BY6" i="63"/>
  <c r="BY6" i="59"/>
  <c r="BY6" i="61"/>
  <c r="A27" i="50"/>
  <c r="C64" i="52"/>
  <c r="D64" i="52" s="1"/>
  <c r="DN4" i="59"/>
  <c r="DN4" i="63"/>
  <c r="DN4" i="61"/>
  <c r="DN4" i="57"/>
  <c r="BY13" i="61"/>
  <c r="B26" i="32"/>
  <c r="BY5" i="63"/>
  <c r="DP2" i="63"/>
  <c r="BQ2" i="63"/>
  <c r="DP2" i="61"/>
  <c r="BQ2" i="61"/>
  <c r="DP2" i="59"/>
  <c r="BQ2" i="59"/>
  <c r="DP2" i="57"/>
  <c r="BQ2" i="57"/>
  <c r="BY16" i="57"/>
  <c r="Q6" i="59"/>
  <c r="DN3" i="61"/>
  <c r="S6" i="61"/>
  <c r="Q6" i="63"/>
  <c r="DN2" i="50"/>
  <c r="DN3" i="50"/>
  <c r="DN4" i="50"/>
  <c r="C53" i="52"/>
  <c r="D53" i="52" s="1"/>
  <c r="C5" i="52"/>
  <c r="D5" i="52" s="1"/>
  <c r="C22" i="52"/>
  <c r="D22" i="52" s="1"/>
  <c r="C37" i="52"/>
  <c r="D37" i="52" s="1"/>
  <c r="C10" i="52"/>
  <c r="D10" i="52" s="1"/>
  <c r="C25" i="52"/>
  <c r="D25" i="52" s="1"/>
  <c r="C38" i="52"/>
  <c r="D38" i="52" s="1"/>
  <c r="C57" i="52"/>
  <c r="D57" i="52" s="1"/>
  <c r="C13" i="52"/>
  <c r="D13" i="52" s="1"/>
  <c r="C26" i="52"/>
  <c r="D26" i="52" s="1"/>
  <c r="C41" i="52"/>
  <c r="D41" i="52" s="1"/>
  <c r="C58" i="52"/>
  <c r="D58" i="52" s="1"/>
  <c r="C2" i="52"/>
  <c r="C21" i="52"/>
  <c r="D21" i="52" s="1"/>
  <c r="C29" i="52"/>
  <c r="D29" i="52" s="1"/>
  <c r="C50" i="52"/>
  <c r="D50" i="52" s="1"/>
  <c r="C61" i="52"/>
  <c r="D61" i="52" s="1"/>
  <c r="C9" i="52"/>
  <c r="D9" i="52" s="1"/>
  <c r="C6" i="52"/>
  <c r="D6" i="52" s="1"/>
  <c r="C14" i="52"/>
  <c r="D14" i="52" s="1"/>
  <c r="C46" i="52"/>
  <c r="D46" i="52" s="1"/>
  <c r="C3" i="52"/>
  <c r="D3" i="52" s="1"/>
  <c r="C7" i="52"/>
  <c r="D7" i="52" s="1"/>
  <c r="C11" i="52"/>
  <c r="D11" i="52" s="1"/>
  <c r="C15" i="52"/>
  <c r="D15" i="52" s="1"/>
  <c r="C19" i="52"/>
  <c r="D19" i="52" s="1"/>
  <c r="C23" i="52"/>
  <c r="D23" i="52" s="1"/>
  <c r="C27" i="52"/>
  <c r="D27" i="52" s="1"/>
  <c r="C31" i="52"/>
  <c r="D31" i="52" s="1"/>
  <c r="C35" i="52"/>
  <c r="D35" i="52" s="1"/>
  <c r="C39" i="52"/>
  <c r="D39" i="52" s="1"/>
  <c r="C43" i="52"/>
  <c r="D43" i="52" s="1"/>
  <c r="C47" i="52"/>
  <c r="D47" i="52" s="1"/>
  <c r="C51" i="52"/>
  <c r="D51" i="52" s="1"/>
  <c r="C55" i="52"/>
  <c r="D55" i="52" s="1"/>
  <c r="C59" i="52"/>
  <c r="D59" i="52" s="1"/>
  <c r="C63" i="52"/>
  <c r="D63" i="52" s="1"/>
  <c r="C17" i="52"/>
  <c r="D17" i="52" s="1"/>
  <c r="C33" i="52"/>
  <c r="D33" i="52" s="1"/>
  <c r="C45" i="52"/>
  <c r="D45" i="52" s="1"/>
  <c r="C49" i="52"/>
  <c r="D49" i="52" s="1"/>
  <c r="C18" i="52"/>
  <c r="D18" i="52" s="1"/>
  <c r="C30" i="52"/>
  <c r="D30" i="52" s="1"/>
  <c r="C34" i="52"/>
  <c r="D34" i="52" s="1"/>
  <c r="C42" i="52"/>
  <c r="D42" i="52" s="1"/>
  <c r="C54" i="52"/>
  <c r="D54" i="52" s="1"/>
  <c r="C62" i="52"/>
  <c r="D62" i="52" s="1"/>
  <c r="C4" i="52"/>
  <c r="D4" i="52" s="1"/>
  <c r="C8" i="52"/>
  <c r="D8" i="52" s="1"/>
  <c r="C12" i="52"/>
  <c r="D12" i="52" s="1"/>
  <c r="C16" i="52"/>
  <c r="D16" i="52" s="1"/>
  <c r="C20" i="52"/>
  <c r="D20" i="52" s="1"/>
  <c r="C24" i="52"/>
  <c r="D24" i="52" s="1"/>
  <c r="C28" i="52"/>
  <c r="D28" i="52" s="1"/>
  <c r="C32" i="52"/>
  <c r="D32" i="52" s="1"/>
  <c r="C36" i="52"/>
  <c r="D36" i="52" s="1"/>
  <c r="C40" i="52"/>
  <c r="D40" i="52" s="1"/>
  <c r="C44" i="52"/>
  <c r="D44" i="52" s="1"/>
  <c r="C48" i="52"/>
  <c r="D48" i="52" s="1"/>
  <c r="C52" i="52"/>
  <c r="D52" i="52" s="1"/>
  <c r="AF25" i="32"/>
  <c r="AF9" i="32"/>
  <c r="AC8" i="32"/>
  <c r="AM14" i="32"/>
  <c r="AC24" i="32"/>
  <c r="AE10" i="32"/>
  <c r="S7" i="50"/>
  <c r="B82" i="21"/>
  <c r="E30" i="80"/>
  <c r="K49" i="73"/>
  <c r="BC38" i="44"/>
  <c r="E29" i="80"/>
  <c r="AC22" i="73"/>
  <c r="AG22" i="73"/>
  <c r="K48" i="73"/>
  <c r="S8" i="21"/>
  <c r="E32" i="80"/>
  <c r="E9" i="80"/>
  <c r="E8" i="80"/>
  <c r="E35" i="80"/>
  <c r="K5" i="80"/>
  <c r="E28" i="80"/>
  <c r="E33" i="80"/>
  <c r="E31" i="80"/>
  <c r="S43" i="21"/>
  <c r="P2" i="73"/>
  <c r="S7" i="73"/>
  <c r="BC37" i="44"/>
  <c r="L5" i="71"/>
  <c r="E23" i="80"/>
  <c r="AL5" i="71" s="1"/>
  <c r="L7" i="71"/>
  <c r="Y6" i="71"/>
  <c r="Y5" i="71"/>
  <c r="L6" i="71"/>
  <c r="I6" i="80"/>
  <c r="C31" i="81"/>
  <c r="B19" i="32"/>
  <c r="S24" i="32"/>
  <c r="E27" i="80"/>
  <c r="A2" i="32"/>
  <c r="D12" i="71" s="1"/>
  <c r="D82" i="53"/>
  <c r="V19" i="96"/>
  <c r="M19" i="96" s="1"/>
  <c r="AU9" i="92" l="1"/>
  <c r="AC87" i="99" s="1"/>
  <c r="D2" i="52"/>
  <c r="B548" i="53"/>
  <c r="B550" i="53"/>
  <c r="B549" i="53"/>
  <c r="AU9" i="93"/>
  <c r="AC123" i="99" s="1"/>
  <c r="AU9" i="95"/>
  <c r="AC195" i="99" s="1"/>
  <c r="AU9" i="91"/>
  <c r="AC51" i="99" s="1"/>
  <c r="AU10" i="95"/>
  <c r="AC192" i="99" s="1"/>
  <c r="AU10" i="91"/>
  <c r="AU9" i="94"/>
  <c r="AC159" i="99" s="1"/>
  <c r="AU10" i="92"/>
  <c r="AU10" i="94"/>
  <c r="AU10" i="93"/>
  <c r="BY33" i="50"/>
  <c r="BY4" i="50"/>
  <c r="BY32" i="50"/>
  <c r="BY3" i="50"/>
  <c r="C28" i="81"/>
  <c r="K28" i="81"/>
  <c r="B14" i="81"/>
  <c r="D14" i="81" s="1"/>
  <c r="C33" i="81"/>
  <c r="C45" i="81"/>
  <c r="Y7" i="71"/>
  <c r="E21" i="80"/>
  <c r="E26" i="80"/>
  <c r="B39" i="81"/>
  <c r="C48" i="81"/>
  <c r="AA35" i="81"/>
  <c r="AF30" i="32"/>
  <c r="C21" i="81"/>
  <c r="AK2" i="81"/>
  <c r="C23" i="81"/>
  <c r="AM24" i="81"/>
  <c r="C27" i="81"/>
  <c r="C15" i="81"/>
  <c r="C39" i="81"/>
  <c r="I36" i="81" s="1"/>
  <c r="C35" i="81"/>
  <c r="B32" i="73"/>
  <c r="V43" i="81"/>
  <c r="K46" i="81"/>
  <c r="B62" i="21"/>
  <c r="C13" i="81"/>
  <c r="C47" i="81"/>
  <c r="C19" i="81"/>
  <c r="AL8" i="81"/>
  <c r="V8" i="81"/>
  <c r="P4" i="81"/>
  <c r="Z8" i="81"/>
  <c r="AH8" i="81"/>
  <c r="R8" i="81"/>
  <c r="AD8" i="81"/>
  <c r="S18" i="81"/>
  <c r="W38" i="81" s="1"/>
  <c r="A3" i="79"/>
  <c r="B15" i="81"/>
  <c r="S17" i="81"/>
  <c r="K47" i="73"/>
  <c r="AL2" i="71"/>
  <c r="AT2" i="44"/>
  <c r="A9" i="79"/>
  <c r="A17" i="79"/>
  <c r="A25" i="79"/>
  <c r="A30" i="79"/>
  <c r="A39" i="79"/>
  <c r="Q11" i="79"/>
  <c r="R5" i="79"/>
  <c r="Q18" i="79"/>
  <c r="S13" i="79"/>
  <c r="V16" i="79"/>
  <c r="U16" i="79"/>
  <c r="Q34" i="79"/>
  <c r="R21" i="79"/>
  <c r="Q46" i="79"/>
  <c r="V28" i="79"/>
  <c r="R33" i="79"/>
  <c r="U28" i="79"/>
  <c r="Q58" i="79"/>
  <c r="R45" i="79"/>
  <c r="V40" i="79"/>
  <c r="U40" i="79"/>
  <c r="A13" i="79"/>
  <c r="A35" i="79"/>
  <c r="S7" i="79"/>
  <c r="Q7" i="79"/>
  <c r="R13" i="79"/>
  <c r="U8" i="79"/>
  <c r="V8" i="79"/>
  <c r="Q26" i="79"/>
  <c r="Q38" i="79"/>
  <c r="V20" i="79"/>
  <c r="U20" i="79"/>
  <c r="R25" i="79"/>
  <c r="C19" i="73"/>
  <c r="A4" i="79"/>
  <c r="A8" i="79"/>
  <c r="A12" i="79"/>
  <c r="A16" i="79"/>
  <c r="A20" i="79"/>
  <c r="A24" i="79"/>
  <c r="A29" i="79"/>
  <c r="A34" i="79"/>
  <c r="A38" i="79"/>
  <c r="A42" i="79"/>
  <c r="A47" i="79"/>
  <c r="R4" i="79"/>
  <c r="S10" i="79"/>
  <c r="T4" i="79"/>
  <c r="Q10" i="79"/>
  <c r="Q14" i="79"/>
  <c r="S12" i="79"/>
  <c r="Q21" i="79"/>
  <c r="R9" i="79"/>
  <c r="T5" i="79"/>
  <c r="S16" i="79"/>
  <c r="Q25" i="79"/>
  <c r="V7" i="79"/>
  <c r="R12" i="79"/>
  <c r="U7" i="79"/>
  <c r="Q29" i="79"/>
  <c r="R16" i="79"/>
  <c r="V11" i="79"/>
  <c r="U11" i="79"/>
  <c r="Q33" i="79"/>
  <c r="R20" i="79"/>
  <c r="V15" i="79"/>
  <c r="U15" i="79"/>
  <c r="Q37" i="79"/>
  <c r="R24" i="79"/>
  <c r="U19" i="79"/>
  <c r="V19" i="79"/>
  <c r="Q41" i="79"/>
  <c r="R28" i="79"/>
  <c r="U23" i="79"/>
  <c r="V23" i="79"/>
  <c r="R32" i="79"/>
  <c r="U27" i="79"/>
  <c r="Q45" i="79"/>
  <c r="V27" i="79"/>
  <c r="R36" i="79"/>
  <c r="U31" i="79"/>
  <c r="Q49" i="79"/>
  <c r="V31" i="79"/>
  <c r="R40" i="79"/>
  <c r="U35" i="79"/>
  <c r="Q53" i="79"/>
  <c r="V35" i="79"/>
  <c r="R44" i="79"/>
  <c r="U39" i="79"/>
  <c r="V39" i="79"/>
  <c r="Q57" i="79"/>
  <c r="R48" i="79"/>
  <c r="U43" i="79"/>
  <c r="Q61" i="79"/>
  <c r="V43" i="79"/>
  <c r="C11" i="73"/>
  <c r="E13" i="80"/>
  <c r="C13" i="73"/>
  <c r="E15" i="80"/>
  <c r="A5" i="79"/>
  <c r="Q4" i="79"/>
  <c r="S4" i="79"/>
  <c r="V4" i="79"/>
  <c r="Q15" i="79"/>
  <c r="R6" i="79"/>
  <c r="U4" i="79"/>
  <c r="R17" i="79"/>
  <c r="U12" i="79"/>
  <c r="Q30" i="79"/>
  <c r="V12" i="79"/>
  <c r="V24" i="79"/>
  <c r="Q42" i="79"/>
  <c r="U24" i="79"/>
  <c r="R29" i="79"/>
  <c r="Q54" i="79"/>
  <c r="R41" i="79"/>
  <c r="U36" i="79"/>
  <c r="V36" i="79"/>
  <c r="A7" i="79"/>
  <c r="A11" i="79"/>
  <c r="A15" i="79"/>
  <c r="A19" i="79"/>
  <c r="A23" i="79"/>
  <c r="A28" i="79"/>
  <c r="A32" i="79"/>
  <c r="A37" i="79"/>
  <c r="A41" i="79"/>
  <c r="A46" i="79"/>
  <c r="S5" i="79"/>
  <c r="Q5" i="79"/>
  <c r="Q9" i="79"/>
  <c r="S9" i="79"/>
  <c r="Q13" i="79"/>
  <c r="S11" i="79"/>
  <c r="Q17" i="79"/>
  <c r="V6" i="79"/>
  <c r="R8" i="79"/>
  <c r="U6" i="79"/>
  <c r="Q20" i="79"/>
  <c r="S15" i="79"/>
  <c r="R11" i="79"/>
  <c r="Q24" i="79"/>
  <c r="S19" i="79"/>
  <c r="T7" i="79"/>
  <c r="R15" i="79"/>
  <c r="U10" i="79"/>
  <c r="Q28" i="79"/>
  <c r="V10" i="79"/>
  <c r="Q32" i="79"/>
  <c r="V14" i="79"/>
  <c r="R19" i="79"/>
  <c r="U14" i="79"/>
  <c r="Q36" i="79"/>
  <c r="R23" i="79"/>
  <c r="V18" i="79"/>
  <c r="U18" i="79"/>
  <c r="V22" i="79"/>
  <c r="Q40" i="79"/>
  <c r="R27" i="79"/>
  <c r="U22" i="79"/>
  <c r="V26" i="79"/>
  <c r="Q44" i="79"/>
  <c r="R31" i="79"/>
  <c r="U26" i="79"/>
  <c r="V30" i="79"/>
  <c r="Q48" i="79"/>
  <c r="R35" i="79"/>
  <c r="U30" i="79"/>
  <c r="Q52" i="79"/>
  <c r="V34" i="79"/>
  <c r="R39" i="79"/>
  <c r="U34" i="79"/>
  <c r="V38" i="79"/>
  <c r="R43" i="79"/>
  <c r="U38" i="79"/>
  <c r="Q56" i="79"/>
  <c r="V42" i="79"/>
  <c r="U42" i="79"/>
  <c r="Q60" i="79"/>
  <c r="R47" i="79"/>
  <c r="BY4" i="55"/>
  <c r="BY4" i="79"/>
  <c r="C15" i="73"/>
  <c r="E17" i="80"/>
  <c r="Z2" i="21"/>
  <c r="Q2" i="80"/>
  <c r="A21" i="79"/>
  <c r="A43" i="79"/>
  <c r="R10" i="79"/>
  <c r="T6" i="79"/>
  <c r="Q22" i="79"/>
  <c r="S17" i="79"/>
  <c r="Q50" i="79"/>
  <c r="V32" i="79"/>
  <c r="R37" i="79"/>
  <c r="U32" i="79"/>
  <c r="C9" i="73"/>
  <c r="K2" i="21"/>
  <c r="A6" i="79"/>
  <c r="A10" i="79"/>
  <c r="A14" i="79"/>
  <c r="A18" i="79"/>
  <c r="A22" i="79"/>
  <c r="A26" i="79"/>
  <c r="A31" i="79"/>
  <c r="A36" i="79"/>
  <c r="A40" i="79"/>
  <c r="A45" i="79"/>
  <c r="S8" i="79"/>
  <c r="Q8" i="79"/>
  <c r="Q12" i="55"/>
  <c r="Q12" i="79"/>
  <c r="Q16" i="79"/>
  <c r="R7" i="79"/>
  <c r="V5" i="79"/>
  <c r="U5" i="79"/>
  <c r="S14" i="79"/>
  <c r="Q19" i="79"/>
  <c r="S18" i="79"/>
  <c r="Q23" i="79"/>
  <c r="R14" i="79"/>
  <c r="V9" i="79"/>
  <c r="Q27" i="79"/>
  <c r="U9" i="79"/>
  <c r="R18" i="79"/>
  <c r="V13" i="79"/>
  <c r="Q31" i="79"/>
  <c r="U13" i="79"/>
  <c r="V17" i="79"/>
  <c r="Q35" i="79"/>
  <c r="R22" i="79"/>
  <c r="U17" i="79"/>
  <c r="V21" i="79"/>
  <c r="Q39" i="79"/>
  <c r="R26" i="79"/>
  <c r="U21" i="79"/>
  <c r="V25" i="79"/>
  <c r="Q43" i="79"/>
  <c r="R30" i="79"/>
  <c r="U25" i="79"/>
  <c r="Q47" i="79"/>
  <c r="V29" i="79"/>
  <c r="R34" i="79"/>
  <c r="U29" i="79"/>
  <c r="V33" i="79"/>
  <c r="Q51" i="79"/>
  <c r="R38" i="79"/>
  <c r="U33" i="79"/>
  <c r="Q55" i="79"/>
  <c r="V37" i="79"/>
  <c r="R42" i="79"/>
  <c r="U37" i="79"/>
  <c r="Q59" i="79"/>
  <c r="V41" i="79"/>
  <c r="R46" i="79"/>
  <c r="U41" i="79"/>
  <c r="BY3" i="55"/>
  <c r="BY3" i="79"/>
  <c r="C17" i="73"/>
  <c r="E19" i="80"/>
  <c r="S22" i="73"/>
  <c r="J29" i="32"/>
  <c r="U5" i="55"/>
  <c r="V5" i="55"/>
  <c r="Q16" i="55"/>
  <c r="R7" i="55"/>
  <c r="U13" i="55"/>
  <c r="Q31" i="55"/>
  <c r="V13" i="55"/>
  <c r="R18" i="55"/>
  <c r="Q55" i="55"/>
  <c r="U37" i="55"/>
  <c r="R42" i="55"/>
  <c r="V37" i="55"/>
  <c r="Q4" i="55"/>
  <c r="S4" i="55"/>
  <c r="S7" i="55"/>
  <c r="Q7" i="55"/>
  <c r="Q11" i="55"/>
  <c r="R5" i="55"/>
  <c r="U4" i="55"/>
  <c r="V4" i="55"/>
  <c r="Q15" i="55"/>
  <c r="R6" i="55"/>
  <c r="S13" i="55"/>
  <c r="Q18" i="55"/>
  <c r="T6" i="55"/>
  <c r="S17" i="55"/>
  <c r="Q22" i="55"/>
  <c r="R10" i="55"/>
  <c r="U8" i="55"/>
  <c r="R13" i="55"/>
  <c r="V8" i="55"/>
  <c r="Q26" i="55"/>
  <c r="U12" i="55"/>
  <c r="R17" i="55"/>
  <c r="V12" i="55"/>
  <c r="Q30" i="55"/>
  <c r="R21" i="55"/>
  <c r="Q34" i="55"/>
  <c r="U16" i="55"/>
  <c r="V16" i="55"/>
  <c r="U20" i="55"/>
  <c r="R25" i="55"/>
  <c r="Q38" i="55"/>
  <c r="V20" i="55"/>
  <c r="U24" i="55"/>
  <c r="R29" i="55"/>
  <c r="Q42" i="55"/>
  <c r="V24" i="55"/>
  <c r="U28" i="55"/>
  <c r="R33" i="55"/>
  <c r="Q46" i="55"/>
  <c r="V28" i="55"/>
  <c r="Q50" i="55"/>
  <c r="U32" i="55"/>
  <c r="R37" i="55"/>
  <c r="V32" i="55"/>
  <c r="U36" i="55"/>
  <c r="R41" i="55"/>
  <c r="V36" i="55"/>
  <c r="Q54" i="55"/>
  <c r="U40" i="55"/>
  <c r="V40" i="55"/>
  <c r="R45" i="55"/>
  <c r="Q58" i="55"/>
  <c r="B37" i="73"/>
  <c r="U25" i="55"/>
  <c r="R30" i="55"/>
  <c r="Q43" i="55"/>
  <c r="V25" i="55"/>
  <c r="B35" i="73"/>
  <c r="T4" i="55"/>
  <c r="Q10" i="55"/>
  <c r="R4" i="55"/>
  <c r="S10" i="55"/>
  <c r="Q14" i="55"/>
  <c r="S12" i="55"/>
  <c r="R9" i="55"/>
  <c r="Q21" i="55"/>
  <c r="T5" i="55"/>
  <c r="S16" i="55"/>
  <c r="Q25" i="55"/>
  <c r="U7" i="55"/>
  <c r="R12" i="55"/>
  <c r="V7" i="55"/>
  <c r="R16" i="55"/>
  <c r="Q29" i="55"/>
  <c r="U11" i="55"/>
  <c r="V11" i="55"/>
  <c r="R20" i="55"/>
  <c r="Q33" i="55"/>
  <c r="U15" i="55"/>
  <c r="V15" i="55"/>
  <c r="U19" i="55"/>
  <c r="R24" i="55"/>
  <c r="Q37" i="55"/>
  <c r="V19" i="55"/>
  <c r="U23" i="55"/>
  <c r="R28" i="55"/>
  <c r="Q41" i="55"/>
  <c r="V23" i="55"/>
  <c r="U27" i="55"/>
  <c r="R32" i="55"/>
  <c r="V27" i="55"/>
  <c r="Q45" i="55"/>
  <c r="U31" i="55"/>
  <c r="R36" i="55"/>
  <c r="V31" i="55"/>
  <c r="Q49" i="55"/>
  <c r="U35" i="55"/>
  <c r="R40" i="55"/>
  <c r="V35" i="55"/>
  <c r="Q53" i="55"/>
  <c r="U39" i="55"/>
  <c r="R44" i="55"/>
  <c r="V39" i="55"/>
  <c r="Q57" i="55"/>
  <c r="U43" i="55"/>
  <c r="R48" i="55"/>
  <c r="V43" i="55"/>
  <c r="Q61" i="55"/>
  <c r="B30" i="73"/>
  <c r="Q8" i="55"/>
  <c r="S8" i="55"/>
  <c r="S18" i="55"/>
  <c r="Q23" i="55"/>
  <c r="U21" i="55"/>
  <c r="R26" i="55"/>
  <c r="Q39" i="55"/>
  <c r="V21" i="55"/>
  <c r="U33" i="55"/>
  <c r="R38" i="55"/>
  <c r="Q51" i="55"/>
  <c r="V33" i="55"/>
  <c r="Q59" i="55"/>
  <c r="U41" i="55"/>
  <c r="R46" i="55"/>
  <c r="V41" i="55"/>
  <c r="S5" i="55"/>
  <c r="Q5" i="55"/>
  <c r="S9" i="55"/>
  <c r="Q9" i="55"/>
  <c r="S11" i="55"/>
  <c r="Q13" i="55"/>
  <c r="U6" i="55"/>
  <c r="R8" i="55"/>
  <c r="Q17" i="55"/>
  <c r="V6" i="55"/>
  <c r="S15" i="55"/>
  <c r="Q20" i="55"/>
  <c r="R11" i="55"/>
  <c r="T7" i="55"/>
  <c r="S19" i="55"/>
  <c r="Q24" i="55"/>
  <c r="U10" i="55"/>
  <c r="R15" i="55"/>
  <c r="V10" i="55"/>
  <c r="Q28" i="55"/>
  <c r="U14" i="55"/>
  <c r="R19" i="55"/>
  <c r="Q32" i="55"/>
  <c r="V14" i="55"/>
  <c r="U18" i="55"/>
  <c r="V18" i="55"/>
  <c r="R23" i="55"/>
  <c r="Q36" i="55"/>
  <c r="V22" i="55"/>
  <c r="U22" i="55"/>
  <c r="R27" i="55"/>
  <c r="Q40" i="55"/>
  <c r="V26" i="55"/>
  <c r="U26" i="55"/>
  <c r="R31" i="55"/>
  <c r="Q44" i="55"/>
  <c r="V30" i="55"/>
  <c r="R35" i="55"/>
  <c r="U30" i="55"/>
  <c r="Q48" i="55"/>
  <c r="V34" i="55"/>
  <c r="Q52" i="55"/>
  <c r="R39" i="55"/>
  <c r="U34" i="55"/>
  <c r="V38" i="55"/>
  <c r="Q56" i="55"/>
  <c r="U38" i="55"/>
  <c r="R43" i="55"/>
  <c r="V42" i="55"/>
  <c r="R47" i="55"/>
  <c r="Q60" i="55"/>
  <c r="U42" i="55"/>
  <c r="B28" i="73"/>
  <c r="S14" i="55"/>
  <c r="Q19" i="55"/>
  <c r="R14" i="55"/>
  <c r="U9" i="55"/>
  <c r="Q27" i="55"/>
  <c r="V9" i="55"/>
  <c r="U17" i="55"/>
  <c r="R22" i="55"/>
  <c r="Q35" i="55"/>
  <c r="V17" i="55"/>
  <c r="Q47" i="55"/>
  <c r="U29" i="55"/>
  <c r="R34" i="55"/>
  <c r="V29" i="55"/>
  <c r="B26" i="73"/>
  <c r="D60" i="53"/>
  <c r="C61" i="53"/>
  <c r="D64" i="53"/>
  <c r="C65" i="53"/>
  <c r="AT37" i="32"/>
  <c r="AU10" i="32"/>
  <c r="AC12" i="99" s="1"/>
  <c r="A4" i="50"/>
  <c r="A8" i="50"/>
  <c r="A11" i="50"/>
  <c r="A16" i="50"/>
  <c r="A20" i="50"/>
  <c r="A24" i="50"/>
  <c r="A30" i="50"/>
  <c r="A35" i="50"/>
  <c r="A39" i="50"/>
  <c r="A44" i="50"/>
  <c r="A48" i="50"/>
  <c r="Q10" i="63"/>
  <c r="Q10" i="61"/>
  <c r="S10" i="59"/>
  <c r="S10" i="57"/>
  <c r="T4" i="61"/>
  <c r="Q10" i="59"/>
  <c r="R4" i="59"/>
  <c r="R4" i="63"/>
  <c r="R4" i="61"/>
  <c r="S10" i="61"/>
  <c r="T4" i="57"/>
  <c r="S10" i="63"/>
  <c r="T4" i="63"/>
  <c r="T4" i="59"/>
  <c r="Q10" i="57"/>
  <c r="R4" i="57"/>
  <c r="S12" i="63"/>
  <c r="S12" i="61"/>
  <c r="Q14" i="59"/>
  <c r="S12" i="59"/>
  <c r="Q14" i="57"/>
  <c r="S12" i="57"/>
  <c r="Q14" i="63"/>
  <c r="Q14" i="61"/>
  <c r="S16" i="63"/>
  <c r="T5" i="63"/>
  <c r="S16" i="61"/>
  <c r="Q21" i="59"/>
  <c r="R9" i="59"/>
  <c r="T5" i="59"/>
  <c r="T5" i="61"/>
  <c r="Q21" i="61"/>
  <c r="R9" i="61"/>
  <c r="S16" i="57"/>
  <c r="Q21" i="63"/>
  <c r="R9" i="63"/>
  <c r="T5" i="57"/>
  <c r="R9" i="57"/>
  <c r="S16" i="59"/>
  <c r="Q21" i="57"/>
  <c r="V7" i="59"/>
  <c r="V7" i="57"/>
  <c r="V7" i="63"/>
  <c r="V7" i="61"/>
  <c r="Q25" i="57"/>
  <c r="U7" i="63"/>
  <c r="R12" i="61"/>
  <c r="U7" i="61"/>
  <c r="R12" i="63"/>
  <c r="Q25" i="59"/>
  <c r="Q25" i="63"/>
  <c r="U7" i="59"/>
  <c r="R12" i="59"/>
  <c r="R12" i="57"/>
  <c r="U7" i="57"/>
  <c r="Q25" i="61"/>
  <c r="Q29" i="63"/>
  <c r="U11" i="63"/>
  <c r="Q29" i="61"/>
  <c r="U11" i="61"/>
  <c r="V11" i="59"/>
  <c r="V11" i="57"/>
  <c r="R16" i="63"/>
  <c r="R16" i="61"/>
  <c r="R16" i="59"/>
  <c r="U11" i="57"/>
  <c r="Q29" i="57"/>
  <c r="U11" i="59"/>
  <c r="V11" i="61"/>
  <c r="V11" i="63"/>
  <c r="Q29" i="59"/>
  <c r="R16" i="57"/>
  <c r="V15" i="59"/>
  <c r="V15" i="57"/>
  <c r="R20" i="63"/>
  <c r="U15" i="63"/>
  <c r="Q33" i="61"/>
  <c r="R20" i="61"/>
  <c r="U15" i="61"/>
  <c r="U15" i="59"/>
  <c r="V15" i="61"/>
  <c r="Q33" i="59"/>
  <c r="R20" i="59"/>
  <c r="Q33" i="57"/>
  <c r="R20" i="57"/>
  <c r="Q33" i="63"/>
  <c r="V15" i="63"/>
  <c r="U15" i="57"/>
  <c r="Q37" i="63"/>
  <c r="V19" i="63"/>
  <c r="V19" i="61"/>
  <c r="U19" i="63"/>
  <c r="U19" i="61"/>
  <c r="Q37" i="59"/>
  <c r="R24" i="59"/>
  <c r="V19" i="57"/>
  <c r="R24" i="63"/>
  <c r="V19" i="59"/>
  <c r="U19" i="57"/>
  <c r="Q37" i="61"/>
  <c r="R24" i="61"/>
  <c r="U19" i="59"/>
  <c r="Q37" i="57"/>
  <c r="R24" i="57"/>
  <c r="V23" i="63"/>
  <c r="V23" i="61"/>
  <c r="Q41" i="63"/>
  <c r="Q41" i="57"/>
  <c r="R28" i="57"/>
  <c r="R28" i="59"/>
  <c r="Q41" i="59"/>
  <c r="V23" i="57"/>
  <c r="R28" i="63"/>
  <c r="Q41" i="61"/>
  <c r="U23" i="63"/>
  <c r="R28" i="61"/>
  <c r="U23" i="61"/>
  <c r="V23" i="59"/>
  <c r="U23" i="59"/>
  <c r="U23" i="57"/>
  <c r="Q45" i="63"/>
  <c r="V27" i="63"/>
  <c r="V27" i="61"/>
  <c r="R32" i="61"/>
  <c r="U27" i="63"/>
  <c r="Q45" i="61"/>
  <c r="U27" i="61"/>
  <c r="U27" i="59"/>
  <c r="R32" i="57"/>
  <c r="R32" i="63"/>
  <c r="Q45" i="59"/>
  <c r="V27" i="59"/>
  <c r="Q45" i="57"/>
  <c r="V27" i="57"/>
  <c r="R32" i="59"/>
  <c r="U27" i="57"/>
  <c r="Q49" i="63"/>
  <c r="V31" i="63"/>
  <c r="V31" i="61"/>
  <c r="V31" i="59"/>
  <c r="U31" i="57"/>
  <c r="Q49" i="61"/>
  <c r="U31" i="61"/>
  <c r="U31" i="59"/>
  <c r="Q49" i="57"/>
  <c r="U31" i="63"/>
  <c r="R36" i="63"/>
  <c r="Q49" i="59"/>
  <c r="R36" i="57"/>
  <c r="R36" i="59"/>
  <c r="R36" i="61"/>
  <c r="V31" i="57"/>
  <c r="Q53" i="63"/>
  <c r="R40" i="63"/>
  <c r="V35" i="61"/>
  <c r="U35" i="63"/>
  <c r="U35" i="61"/>
  <c r="V35" i="63"/>
  <c r="R40" i="61"/>
  <c r="Q53" i="59"/>
  <c r="R40" i="59"/>
  <c r="V35" i="57"/>
  <c r="Q53" i="61"/>
  <c r="V35" i="59"/>
  <c r="U35" i="57"/>
  <c r="U35" i="59"/>
  <c r="Q53" i="57"/>
  <c r="R40" i="57"/>
  <c r="Q57" i="63"/>
  <c r="V39" i="61"/>
  <c r="V39" i="63"/>
  <c r="Q57" i="61"/>
  <c r="U39" i="63"/>
  <c r="Q57" i="57"/>
  <c r="R44" i="57"/>
  <c r="R44" i="61"/>
  <c r="Q57" i="59"/>
  <c r="R44" i="59"/>
  <c r="V39" i="57"/>
  <c r="U39" i="59"/>
  <c r="U39" i="57"/>
  <c r="R44" i="63"/>
  <c r="U39" i="61"/>
  <c r="V39" i="59"/>
  <c r="Q61" i="63"/>
  <c r="R48" i="63"/>
  <c r="U43" i="63"/>
  <c r="V43" i="61"/>
  <c r="Q61" i="61"/>
  <c r="R48" i="59"/>
  <c r="U43" i="59"/>
  <c r="Q61" i="57"/>
  <c r="R48" i="61"/>
  <c r="V43" i="59"/>
  <c r="V43" i="57"/>
  <c r="U43" i="61"/>
  <c r="U43" i="57"/>
  <c r="V43" i="63"/>
  <c r="Q61" i="59"/>
  <c r="R48" i="57"/>
  <c r="B30" i="32"/>
  <c r="A3" i="50"/>
  <c r="A7" i="50"/>
  <c r="A10" i="50"/>
  <c r="A15" i="50"/>
  <c r="A19" i="50"/>
  <c r="A28" i="50"/>
  <c r="A33" i="50"/>
  <c r="A37" i="50"/>
  <c r="A42" i="50"/>
  <c r="A47" i="50"/>
  <c r="Q5" i="63"/>
  <c r="S5" i="57"/>
  <c r="S5" i="59"/>
  <c r="Q5" i="59"/>
  <c r="Q5" i="57"/>
  <c r="S5" i="63"/>
  <c r="S5" i="61"/>
  <c r="Q5" i="61"/>
  <c r="S9" i="63"/>
  <c r="S9" i="61"/>
  <c r="Q9" i="59"/>
  <c r="Q9" i="57"/>
  <c r="Q9" i="63"/>
  <c r="Q9" i="61"/>
  <c r="S9" i="59"/>
  <c r="S9" i="57"/>
  <c r="S11" i="63"/>
  <c r="S11" i="61"/>
  <c r="Q13" i="59"/>
  <c r="Q13" i="57"/>
  <c r="S11" i="59"/>
  <c r="Q13" i="61"/>
  <c r="Q13" i="63"/>
  <c r="S11" i="57"/>
  <c r="U6" i="63"/>
  <c r="V6" i="61"/>
  <c r="Q17" i="59"/>
  <c r="V6" i="59"/>
  <c r="Q17" i="57"/>
  <c r="V6" i="57"/>
  <c r="Q17" i="63"/>
  <c r="Q17" i="61"/>
  <c r="R8" i="59"/>
  <c r="U6" i="57"/>
  <c r="V6" i="63"/>
  <c r="U6" i="59"/>
  <c r="R8" i="61"/>
  <c r="U6" i="61"/>
  <c r="R8" i="57"/>
  <c r="R8" i="63"/>
  <c r="S15" i="63"/>
  <c r="S15" i="61"/>
  <c r="Q20" i="59"/>
  <c r="Q20" i="57"/>
  <c r="S15" i="57"/>
  <c r="Q20" i="61"/>
  <c r="Q20" i="63"/>
  <c r="S15" i="59"/>
  <c r="T7" i="63"/>
  <c r="T7" i="61"/>
  <c r="Q24" i="59"/>
  <c r="S19" i="59"/>
  <c r="Q24" i="57"/>
  <c r="S19" i="57"/>
  <c r="R11" i="63"/>
  <c r="R11" i="61"/>
  <c r="T7" i="59"/>
  <c r="S19" i="63"/>
  <c r="Q24" i="61"/>
  <c r="T7" i="57"/>
  <c r="Q24" i="63"/>
  <c r="R11" i="59"/>
  <c r="R11" i="57"/>
  <c r="S19" i="61"/>
  <c r="V10" i="63"/>
  <c r="V10" i="61"/>
  <c r="Q28" i="63"/>
  <c r="R15" i="63"/>
  <c r="U10" i="63"/>
  <c r="Q28" i="61"/>
  <c r="R15" i="61"/>
  <c r="U10" i="61"/>
  <c r="Q28" i="59"/>
  <c r="Q28" i="57"/>
  <c r="V10" i="57"/>
  <c r="V10" i="59"/>
  <c r="R15" i="59"/>
  <c r="U10" i="59"/>
  <c r="U10" i="57"/>
  <c r="R15" i="57"/>
  <c r="V14" i="63"/>
  <c r="V14" i="61"/>
  <c r="Q32" i="59"/>
  <c r="V14" i="59"/>
  <c r="Q32" i="57"/>
  <c r="V14" i="57"/>
  <c r="Q32" i="63"/>
  <c r="R19" i="63"/>
  <c r="U14" i="63"/>
  <c r="R19" i="61"/>
  <c r="U14" i="61"/>
  <c r="U14" i="59"/>
  <c r="R19" i="57"/>
  <c r="Q32" i="61"/>
  <c r="R19" i="59"/>
  <c r="U14" i="57"/>
  <c r="Q36" i="63"/>
  <c r="U18" i="63"/>
  <c r="U18" i="61"/>
  <c r="Q36" i="59"/>
  <c r="R23" i="59"/>
  <c r="Q36" i="57"/>
  <c r="R23" i="57"/>
  <c r="R23" i="63"/>
  <c r="Q36" i="61"/>
  <c r="R23" i="61"/>
  <c r="V18" i="61"/>
  <c r="U18" i="59"/>
  <c r="V18" i="57"/>
  <c r="V18" i="63"/>
  <c r="U18" i="57"/>
  <c r="V18" i="59"/>
  <c r="V22" i="63"/>
  <c r="V22" i="61"/>
  <c r="Q40" i="59"/>
  <c r="R27" i="59"/>
  <c r="U22" i="59"/>
  <c r="Q40" i="57"/>
  <c r="R27" i="57"/>
  <c r="U22" i="57"/>
  <c r="R27" i="63"/>
  <c r="V22" i="57"/>
  <c r="Q40" i="61"/>
  <c r="R27" i="61"/>
  <c r="U22" i="63"/>
  <c r="Q40" i="63"/>
  <c r="U22" i="61"/>
  <c r="V22" i="59"/>
  <c r="Q44" i="63"/>
  <c r="R31" i="63"/>
  <c r="Q44" i="61"/>
  <c r="R31" i="61"/>
  <c r="Q44" i="59"/>
  <c r="R31" i="59"/>
  <c r="U26" i="59"/>
  <c r="Q44" i="57"/>
  <c r="R31" i="57"/>
  <c r="U26" i="57"/>
  <c r="V26" i="61"/>
  <c r="V26" i="59"/>
  <c r="V26" i="57"/>
  <c r="V26" i="63"/>
  <c r="U26" i="61"/>
  <c r="U26" i="63"/>
  <c r="Q48" i="59"/>
  <c r="R35" i="59"/>
  <c r="U30" i="59"/>
  <c r="Q48" i="57"/>
  <c r="R35" i="57"/>
  <c r="U30" i="57"/>
  <c r="U30" i="63"/>
  <c r="U30" i="61"/>
  <c r="V30" i="59"/>
  <c r="Q48" i="63"/>
  <c r="R35" i="63"/>
  <c r="V30" i="63"/>
  <c r="R35" i="61"/>
  <c r="Q48" i="61"/>
  <c r="V30" i="57"/>
  <c r="V30" i="61"/>
  <c r="R39" i="63"/>
  <c r="Q52" i="63"/>
  <c r="Q52" i="61"/>
  <c r="U34" i="61"/>
  <c r="R39" i="59"/>
  <c r="U34" i="59"/>
  <c r="R39" i="57"/>
  <c r="U34" i="57"/>
  <c r="V34" i="61"/>
  <c r="V34" i="57"/>
  <c r="V34" i="59"/>
  <c r="Q52" i="57"/>
  <c r="V34" i="63"/>
  <c r="U34" i="63"/>
  <c r="R39" i="61"/>
  <c r="Q52" i="59"/>
  <c r="Q56" i="61"/>
  <c r="U38" i="63"/>
  <c r="V38" i="61"/>
  <c r="R43" i="59"/>
  <c r="U38" i="59"/>
  <c r="R43" i="57"/>
  <c r="U38" i="57"/>
  <c r="R43" i="63"/>
  <c r="R43" i="61"/>
  <c r="U38" i="61"/>
  <c r="Q56" i="57"/>
  <c r="V38" i="57"/>
  <c r="Q56" i="63"/>
  <c r="Q56" i="59"/>
  <c r="V38" i="59"/>
  <c r="V38" i="63"/>
  <c r="U42" i="63"/>
  <c r="Q60" i="61"/>
  <c r="R47" i="61"/>
  <c r="V42" i="63"/>
  <c r="U42" i="59"/>
  <c r="U42" i="57"/>
  <c r="R47" i="57"/>
  <c r="V42" i="61"/>
  <c r="Q60" i="63"/>
  <c r="Q60" i="59"/>
  <c r="Q60" i="57"/>
  <c r="U42" i="61"/>
  <c r="V42" i="57"/>
  <c r="R47" i="63"/>
  <c r="V42" i="59"/>
  <c r="R47" i="59"/>
  <c r="B32" i="32"/>
  <c r="BY4" i="61"/>
  <c r="BY4" i="59"/>
  <c r="BY4" i="57"/>
  <c r="BY4" i="63"/>
  <c r="B12" i="32"/>
  <c r="AP2" i="32"/>
  <c r="AH2" i="73"/>
  <c r="B13" i="32"/>
  <c r="A6" i="50"/>
  <c r="A13" i="50"/>
  <c r="A18" i="50"/>
  <c r="A23" i="50"/>
  <c r="A26" i="50"/>
  <c r="A32" i="50"/>
  <c r="A41" i="50"/>
  <c r="A46" i="50"/>
  <c r="Q8" i="63"/>
  <c r="Q8" i="61"/>
  <c r="S8" i="59"/>
  <c r="S8" i="57"/>
  <c r="Q8" i="57"/>
  <c r="Q8" i="59"/>
  <c r="S8" i="61"/>
  <c r="S8" i="63"/>
  <c r="Q13" i="50"/>
  <c r="Q12" i="63"/>
  <c r="Q12" i="61"/>
  <c r="Q12" i="57"/>
  <c r="Q12" i="59"/>
  <c r="R7" i="63"/>
  <c r="R7" i="61"/>
  <c r="V5" i="61"/>
  <c r="Q16" i="59"/>
  <c r="R7" i="59"/>
  <c r="V5" i="59"/>
  <c r="Q16" i="57"/>
  <c r="R7" i="57"/>
  <c r="V5" i="57"/>
  <c r="U5" i="61"/>
  <c r="V5" i="63"/>
  <c r="Q16" i="63"/>
  <c r="Q16" i="61"/>
  <c r="U5" i="63"/>
  <c r="U5" i="57"/>
  <c r="U5" i="59"/>
  <c r="Q19" i="63"/>
  <c r="S14" i="63"/>
  <c r="Q19" i="61"/>
  <c r="S14" i="61"/>
  <c r="Q19" i="59"/>
  <c r="S14" i="59"/>
  <c r="Q19" i="57"/>
  <c r="S14" i="57"/>
  <c r="Q23" i="59"/>
  <c r="S18" i="59"/>
  <c r="Q23" i="61"/>
  <c r="Q23" i="63"/>
  <c r="S18" i="61"/>
  <c r="S18" i="57"/>
  <c r="S18" i="63"/>
  <c r="Q23" i="57"/>
  <c r="Q27" i="63"/>
  <c r="V9" i="63"/>
  <c r="Q27" i="61"/>
  <c r="V9" i="61"/>
  <c r="V9" i="59"/>
  <c r="V9" i="57"/>
  <c r="R14" i="59"/>
  <c r="Q27" i="57"/>
  <c r="R14" i="63"/>
  <c r="R14" i="61"/>
  <c r="Q27" i="59"/>
  <c r="U9" i="63"/>
  <c r="U9" i="59"/>
  <c r="R14" i="57"/>
  <c r="U9" i="57"/>
  <c r="U9" i="61"/>
  <c r="R18" i="59"/>
  <c r="V13" i="59"/>
  <c r="R18" i="57"/>
  <c r="V13" i="57"/>
  <c r="R18" i="63"/>
  <c r="V13" i="63"/>
  <c r="R18" i="61"/>
  <c r="V13" i="61"/>
  <c r="U13" i="59"/>
  <c r="U13" i="63"/>
  <c r="U13" i="61"/>
  <c r="Q31" i="57"/>
  <c r="Q31" i="63"/>
  <c r="Q31" i="61"/>
  <c r="Q31" i="59"/>
  <c r="U13" i="57"/>
  <c r="Q35" i="63"/>
  <c r="V17" i="59"/>
  <c r="V17" i="57"/>
  <c r="U17" i="59"/>
  <c r="V17" i="63"/>
  <c r="R22" i="63"/>
  <c r="U17" i="63"/>
  <c r="Q35" i="59"/>
  <c r="R22" i="59"/>
  <c r="Q35" i="57"/>
  <c r="R22" i="57"/>
  <c r="Q35" i="61"/>
  <c r="U17" i="57"/>
  <c r="V17" i="61"/>
  <c r="U17" i="61"/>
  <c r="R22" i="61"/>
  <c r="Q39" i="63"/>
  <c r="V21" i="63"/>
  <c r="V21" i="61"/>
  <c r="V21" i="59"/>
  <c r="V21" i="57"/>
  <c r="R26" i="63"/>
  <c r="Q39" i="61"/>
  <c r="R26" i="61"/>
  <c r="Q39" i="59"/>
  <c r="R26" i="59"/>
  <c r="U21" i="63"/>
  <c r="U21" i="57"/>
  <c r="U21" i="61"/>
  <c r="U21" i="59"/>
  <c r="Q39" i="57"/>
  <c r="R26" i="57"/>
  <c r="Q43" i="63"/>
  <c r="R30" i="63"/>
  <c r="Q43" i="61"/>
  <c r="R30" i="61"/>
  <c r="V25" i="59"/>
  <c r="V25" i="57"/>
  <c r="Q43" i="57"/>
  <c r="R30" i="57"/>
  <c r="V25" i="61"/>
  <c r="V25" i="63"/>
  <c r="Q43" i="59"/>
  <c r="R30" i="59"/>
  <c r="U25" i="61"/>
  <c r="U25" i="63"/>
  <c r="U25" i="59"/>
  <c r="U25" i="57"/>
  <c r="R34" i="63"/>
  <c r="V29" i="59"/>
  <c r="V29" i="57"/>
  <c r="Q47" i="61"/>
  <c r="U29" i="59"/>
  <c r="R34" i="57"/>
  <c r="R34" i="61"/>
  <c r="Q47" i="63"/>
  <c r="V29" i="61"/>
  <c r="Q47" i="59"/>
  <c r="Q47" i="57"/>
  <c r="V29" i="63"/>
  <c r="U29" i="61"/>
  <c r="R34" i="59"/>
  <c r="U29" i="63"/>
  <c r="U29" i="57"/>
  <c r="Q51" i="63"/>
  <c r="R38" i="63"/>
  <c r="U33" i="63"/>
  <c r="U33" i="61"/>
  <c r="V33" i="59"/>
  <c r="V33" i="57"/>
  <c r="V33" i="63"/>
  <c r="U33" i="57"/>
  <c r="U33" i="59"/>
  <c r="R38" i="61"/>
  <c r="Q51" i="59"/>
  <c r="Q51" i="57"/>
  <c r="R38" i="59"/>
  <c r="R38" i="57"/>
  <c r="Q51" i="61"/>
  <c r="V33" i="61"/>
  <c r="R42" i="63"/>
  <c r="U37" i="63"/>
  <c r="V37" i="61"/>
  <c r="V37" i="59"/>
  <c r="V37" i="57"/>
  <c r="Q55" i="63"/>
  <c r="V37" i="63"/>
  <c r="U37" i="61"/>
  <c r="R42" i="59"/>
  <c r="U37" i="57"/>
  <c r="Q55" i="61"/>
  <c r="Q55" i="57"/>
  <c r="Q55" i="59"/>
  <c r="R42" i="57"/>
  <c r="R42" i="61"/>
  <c r="U37" i="59"/>
  <c r="R46" i="63"/>
  <c r="U41" i="63"/>
  <c r="Q59" i="63"/>
  <c r="V41" i="59"/>
  <c r="V41" i="57"/>
  <c r="V41" i="63"/>
  <c r="V41" i="61"/>
  <c r="Q59" i="59"/>
  <c r="R46" i="59"/>
  <c r="U41" i="61"/>
  <c r="Q59" i="61"/>
  <c r="U41" i="59"/>
  <c r="U41" i="57"/>
  <c r="Q59" i="57"/>
  <c r="R46" i="57"/>
  <c r="R46" i="61"/>
  <c r="B8" i="32"/>
  <c r="AR19" i="32"/>
  <c r="BY3" i="63"/>
  <c r="BY3" i="59"/>
  <c r="BY3" i="61"/>
  <c r="BY3" i="57"/>
  <c r="B15" i="32"/>
  <c r="A5" i="50"/>
  <c r="A9" i="50"/>
  <c r="A12" i="50"/>
  <c r="A17" i="50"/>
  <c r="A22" i="50"/>
  <c r="A25" i="50"/>
  <c r="A36" i="50"/>
  <c r="A40" i="50"/>
  <c r="A45" i="50"/>
  <c r="Q4" i="63"/>
  <c r="S4" i="61"/>
  <c r="S4" i="59"/>
  <c r="S4" i="57"/>
  <c r="S4" i="63"/>
  <c r="Q4" i="57"/>
  <c r="Q4" i="59"/>
  <c r="Q4" i="61"/>
  <c r="S7" i="57"/>
  <c r="S7" i="59"/>
  <c r="S7" i="63"/>
  <c r="Q7" i="61"/>
  <c r="Q7" i="63"/>
  <c r="Q7" i="57"/>
  <c r="Q7" i="59"/>
  <c r="S7" i="61"/>
  <c r="R5" i="63"/>
  <c r="R5" i="61"/>
  <c r="Q11" i="59"/>
  <c r="R5" i="59"/>
  <c r="Q11" i="57"/>
  <c r="R5" i="57"/>
  <c r="Q11" i="63"/>
  <c r="Q11" i="61"/>
  <c r="U4" i="63"/>
  <c r="V4" i="63"/>
  <c r="R6" i="61"/>
  <c r="Q15" i="59"/>
  <c r="R6" i="59"/>
  <c r="Q15" i="57"/>
  <c r="R6" i="57"/>
  <c r="V4" i="57"/>
  <c r="V4" i="59"/>
  <c r="Q15" i="63"/>
  <c r="Q15" i="61"/>
  <c r="V4" i="61"/>
  <c r="U4" i="61"/>
  <c r="U4" i="57"/>
  <c r="U4" i="59"/>
  <c r="R6" i="63"/>
  <c r="S13" i="63"/>
  <c r="S13" i="61"/>
  <c r="Q18" i="63"/>
  <c r="Q18" i="61"/>
  <c r="Q18" i="57"/>
  <c r="S13" i="57"/>
  <c r="Q18" i="59"/>
  <c r="S13" i="59"/>
  <c r="Q22" i="63"/>
  <c r="S17" i="63"/>
  <c r="T6" i="63"/>
  <c r="Q22" i="61"/>
  <c r="S17" i="61"/>
  <c r="R10" i="63"/>
  <c r="R10" i="61"/>
  <c r="Q22" i="59"/>
  <c r="S17" i="57"/>
  <c r="S17" i="59"/>
  <c r="T6" i="59"/>
  <c r="T6" i="57"/>
  <c r="Q22" i="57"/>
  <c r="R10" i="57"/>
  <c r="T6" i="61"/>
  <c r="R10" i="59"/>
  <c r="Q26" i="63"/>
  <c r="V8" i="63"/>
  <c r="Q26" i="61"/>
  <c r="V8" i="61"/>
  <c r="R13" i="63"/>
  <c r="R13" i="61"/>
  <c r="Q26" i="57"/>
  <c r="Q26" i="59"/>
  <c r="U8" i="63"/>
  <c r="U8" i="61"/>
  <c r="R13" i="59"/>
  <c r="R13" i="57"/>
  <c r="U8" i="57"/>
  <c r="V8" i="59"/>
  <c r="U8" i="59"/>
  <c r="V8" i="57"/>
  <c r="Q30" i="63"/>
  <c r="V12" i="63"/>
  <c r="Q30" i="61"/>
  <c r="V12" i="61"/>
  <c r="R17" i="63"/>
  <c r="R17" i="61"/>
  <c r="U12" i="63"/>
  <c r="U12" i="61"/>
  <c r="V12" i="59"/>
  <c r="U12" i="57"/>
  <c r="U12" i="59"/>
  <c r="Q30" i="57"/>
  <c r="Q30" i="59"/>
  <c r="V12" i="57"/>
  <c r="R17" i="57"/>
  <c r="R17" i="59"/>
  <c r="R21" i="63"/>
  <c r="Q34" i="61"/>
  <c r="R21" i="61"/>
  <c r="Q34" i="63"/>
  <c r="V16" i="63"/>
  <c r="V16" i="61"/>
  <c r="V16" i="59"/>
  <c r="V16" i="57"/>
  <c r="U16" i="63"/>
  <c r="Q34" i="59"/>
  <c r="R21" i="59"/>
  <c r="U16" i="57"/>
  <c r="U16" i="61"/>
  <c r="U16" i="59"/>
  <c r="Q34" i="57"/>
  <c r="R21" i="57"/>
  <c r="Q38" i="63"/>
  <c r="R25" i="63"/>
  <c r="U20" i="63"/>
  <c r="Q38" i="61"/>
  <c r="R25" i="61"/>
  <c r="U20" i="61"/>
  <c r="V20" i="63"/>
  <c r="V20" i="61"/>
  <c r="Q38" i="59"/>
  <c r="R25" i="59"/>
  <c r="V20" i="57"/>
  <c r="V20" i="59"/>
  <c r="U20" i="57"/>
  <c r="R25" i="57"/>
  <c r="U20" i="59"/>
  <c r="Q38" i="57"/>
  <c r="R29" i="63"/>
  <c r="U24" i="63"/>
  <c r="Q42" i="61"/>
  <c r="R29" i="61"/>
  <c r="U24" i="61"/>
  <c r="V24" i="63"/>
  <c r="V24" i="61"/>
  <c r="Q42" i="57"/>
  <c r="R29" i="57"/>
  <c r="Q42" i="59"/>
  <c r="R29" i="59"/>
  <c r="V24" i="57"/>
  <c r="U24" i="59"/>
  <c r="U24" i="57"/>
  <c r="Q42" i="63"/>
  <c r="V24" i="59"/>
  <c r="U28" i="63"/>
  <c r="Q46" i="61"/>
  <c r="R33" i="61"/>
  <c r="U28" i="61"/>
  <c r="Q46" i="63"/>
  <c r="U28" i="59"/>
  <c r="Q46" i="57"/>
  <c r="R33" i="63"/>
  <c r="V28" i="61"/>
  <c r="Q46" i="59"/>
  <c r="V28" i="63"/>
  <c r="R33" i="57"/>
  <c r="V28" i="59"/>
  <c r="V28" i="57"/>
  <c r="U28" i="57"/>
  <c r="R33" i="59"/>
  <c r="V32" i="63"/>
  <c r="R37" i="61"/>
  <c r="U32" i="61"/>
  <c r="U32" i="63"/>
  <c r="Q50" i="61"/>
  <c r="V32" i="59"/>
  <c r="Q50" i="57"/>
  <c r="U32" i="57"/>
  <c r="R37" i="63"/>
  <c r="Q50" i="59"/>
  <c r="U32" i="59"/>
  <c r="V32" i="61"/>
  <c r="R37" i="59"/>
  <c r="R37" i="57"/>
  <c r="Q50" i="63"/>
  <c r="V32" i="57"/>
  <c r="V36" i="63"/>
  <c r="Q54" i="63"/>
  <c r="R41" i="63"/>
  <c r="R41" i="61"/>
  <c r="U36" i="61"/>
  <c r="V36" i="61"/>
  <c r="Q54" i="59"/>
  <c r="Q54" i="57"/>
  <c r="Q54" i="61"/>
  <c r="R41" i="59"/>
  <c r="V36" i="57"/>
  <c r="U36" i="57"/>
  <c r="V36" i="59"/>
  <c r="U36" i="63"/>
  <c r="U36" i="59"/>
  <c r="R41" i="57"/>
  <c r="V40" i="63"/>
  <c r="U40" i="61"/>
  <c r="Q58" i="63"/>
  <c r="Q58" i="59"/>
  <c r="R45" i="59"/>
  <c r="Q58" i="57"/>
  <c r="R45" i="57"/>
  <c r="R45" i="63"/>
  <c r="V40" i="57"/>
  <c r="Q58" i="61"/>
  <c r="U40" i="63"/>
  <c r="V40" i="61"/>
  <c r="V40" i="59"/>
  <c r="U40" i="59"/>
  <c r="U40" i="57"/>
  <c r="R45" i="61"/>
  <c r="N5" i="32"/>
  <c r="M24" i="73"/>
  <c r="I24" i="73"/>
  <c r="E24" i="73"/>
  <c r="B7" i="32"/>
  <c r="B28" i="32"/>
  <c r="R5" i="32"/>
  <c r="B5" i="32"/>
  <c r="B11" i="32"/>
  <c r="V43" i="50"/>
  <c r="U43" i="50"/>
  <c r="R48" i="50"/>
  <c r="Q61" i="50"/>
  <c r="Q6" i="50"/>
  <c r="S6" i="50"/>
  <c r="Q10" i="50"/>
  <c r="S10" i="50"/>
  <c r="S12" i="50"/>
  <c r="Q14" i="50"/>
  <c r="R8" i="50"/>
  <c r="V6" i="50"/>
  <c r="U6" i="50"/>
  <c r="Q18" i="50"/>
  <c r="S16" i="50"/>
  <c r="Q21" i="50"/>
  <c r="T7" i="50"/>
  <c r="S19" i="50"/>
  <c r="R11" i="50"/>
  <c r="Q24" i="50"/>
  <c r="V10" i="50"/>
  <c r="U10" i="50"/>
  <c r="R15" i="50"/>
  <c r="Q28" i="50"/>
  <c r="V14" i="50"/>
  <c r="U14" i="50"/>
  <c r="R19" i="50"/>
  <c r="Q32" i="50"/>
  <c r="V18" i="50"/>
  <c r="U18" i="50"/>
  <c r="R23" i="50"/>
  <c r="Q36" i="50"/>
  <c r="V22" i="50"/>
  <c r="U22" i="50"/>
  <c r="R27" i="50"/>
  <c r="Q40" i="50"/>
  <c r="V26" i="50"/>
  <c r="U26" i="50"/>
  <c r="R31" i="50"/>
  <c r="Q44" i="50"/>
  <c r="V30" i="50"/>
  <c r="U30" i="50"/>
  <c r="R35" i="50"/>
  <c r="Q48" i="50"/>
  <c r="V34" i="50"/>
  <c r="U34" i="50"/>
  <c r="R39" i="50"/>
  <c r="Q52" i="50"/>
  <c r="V38" i="50"/>
  <c r="U38" i="50"/>
  <c r="R43" i="50"/>
  <c r="Q56" i="50"/>
  <c r="V42" i="50"/>
  <c r="U42" i="50"/>
  <c r="R47" i="50"/>
  <c r="Q60" i="50"/>
  <c r="F5" i="32"/>
  <c r="V5" i="32"/>
  <c r="R4" i="50"/>
  <c r="Q11" i="50"/>
  <c r="S11" i="50"/>
  <c r="T4" i="50"/>
  <c r="Q15" i="50"/>
  <c r="S13" i="50"/>
  <c r="V7" i="50"/>
  <c r="U7" i="50"/>
  <c r="R12" i="50"/>
  <c r="Q25" i="50"/>
  <c r="V11" i="50"/>
  <c r="U11" i="50"/>
  <c r="R16" i="50"/>
  <c r="Q29" i="50"/>
  <c r="V19" i="50"/>
  <c r="U19" i="50"/>
  <c r="R24" i="50"/>
  <c r="Q37" i="50"/>
  <c r="V23" i="50"/>
  <c r="U23" i="50"/>
  <c r="R28" i="50"/>
  <c r="Q41" i="50"/>
  <c r="V27" i="50"/>
  <c r="U27" i="50"/>
  <c r="R32" i="50"/>
  <c r="Q45" i="50"/>
  <c r="V35" i="50"/>
  <c r="U35" i="50"/>
  <c r="R40" i="50"/>
  <c r="Q53" i="50"/>
  <c r="V39" i="50"/>
  <c r="U39" i="50"/>
  <c r="R44" i="50"/>
  <c r="Q57" i="50"/>
  <c r="Q9" i="50"/>
  <c r="S9" i="50"/>
  <c r="R7" i="50"/>
  <c r="V5" i="50"/>
  <c r="U5" i="50"/>
  <c r="Q17" i="50"/>
  <c r="S15" i="50"/>
  <c r="Q20" i="50"/>
  <c r="Q27" i="50"/>
  <c r="V9" i="50"/>
  <c r="U9" i="50"/>
  <c r="R14" i="50"/>
  <c r="V13" i="50"/>
  <c r="U13" i="50"/>
  <c r="R18" i="50"/>
  <c r="Q31" i="50"/>
  <c r="Q35" i="50"/>
  <c r="V17" i="50"/>
  <c r="U17" i="50"/>
  <c r="R22" i="50"/>
  <c r="V21" i="50"/>
  <c r="U21" i="50"/>
  <c r="R26" i="50"/>
  <c r="Q39" i="50"/>
  <c r="V25" i="50"/>
  <c r="U25" i="50"/>
  <c r="R30" i="50"/>
  <c r="Q43" i="50"/>
  <c r="Q47" i="50"/>
  <c r="V29" i="50"/>
  <c r="U29" i="50"/>
  <c r="R34" i="50"/>
  <c r="Q51" i="50"/>
  <c r="V33" i="50"/>
  <c r="U33" i="50"/>
  <c r="R38" i="50"/>
  <c r="V37" i="50"/>
  <c r="U37" i="50"/>
  <c r="R42" i="50"/>
  <c r="Q55" i="50"/>
  <c r="V41" i="50"/>
  <c r="U41" i="50"/>
  <c r="R46" i="50"/>
  <c r="Q59" i="50"/>
  <c r="J5" i="32"/>
  <c r="Q22" i="50"/>
  <c r="T5" i="50"/>
  <c r="S17" i="50"/>
  <c r="R9" i="50"/>
  <c r="V15" i="50"/>
  <c r="U15" i="50"/>
  <c r="R20" i="50"/>
  <c r="Q33" i="50"/>
  <c r="V31" i="50"/>
  <c r="U31" i="50"/>
  <c r="R36" i="50"/>
  <c r="Q49" i="50"/>
  <c r="Q4" i="50"/>
  <c r="S4" i="50"/>
  <c r="S8" i="50"/>
  <c r="Q8" i="50"/>
  <c r="R5" i="50"/>
  <c r="Q12" i="50"/>
  <c r="Q16" i="50"/>
  <c r="V4" i="50"/>
  <c r="U4" i="50"/>
  <c r="R6" i="50"/>
  <c r="Q19" i="50"/>
  <c r="S14" i="50"/>
  <c r="Q23" i="50"/>
  <c r="T6" i="50"/>
  <c r="S18" i="50"/>
  <c r="R10" i="50"/>
  <c r="Q26" i="50"/>
  <c r="R13" i="50"/>
  <c r="V8" i="50"/>
  <c r="U8" i="50"/>
  <c r="Q30" i="50"/>
  <c r="U12" i="50"/>
  <c r="V12" i="50"/>
  <c r="R17" i="50"/>
  <c r="Q34" i="50"/>
  <c r="R21" i="50"/>
  <c r="V16" i="50"/>
  <c r="U16" i="50"/>
  <c r="Q38" i="50"/>
  <c r="V20" i="50"/>
  <c r="U20" i="50"/>
  <c r="R25" i="50"/>
  <c r="Q42" i="50"/>
  <c r="R29" i="50"/>
  <c r="V24" i="50"/>
  <c r="U24" i="50"/>
  <c r="Q46" i="50"/>
  <c r="U28" i="50"/>
  <c r="V28" i="50"/>
  <c r="R33" i="50"/>
  <c r="Q50" i="50"/>
  <c r="U32" i="50"/>
  <c r="R37" i="50"/>
  <c r="V32" i="50"/>
  <c r="Q54" i="50"/>
  <c r="V36" i="50"/>
  <c r="U36" i="50"/>
  <c r="R41" i="50"/>
  <c r="Q58" i="50"/>
  <c r="V40" i="50"/>
  <c r="U40" i="50"/>
  <c r="R45" i="50"/>
  <c r="B21" i="32"/>
  <c r="B25" i="32"/>
  <c r="H23" i="32" s="1"/>
  <c r="CH4" i="50"/>
  <c r="CI4" i="50"/>
  <c r="CJ4" i="50"/>
  <c r="CK4" i="50"/>
  <c r="CL4" i="50"/>
  <c r="CM4" i="50"/>
  <c r="CN4" i="50"/>
  <c r="CO4" i="50"/>
  <c r="CP4" i="50"/>
  <c r="CQ4" i="50"/>
  <c r="CR4" i="50"/>
  <c r="CS4" i="50"/>
  <c r="CT4" i="50"/>
  <c r="CU4" i="50"/>
  <c r="CV4" i="50"/>
  <c r="CW4" i="50"/>
  <c r="CX4" i="50"/>
  <c r="CY4" i="50"/>
  <c r="CZ4" i="50"/>
  <c r="DA4" i="50"/>
  <c r="DB4" i="50"/>
  <c r="DC4" i="50"/>
  <c r="DD4" i="50"/>
  <c r="DE4" i="50"/>
  <c r="DF4" i="50"/>
  <c r="DG4" i="50"/>
  <c r="DH4" i="50"/>
  <c r="DI4" i="50"/>
  <c r="DJ4" i="50"/>
  <c r="DK4" i="50"/>
  <c r="DL4" i="50"/>
  <c r="CG4" i="50"/>
  <c r="AU9" i="32"/>
  <c r="C3" i="51"/>
  <c r="C4" i="51"/>
  <c r="C5" i="51"/>
  <c r="C6" i="51"/>
  <c r="C7" i="51"/>
  <c r="C8" i="51"/>
  <c r="C9" i="51"/>
  <c r="C10" i="51"/>
  <c r="C11" i="51"/>
  <c r="C12" i="51"/>
  <c r="C13" i="51"/>
  <c r="C14" i="51"/>
  <c r="C15" i="51"/>
  <c r="C16" i="51"/>
  <c r="C17" i="51"/>
  <c r="C18" i="51"/>
  <c r="C19" i="51"/>
  <c r="C20" i="51"/>
  <c r="C21" i="51"/>
  <c r="C22" i="51"/>
  <c r="C23" i="51"/>
  <c r="C24" i="51"/>
  <c r="C25" i="51"/>
  <c r="C26" i="51"/>
  <c r="C27" i="51"/>
  <c r="C28" i="51"/>
  <c r="C29" i="51"/>
  <c r="C30" i="51"/>
  <c r="C31" i="51"/>
  <c r="C32" i="51"/>
  <c r="C33" i="51"/>
  <c r="C34" i="51"/>
  <c r="Z7" i="96" l="1" a="1"/>
  <c r="Z7" i="96" s="1"/>
  <c r="AG203" i="99"/>
  <c r="AG59" i="99"/>
  <c r="W95" i="99"/>
  <c r="AG95" i="99"/>
  <c r="AG167" i="99"/>
  <c r="W203" i="99"/>
  <c r="W59" i="99"/>
  <c r="AG131" i="99"/>
  <c r="W167" i="99"/>
  <c r="AG23" i="99"/>
  <c r="W131" i="99"/>
  <c r="AC15" i="99"/>
  <c r="S8" i="92"/>
  <c r="AC84" i="99"/>
  <c r="S8" i="93"/>
  <c r="AC120" i="99"/>
  <c r="S8" i="91"/>
  <c r="AC48" i="99"/>
  <c r="S8" i="94"/>
  <c r="AC156" i="99"/>
  <c r="S8" i="32"/>
  <c r="J20" i="95"/>
  <c r="J20" i="92"/>
  <c r="J20" i="93"/>
  <c r="B20" i="95"/>
  <c r="J20" i="94"/>
  <c r="J20" i="91"/>
  <c r="B20" i="93"/>
  <c r="B20" i="94"/>
  <c r="B20" i="91"/>
  <c r="B20" i="92"/>
  <c r="B11" i="81"/>
  <c r="AT9" i="32"/>
  <c r="AT9" i="93"/>
  <c r="AY3" i="93" s="1"/>
  <c r="AT11" i="93" s="1"/>
  <c r="AT8" i="32"/>
  <c r="AY2" i="32" s="1"/>
  <c r="AT13" i="32"/>
  <c r="AT13" i="92"/>
  <c r="AT8" i="94"/>
  <c r="AY2" i="94" s="1"/>
  <c r="BA2" i="94" s="1"/>
  <c r="AT13" i="91"/>
  <c r="AT13" i="95"/>
  <c r="AT8" i="91"/>
  <c r="AY2" i="91" s="1"/>
  <c r="BA2" i="91" s="1"/>
  <c r="AT8" i="95"/>
  <c r="AY2" i="95" s="1"/>
  <c r="BA2" i="95" s="1"/>
  <c r="AT13" i="94"/>
  <c r="AT8" i="92"/>
  <c r="AY2" i="92" s="1"/>
  <c r="BA2" i="92" s="1"/>
  <c r="AT9" i="95"/>
  <c r="AY3" i="95" s="1"/>
  <c r="AT9" i="92"/>
  <c r="AY3" i="92" s="1"/>
  <c r="AT9" i="91"/>
  <c r="AY3" i="91" s="1"/>
  <c r="AT9" i="94"/>
  <c r="AY3" i="94" s="1"/>
  <c r="AT17" i="95"/>
  <c r="S8" i="95"/>
  <c r="S10" i="92"/>
  <c r="S10" i="93"/>
  <c r="S10" i="91"/>
  <c r="S10" i="94"/>
  <c r="S10" i="95"/>
  <c r="S10" i="32"/>
  <c r="AU25" i="95"/>
  <c r="AU23" i="95"/>
  <c r="AU24" i="95" s="1"/>
  <c r="AU17" i="95"/>
  <c r="AB29" i="95" s="1"/>
  <c r="AU25" i="91"/>
  <c r="AU17" i="91"/>
  <c r="AB29" i="91" s="1"/>
  <c r="AU23" i="91"/>
  <c r="AU24" i="91" s="1"/>
  <c r="AT17" i="93"/>
  <c r="AT17" i="92"/>
  <c r="AT17" i="94"/>
  <c r="AU25" i="92"/>
  <c r="AU23" i="92"/>
  <c r="AU24" i="92" s="1"/>
  <c r="AU17" i="92"/>
  <c r="AB29" i="92" s="1"/>
  <c r="AU25" i="93"/>
  <c r="AU23" i="93"/>
  <c r="AU24" i="93" s="1"/>
  <c r="AU17" i="93"/>
  <c r="AB29" i="93" s="1"/>
  <c r="AU23" i="94"/>
  <c r="AU24" i="94" s="1"/>
  <c r="AU17" i="94"/>
  <c r="AB29" i="94" s="1"/>
  <c r="AU25" i="94"/>
  <c r="AT17" i="91"/>
  <c r="B9" i="93"/>
  <c r="R1" i="59"/>
  <c r="S1" i="59" s="1"/>
  <c r="AU7" i="93"/>
  <c r="AV7" i="93" s="1"/>
  <c r="B9" i="92"/>
  <c r="AU7" i="92"/>
  <c r="AV7" i="92" s="1"/>
  <c r="R1" i="57"/>
  <c r="S1" i="57" s="1"/>
  <c r="P1" i="57" s="1" a="1"/>
  <c r="P1" i="57" s="1"/>
  <c r="R1" i="63"/>
  <c r="S1" i="63" s="1"/>
  <c r="P1" i="63" s="1" a="1"/>
  <c r="P1" i="63" s="1"/>
  <c r="B9" i="95"/>
  <c r="AU7" i="95"/>
  <c r="AV7" i="95" s="1"/>
  <c r="R1" i="55"/>
  <c r="S1" i="55" s="1"/>
  <c r="P1" i="55" s="1" a="1"/>
  <c r="P1" i="55" s="1"/>
  <c r="B9" i="91"/>
  <c r="AU7" i="91"/>
  <c r="AV7" i="91" s="1"/>
  <c r="R1" i="61"/>
  <c r="S1" i="61" s="1"/>
  <c r="P1" i="61" s="1" a="1"/>
  <c r="P1" i="61" s="1"/>
  <c r="B9" i="94"/>
  <c r="AU7" i="94"/>
  <c r="AV7" i="94" s="1"/>
  <c r="K34" i="81"/>
  <c r="C34" i="81"/>
  <c r="B20" i="32"/>
  <c r="J20" i="32"/>
  <c r="C11" i="81"/>
  <c r="C14" i="81"/>
  <c r="E14" i="81" s="1"/>
  <c r="F14" i="81" s="1"/>
  <c r="AX3" i="32"/>
  <c r="AX2" i="32"/>
  <c r="AZ2" i="32" s="1"/>
  <c r="S15" i="81"/>
  <c r="T15" i="81" s="1"/>
  <c r="C17" i="81"/>
  <c r="S33" i="81"/>
  <c r="S25" i="81"/>
  <c r="S31" i="81"/>
  <c r="S32" i="81" s="1"/>
  <c r="B19" i="81"/>
  <c r="M47" i="81" s="1"/>
  <c r="AT17" i="32"/>
  <c r="AU7" i="32"/>
  <c r="AV7" i="32" s="1"/>
  <c r="M39" i="73"/>
  <c r="O39" i="73" s="1"/>
  <c r="E39" i="73"/>
  <c r="G39" i="73" s="1"/>
  <c r="M40" i="73"/>
  <c r="E40" i="73"/>
  <c r="I39" i="73"/>
  <c r="K39" i="73" s="1"/>
  <c r="I40" i="73"/>
  <c r="R1" i="79"/>
  <c r="S1" i="79" s="1"/>
  <c r="P1" i="79" s="1" a="1"/>
  <c r="P1" i="79" s="1"/>
  <c r="AU25" i="32"/>
  <c r="AU23" i="32"/>
  <c r="AU24" i="32" s="1"/>
  <c r="AU17" i="32"/>
  <c r="AB29" i="32" s="1"/>
  <c r="B9" i="32"/>
  <c r="BU2" i="50"/>
  <c r="BU3" i="50" s="1"/>
  <c r="AX14" i="32" a="1"/>
  <c r="AX14" i="32" l="1"/>
  <c r="AY3" i="32"/>
  <c r="D11" i="81"/>
  <c r="BA2" i="32"/>
  <c r="L30" i="92"/>
  <c r="L30" i="93"/>
  <c r="L30" i="94"/>
  <c r="AT11" i="95"/>
  <c r="L30" i="95" s="1"/>
  <c r="AT11" i="91"/>
  <c r="L30" i="91" s="1"/>
  <c r="P1" i="59" a="1"/>
  <c r="P1" i="59" s="1"/>
  <c r="AQ7" i="92"/>
  <c r="AQ7" i="93"/>
  <c r="AQ7" i="95"/>
  <c r="AQ7" i="94"/>
  <c r="AQ7" i="91"/>
  <c r="AQ7" i="32"/>
  <c r="AT11" i="32"/>
  <c r="L30" i="32" s="1"/>
  <c r="I41" i="73"/>
  <c r="I42" i="73"/>
  <c r="M41" i="73"/>
  <c r="M42" i="73"/>
  <c r="E42" i="73"/>
  <c r="E41" i="73"/>
  <c r="R1" i="50"/>
  <c r="S1" i="50" s="1"/>
  <c r="X4" i="99" l="1"/>
  <c r="O42" i="73"/>
  <c r="AC24" i="73" s="1"/>
  <c r="AA9" i="71"/>
  <c r="AA174" i="71"/>
  <c r="O41" i="73"/>
  <c r="AC26" i="73" s="1"/>
  <c r="P1" i="50" a="1"/>
  <c r="P1" i="50" s="1"/>
  <c r="B500" i="30"/>
  <c r="B499" i="30"/>
  <c r="BD22" i="6" l="1"/>
  <c r="B390" i="6"/>
  <c r="C390" i="6"/>
  <c r="D390" i="6"/>
  <c r="B391" i="6"/>
  <c r="C391" i="6" s="1"/>
  <c r="B403" i="6"/>
  <c r="C403" i="6" s="1"/>
  <c r="B404" i="6"/>
  <c r="C404" i="6"/>
  <c r="B468" i="6"/>
  <c r="C468" i="6"/>
  <c r="B469" i="6"/>
  <c r="B470" i="6"/>
  <c r="B471" i="6"/>
  <c r="B472" i="6"/>
  <c r="B473" i="6"/>
  <c r="B474" i="6"/>
  <c r="B475" i="6"/>
  <c r="B476" i="6"/>
  <c r="B477" i="6"/>
  <c r="AR26" i="6"/>
  <c r="AG25" i="6" s="1"/>
  <c r="AS29" i="6"/>
  <c r="AU29" i="6" s="1"/>
  <c r="AT33" i="6"/>
  <c r="AT34" i="6"/>
  <c r="AT35" i="6"/>
  <c r="AA36" i="6"/>
  <c r="AT36" i="6"/>
  <c r="AK37" i="6"/>
  <c r="AO42" i="6"/>
  <c r="AO43" i="6"/>
  <c r="D44" i="6"/>
  <c r="W44" i="6"/>
  <c r="AA44" i="6"/>
  <c r="AO44" i="6"/>
  <c r="AO45" i="6"/>
  <c r="AO46" i="6"/>
  <c r="AA47" i="6"/>
  <c r="AO47" i="6"/>
  <c r="AO48" i="6"/>
  <c r="AO49" i="6"/>
  <c r="AS49" i="6"/>
  <c r="AO50" i="6"/>
  <c r="AS50" i="6"/>
  <c r="AO51" i="6"/>
  <c r="AS51" i="6"/>
  <c r="Z52" i="6"/>
  <c r="AO52" i="6"/>
  <c r="AS52" i="6"/>
  <c r="AL54" i="6"/>
  <c r="AS54" i="6" s="1"/>
  <c r="AL55" i="6"/>
  <c r="AS55" i="6" s="1"/>
  <c r="AL56" i="6"/>
  <c r="AS56" i="6" s="1"/>
  <c r="AL57" i="6"/>
  <c r="AS57" i="6" s="1"/>
  <c r="AL58" i="6"/>
  <c r="AS58" i="6"/>
  <c r="AL59" i="6"/>
  <c r="AM59" i="6"/>
  <c r="AS59" i="6"/>
  <c r="AT59" i="6"/>
  <c r="AL60" i="6"/>
  <c r="AM60" i="6"/>
  <c r="AS60" i="6"/>
  <c r="AT60" i="6"/>
  <c r="AL61" i="6"/>
  <c r="AM61" i="6"/>
  <c r="AS61" i="6"/>
  <c r="AT61" i="6"/>
  <c r="AL62" i="6"/>
  <c r="AM62" i="6"/>
  <c r="AS62" i="6"/>
  <c r="AT62" i="6"/>
  <c r="E390" i="6"/>
  <c r="B204" i="30"/>
  <c r="B267" i="30"/>
  <c r="B236" i="30"/>
  <c r="B266" i="30"/>
  <c r="B265" i="30"/>
  <c r="B3" i="6" s="1"/>
  <c r="B286" i="30"/>
  <c r="B214" i="30"/>
  <c r="B107" i="30"/>
  <c r="B460" i="6" s="1"/>
  <c r="C460" i="6" s="1"/>
  <c r="B106" i="30"/>
  <c r="B105" i="30"/>
  <c r="B458" i="6" s="1"/>
  <c r="C458" i="6" s="1"/>
  <c r="B104" i="30"/>
  <c r="B103" i="30"/>
  <c r="B456" i="6" s="1"/>
  <c r="C456" i="6" s="1"/>
  <c r="B102" i="30"/>
  <c r="B101" i="30"/>
  <c r="B454" i="6" s="1"/>
  <c r="C454" i="6" s="1"/>
  <c r="B100" i="30"/>
  <c r="B99" i="30"/>
  <c r="B452" i="6" s="1"/>
  <c r="C452" i="6" s="1"/>
  <c r="B98" i="30"/>
  <c r="B97" i="30"/>
  <c r="B450" i="6" s="1"/>
  <c r="C450" i="6" s="1"/>
  <c r="B233" i="30"/>
  <c r="B133" i="30"/>
  <c r="AA24" i="6" s="1"/>
  <c r="B251" i="30"/>
  <c r="B273" i="30"/>
  <c r="AC54" i="2"/>
  <c r="B44" i="30"/>
  <c r="B386" i="6" s="1"/>
  <c r="B43" i="30"/>
  <c r="W50" i="2" s="1"/>
  <c r="B42" i="30"/>
  <c r="W49" i="2" s="1"/>
  <c r="B41" i="30"/>
  <c r="B40" i="30"/>
  <c r="B382" i="6" s="1"/>
  <c r="B39" i="30"/>
  <c r="W46" i="2" s="1"/>
  <c r="B37" i="30"/>
  <c r="W45" i="2" s="1"/>
  <c r="B36" i="30"/>
  <c r="B35" i="30"/>
  <c r="W43" i="2" s="1"/>
  <c r="B96" i="30"/>
  <c r="AC42" i="2" s="1"/>
  <c r="B34" i="30"/>
  <c r="B376" i="6" s="1"/>
  <c r="E376" i="6" s="1"/>
  <c r="B95" i="30"/>
  <c r="B448" i="6" s="1"/>
  <c r="C448" i="6" s="1"/>
  <c r="W41" i="2"/>
  <c r="B94" i="30"/>
  <c r="D439" i="6" s="1"/>
  <c r="W40" i="2"/>
  <c r="B93" i="30"/>
  <c r="B446" i="6" s="1"/>
  <c r="C446" i="6" s="1"/>
  <c r="W39" i="2"/>
  <c r="B92" i="30"/>
  <c r="AC38" i="2" s="1"/>
  <c r="B33" i="30"/>
  <c r="B91" i="30"/>
  <c r="AC37" i="2" s="1"/>
  <c r="B31" i="30"/>
  <c r="B90" i="30"/>
  <c r="AC36" i="2" s="1"/>
  <c r="B30" i="30"/>
  <c r="B137" i="30"/>
  <c r="B36" i="2" s="1"/>
  <c r="B89" i="30"/>
  <c r="B29" i="30"/>
  <c r="W35" i="2" s="1"/>
  <c r="B88" i="30"/>
  <c r="B28" i="30"/>
  <c r="B87" i="30"/>
  <c r="B27" i="30"/>
  <c r="B86" i="30"/>
  <c r="D431" i="6" s="1"/>
  <c r="B25" i="30"/>
  <c r="B85" i="30"/>
  <c r="B24" i="30"/>
  <c r="B84" i="30"/>
  <c r="B22" i="30"/>
  <c r="B83" i="30"/>
  <c r="B21" i="30"/>
  <c r="B281" i="30"/>
  <c r="B82" i="30"/>
  <c r="D427" i="6" s="1"/>
  <c r="B20" i="30"/>
  <c r="B280" i="30"/>
  <c r="B81" i="30"/>
  <c r="B19" i="30"/>
  <c r="B279" i="30"/>
  <c r="B80" i="30"/>
  <c r="D425" i="6" s="1"/>
  <c r="B18" i="30"/>
  <c r="B278" i="30"/>
  <c r="B79" i="30"/>
  <c r="B17" i="30"/>
  <c r="B275" i="30"/>
  <c r="B78" i="30"/>
  <c r="D423" i="6" s="1"/>
  <c r="B16" i="30"/>
  <c r="B274" i="30"/>
  <c r="B77" i="30"/>
  <c r="B15" i="30"/>
  <c r="B232" i="30"/>
  <c r="B282" i="30"/>
  <c r="B283" i="30"/>
  <c r="B185" i="30"/>
  <c r="AB253" i="6" s="1"/>
  <c r="B76" i="30"/>
  <c r="B14" i="30"/>
  <c r="B75" i="30"/>
  <c r="B12" i="30"/>
  <c r="B74" i="30"/>
  <c r="B11" i="30"/>
  <c r="B73" i="30"/>
  <c r="B10" i="30"/>
  <c r="B72" i="30"/>
  <c r="B8" i="30"/>
  <c r="B61" i="30"/>
  <c r="B7" i="30"/>
  <c r="B135" i="30"/>
  <c r="B136" i="30"/>
  <c r="B60" i="30"/>
  <c r="B6" i="30"/>
  <c r="B132" i="30"/>
  <c r="B231" i="30"/>
  <c r="B230" i="30"/>
  <c r="C16" i="2" s="1"/>
  <c r="B209" i="30"/>
  <c r="B208" i="30"/>
  <c r="B207" i="30"/>
  <c r="B210" i="30"/>
  <c r="B206" i="30"/>
  <c r="B213" i="30"/>
  <c r="B277" i="30"/>
  <c r="B7" i="2" s="1"/>
  <c r="B276" i="30"/>
  <c r="B6" i="2" s="1"/>
  <c r="B287" i="30"/>
  <c r="B5" i="2" s="1"/>
  <c r="B228" i="30"/>
  <c r="B3" i="2" s="1"/>
  <c r="B157" i="30"/>
  <c r="C490" i="6" s="1"/>
  <c r="B159" i="30"/>
  <c r="B177" i="30"/>
  <c r="C525" i="6" s="1"/>
  <c r="B176" i="30"/>
  <c r="B175" i="30"/>
  <c r="B149" i="30"/>
  <c r="B148" i="30"/>
  <c r="C481" i="6" s="1"/>
  <c r="B147" i="30"/>
  <c r="B164" i="30"/>
  <c r="B163" i="30"/>
  <c r="B146" i="30"/>
  <c r="B162" i="30"/>
  <c r="B145" i="30"/>
  <c r="J355" i="6" s="1"/>
  <c r="B161" i="30"/>
  <c r="B144" i="30"/>
  <c r="B494" i="6" s="1"/>
  <c r="B160" i="30"/>
  <c r="B143" i="30"/>
  <c r="B142" i="30"/>
  <c r="B158" i="30"/>
  <c r="C491" i="6" s="1"/>
  <c r="B141" i="30"/>
  <c r="B140" i="30"/>
  <c r="B156" i="30"/>
  <c r="B139" i="30"/>
  <c r="B155" i="30"/>
  <c r="B138" i="30"/>
  <c r="B154" i="30"/>
  <c r="B153" i="30"/>
  <c r="C486" i="6" s="1"/>
  <c r="B152" i="30"/>
  <c r="B151" i="30"/>
  <c r="C484" i="6" s="1"/>
  <c r="B134" i="30"/>
  <c r="AA187" i="6" s="1"/>
  <c r="B150" i="30"/>
  <c r="C483" i="6" s="1"/>
  <c r="B131" i="30"/>
  <c r="B130" i="30"/>
  <c r="B9" i="6" s="1"/>
  <c r="B129" i="30"/>
  <c r="C182" i="6" s="1"/>
  <c r="B478" i="6"/>
  <c r="B112" i="30"/>
  <c r="D457" i="6" s="1"/>
  <c r="B111" i="30"/>
  <c r="B110" i="30"/>
  <c r="B463" i="6" s="1"/>
  <c r="C463" i="6" s="1"/>
  <c r="B109" i="30"/>
  <c r="D461" i="6"/>
  <c r="B108" i="30"/>
  <c r="D453" i="6" s="1"/>
  <c r="D460" i="6"/>
  <c r="D459" i="6"/>
  <c r="D458" i="6"/>
  <c r="D449" i="6"/>
  <c r="B71" i="30"/>
  <c r="B70" i="30"/>
  <c r="B69" i="30"/>
  <c r="B68" i="30"/>
  <c r="B67" i="30"/>
  <c r="B66" i="30"/>
  <c r="B65" i="30"/>
  <c r="B64" i="30"/>
  <c r="B63" i="30"/>
  <c r="D415" i="6"/>
  <c r="B62" i="30"/>
  <c r="D413" i="6"/>
  <c r="B59" i="30"/>
  <c r="B58" i="30"/>
  <c r="B57" i="30"/>
  <c r="B56" i="30"/>
  <c r="B400" i="6" s="1"/>
  <c r="B55" i="30"/>
  <c r="B399" i="6" s="1"/>
  <c r="B54" i="30"/>
  <c r="B53" i="30"/>
  <c r="B52" i="30"/>
  <c r="D404" i="6"/>
  <c r="D403" i="6"/>
  <c r="B198" i="30"/>
  <c r="B197" i="30"/>
  <c r="B395" i="6"/>
  <c r="B246" i="30"/>
  <c r="B394" i="6"/>
  <c r="B249" i="30"/>
  <c r="J393" i="6" s="1"/>
  <c r="B393" i="6"/>
  <c r="B245" i="30"/>
  <c r="J392" i="6" s="1"/>
  <c r="B222" i="30"/>
  <c r="J391" i="6" s="1"/>
  <c r="C124" i="30"/>
  <c r="B195" i="30"/>
  <c r="J390" i="6" s="1"/>
  <c r="B194" i="30"/>
  <c r="J389" i="6" s="1"/>
  <c r="B47" i="30"/>
  <c r="B193" i="30"/>
  <c r="B46" i="30"/>
  <c r="B192" i="30"/>
  <c r="J387" i="6" s="1"/>
  <c r="B45" i="30"/>
  <c r="B387" i="6" s="1"/>
  <c r="B291" i="30"/>
  <c r="B178" i="30"/>
  <c r="J377" i="6" s="1"/>
  <c r="B191" i="30"/>
  <c r="B200" i="30"/>
  <c r="B183" i="30"/>
  <c r="B248" i="30"/>
  <c r="B182" i="30"/>
  <c r="J380" i="6" s="1"/>
  <c r="B38" i="30"/>
  <c r="B181" i="30"/>
  <c r="B179" i="30"/>
  <c r="B190" i="30"/>
  <c r="J376" i="6" s="1"/>
  <c r="B180" i="30"/>
  <c r="J375" i="6" s="1"/>
  <c r="B241" i="30"/>
  <c r="J374" i="6" s="1"/>
  <c r="B32" i="30"/>
  <c r="B374" i="6" s="1"/>
  <c r="B242" i="30"/>
  <c r="B247" i="30"/>
  <c r="B189" i="30"/>
  <c r="B188" i="30"/>
  <c r="J370" i="6" s="1"/>
  <c r="AG47" i="6" s="1"/>
  <c r="B187" i="30"/>
  <c r="B186" i="30"/>
  <c r="J368" i="6" s="1"/>
  <c r="B26" i="30"/>
  <c r="B484" i="30"/>
  <c r="B226" i="30"/>
  <c r="B225" i="30"/>
  <c r="J365" i="6" s="1"/>
  <c r="B23" i="30"/>
  <c r="B224" i="30"/>
  <c r="J363" i="6" s="1"/>
  <c r="B221" i="30"/>
  <c r="B220" i="30"/>
  <c r="J360" i="6" s="1"/>
  <c r="B219" i="30"/>
  <c r="B218" i="30"/>
  <c r="B217" i="30"/>
  <c r="B13" i="30"/>
  <c r="B355" i="6" s="1"/>
  <c r="B244" i="30"/>
  <c r="B9" i="30"/>
  <c r="B216" i="30"/>
  <c r="B199" i="30"/>
  <c r="B184" i="30"/>
  <c r="AM332" i="6"/>
  <c r="AL332" i="6"/>
  <c r="AM331" i="6"/>
  <c r="AL331" i="6"/>
  <c r="AM330" i="6"/>
  <c r="AL330" i="6"/>
  <c r="AM329" i="6"/>
  <c r="AL329" i="6"/>
  <c r="AL328" i="6"/>
  <c r="AL327" i="6"/>
  <c r="AL326" i="6"/>
  <c r="AL325" i="6"/>
  <c r="AL324" i="6"/>
  <c r="AS324" i="6" s="1"/>
  <c r="B215" i="30"/>
  <c r="AA188" i="6" s="1"/>
  <c r="AM278" i="6"/>
  <c r="AL278" i="6"/>
  <c r="AM277" i="6"/>
  <c r="AT277" i="6" s="1"/>
  <c r="AL277" i="6"/>
  <c r="AM276" i="6"/>
  <c r="AL276" i="6"/>
  <c r="AM275" i="6"/>
  <c r="AL275" i="6"/>
  <c r="AL274" i="6"/>
  <c r="AL273" i="6"/>
  <c r="AL272" i="6"/>
  <c r="AL271" i="6"/>
  <c r="AL270" i="6"/>
  <c r="AM224" i="6"/>
  <c r="AL224" i="6"/>
  <c r="AM223" i="6"/>
  <c r="AT223" i="6" s="1"/>
  <c r="AL223" i="6"/>
  <c r="AM222" i="6"/>
  <c r="AL222" i="6"/>
  <c r="AM221" i="6"/>
  <c r="AL221" i="6"/>
  <c r="AL220" i="6"/>
  <c r="AL219" i="6"/>
  <c r="AL218" i="6"/>
  <c r="AL217" i="6"/>
  <c r="AL216" i="6"/>
  <c r="AM170" i="6"/>
  <c r="AL170" i="6"/>
  <c r="AS170" i="6" s="1"/>
  <c r="AM169" i="6"/>
  <c r="AL169" i="6"/>
  <c r="AM168" i="6"/>
  <c r="AL168" i="6"/>
  <c r="AS168" i="6" s="1"/>
  <c r="AM167" i="6"/>
  <c r="AL167" i="6"/>
  <c r="AL166" i="6"/>
  <c r="AL165" i="6"/>
  <c r="AS165" i="6" s="1"/>
  <c r="AL164" i="6"/>
  <c r="AL163" i="6"/>
  <c r="AL162" i="6"/>
  <c r="AS162" i="6" s="1"/>
  <c r="AM116" i="6"/>
  <c r="AL116" i="6"/>
  <c r="AM115" i="6"/>
  <c r="AL115" i="6"/>
  <c r="AM114" i="6"/>
  <c r="AL114" i="6"/>
  <c r="AM113" i="6"/>
  <c r="AT113" i="6" s="1"/>
  <c r="AL113" i="6"/>
  <c r="AS113" i="6" s="1"/>
  <c r="AL112" i="6"/>
  <c r="AL111" i="6"/>
  <c r="AL110" i="6"/>
  <c r="AS110" i="6" s="1"/>
  <c r="AL109" i="6"/>
  <c r="AL108" i="6"/>
  <c r="AA78" i="6"/>
  <c r="B211" i="30"/>
  <c r="B289" i="30"/>
  <c r="B11" i="6" s="1"/>
  <c r="B253" i="30"/>
  <c r="B10" i="6" s="1"/>
  <c r="B259" i="30"/>
  <c r="B261" i="30"/>
  <c r="B257" i="30"/>
  <c r="B285" i="30"/>
  <c r="B269" i="30"/>
  <c r="B268" i="30"/>
  <c r="B270" i="30"/>
  <c r="B254" i="30"/>
  <c r="B288" i="30"/>
  <c r="B258" i="30"/>
  <c r="B203" i="30"/>
  <c r="B262" i="30"/>
  <c r="B284" i="30"/>
  <c r="B264" i="30"/>
  <c r="B263" i="30"/>
  <c r="B202" i="30"/>
  <c r="I971" i="30"/>
  <c r="H971" i="30"/>
  <c r="G971" i="30"/>
  <c r="F971" i="30"/>
  <c r="E971" i="30"/>
  <c r="I970" i="30"/>
  <c r="H970" i="30"/>
  <c r="G970" i="30"/>
  <c r="F970" i="30"/>
  <c r="E970" i="30"/>
  <c r="I969" i="30"/>
  <c r="H969" i="30"/>
  <c r="G969" i="30"/>
  <c r="F969" i="30"/>
  <c r="E969" i="30"/>
  <c r="I968" i="30"/>
  <c r="H968" i="30"/>
  <c r="G968" i="30"/>
  <c r="F968" i="30"/>
  <c r="E968" i="30"/>
  <c r="I967" i="30"/>
  <c r="H967" i="30"/>
  <c r="G967" i="30"/>
  <c r="F967" i="30"/>
  <c r="E967" i="30"/>
  <c r="I966" i="30"/>
  <c r="H966" i="30"/>
  <c r="G966" i="30"/>
  <c r="F966" i="30"/>
  <c r="E966" i="30"/>
  <c r="I965" i="30"/>
  <c r="H965" i="30"/>
  <c r="G965" i="30"/>
  <c r="F965" i="30"/>
  <c r="E965" i="30"/>
  <c r="E964" i="30"/>
  <c r="D964" i="30"/>
  <c r="I963" i="30"/>
  <c r="H963" i="30"/>
  <c r="G963" i="30"/>
  <c r="F963" i="30"/>
  <c r="E963" i="30"/>
  <c r="D963" i="30"/>
  <c r="I962" i="30"/>
  <c r="H962" i="30"/>
  <c r="G962" i="30"/>
  <c r="F962" i="30"/>
  <c r="E962" i="30"/>
  <c r="D962" i="30"/>
  <c r="I961" i="30"/>
  <c r="H961" i="30"/>
  <c r="G961" i="30"/>
  <c r="F961" i="30"/>
  <c r="E961" i="30"/>
  <c r="D961" i="30"/>
  <c r="I960" i="30"/>
  <c r="H960" i="30"/>
  <c r="G960" i="30"/>
  <c r="F960" i="30"/>
  <c r="E960" i="30"/>
  <c r="D960" i="30"/>
  <c r="I959" i="30"/>
  <c r="H959" i="30"/>
  <c r="G959" i="30"/>
  <c r="F959" i="30"/>
  <c r="E959" i="30"/>
  <c r="D959" i="30"/>
  <c r="I958" i="30"/>
  <c r="H958" i="30"/>
  <c r="G958" i="30"/>
  <c r="F958" i="30"/>
  <c r="E958" i="30"/>
  <c r="D958" i="30"/>
  <c r="I957" i="30"/>
  <c r="H957" i="30"/>
  <c r="G957" i="30"/>
  <c r="F957" i="30"/>
  <c r="E957" i="30"/>
  <c r="D957" i="30"/>
  <c r="I956" i="30"/>
  <c r="H956" i="30"/>
  <c r="G956" i="30"/>
  <c r="F956" i="30"/>
  <c r="E956" i="30"/>
  <c r="D956" i="30"/>
  <c r="I955" i="30"/>
  <c r="H955" i="30"/>
  <c r="G955" i="30"/>
  <c r="F955" i="30"/>
  <c r="E955" i="30"/>
  <c r="D955" i="30"/>
  <c r="I954" i="30"/>
  <c r="H954" i="30"/>
  <c r="G954" i="30"/>
  <c r="F954" i="30"/>
  <c r="E954" i="30"/>
  <c r="D954" i="30"/>
  <c r="I953" i="30"/>
  <c r="H953" i="30"/>
  <c r="G953" i="30"/>
  <c r="F953" i="30"/>
  <c r="E953" i="30"/>
  <c r="D953" i="30"/>
  <c r="I952" i="30"/>
  <c r="H952" i="30"/>
  <c r="G952" i="30"/>
  <c r="F952" i="30"/>
  <c r="E952" i="30"/>
  <c r="D952" i="30"/>
  <c r="I951" i="30"/>
  <c r="H951" i="30"/>
  <c r="G951" i="30"/>
  <c r="F951" i="30"/>
  <c r="E951" i="30"/>
  <c r="D951" i="30"/>
  <c r="I950" i="30"/>
  <c r="H950" i="30"/>
  <c r="G950" i="30"/>
  <c r="F950" i="30"/>
  <c r="E950" i="30"/>
  <c r="D950" i="30"/>
  <c r="B250" i="30"/>
  <c r="G944" i="30" s="1"/>
  <c r="G940" i="30"/>
  <c r="F940" i="30"/>
  <c r="G939" i="30"/>
  <c r="F939" i="30"/>
  <c r="G938" i="30"/>
  <c r="F938" i="30"/>
  <c r="G937" i="30"/>
  <c r="F937" i="30"/>
  <c r="G936" i="30"/>
  <c r="F936" i="30"/>
  <c r="G935" i="30"/>
  <c r="F935" i="30"/>
  <c r="G934" i="30"/>
  <c r="F934" i="30"/>
  <c r="G933" i="30"/>
  <c r="F933" i="30"/>
  <c r="G932" i="30"/>
  <c r="F932" i="30"/>
  <c r="G931" i="30"/>
  <c r="F931" i="30"/>
  <c r="G930" i="30"/>
  <c r="F930" i="30"/>
  <c r="G929" i="30"/>
  <c r="F929" i="30"/>
  <c r="G928" i="30"/>
  <c r="F928" i="30"/>
  <c r="G927" i="30"/>
  <c r="F927" i="30"/>
  <c r="G926" i="30"/>
  <c r="F926" i="30"/>
  <c r="G925" i="30"/>
  <c r="F925" i="30"/>
  <c r="G924" i="30"/>
  <c r="F924" i="30"/>
  <c r="G923" i="30"/>
  <c r="F923" i="30"/>
  <c r="G922" i="30"/>
  <c r="F922" i="30"/>
  <c r="G921" i="30"/>
  <c r="F921" i="30"/>
  <c r="D919" i="30"/>
  <c r="D918" i="30"/>
  <c r="D917" i="30"/>
  <c r="D916" i="30"/>
  <c r="D915" i="30"/>
  <c r="D914" i="30"/>
  <c r="D913" i="30"/>
  <c r="D912" i="30"/>
  <c r="D911" i="30"/>
  <c r="D910" i="30"/>
  <c r="D909" i="30"/>
  <c r="D908" i="30"/>
  <c r="D907" i="30"/>
  <c r="D906" i="30"/>
  <c r="D905" i="30"/>
  <c r="D904" i="30"/>
  <c r="D903" i="30"/>
  <c r="D902" i="30"/>
  <c r="D901" i="30"/>
  <c r="D900" i="30"/>
  <c r="D899" i="30"/>
  <c r="D898" i="30"/>
  <c r="D897" i="30"/>
  <c r="D896" i="30"/>
  <c r="D895" i="30"/>
  <c r="D894" i="30"/>
  <c r="D893" i="30"/>
  <c r="D892" i="30"/>
  <c r="D891" i="30"/>
  <c r="D890" i="30"/>
  <c r="D889" i="30"/>
  <c r="D888" i="30"/>
  <c r="D887" i="30"/>
  <c r="D886" i="30"/>
  <c r="D885" i="30"/>
  <c r="D884" i="30"/>
  <c r="D883" i="30"/>
  <c r="D882" i="30"/>
  <c r="D881" i="30"/>
  <c r="D880" i="30"/>
  <c r="D879" i="30"/>
  <c r="D878" i="30"/>
  <c r="D877" i="30"/>
  <c r="D876" i="30"/>
  <c r="D875" i="30"/>
  <c r="D874" i="30"/>
  <c r="D873" i="30"/>
  <c r="D872" i="30"/>
  <c r="D871" i="30"/>
  <c r="D870" i="30"/>
  <c r="D869" i="30"/>
  <c r="D868" i="30"/>
  <c r="D867" i="30"/>
  <c r="D866" i="30"/>
  <c r="D865" i="30"/>
  <c r="D864" i="30"/>
  <c r="D863" i="30"/>
  <c r="D862" i="30"/>
  <c r="D861" i="30"/>
  <c r="D860" i="30"/>
  <c r="D859" i="30"/>
  <c r="D858" i="30"/>
  <c r="D857" i="30"/>
  <c r="D856" i="30"/>
  <c r="D855" i="30"/>
  <c r="D854" i="30"/>
  <c r="D853" i="30"/>
  <c r="D852" i="30"/>
  <c r="D851" i="30"/>
  <c r="D850" i="30"/>
  <c r="D849" i="30"/>
  <c r="B498" i="30"/>
  <c r="B497" i="30"/>
  <c r="B496" i="30"/>
  <c r="B495" i="30"/>
  <c r="B494" i="30"/>
  <c r="B493" i="30"/>
  <c r="B492" i="30"/>
  <c r="B491" i="30"/>
  <c r="B490" i="30"/>
  <c r="B489" i="30"/>
  <c r="B488" i="30"/>
  <c r="B487" i="30"/>
  <c r="B486" i="30"/>
  <c r="B485" i="30"/>
  <c r="B483" i="30"/>
  <c r="B482" i="30"/>
  <c r="B481" i="30"/>
  <c r="B480" i="30"/>
  <c r="B479" i="30"/>
  <c r="B478" i="30"/>
  <c r="B477" i="30"/>
  <c r="B476" i="30"/>
  <c r="B475" i="30"/>
  <c r="B474" i="30"/>
  <c r="B473" i="30"/>
  <c r="B472" i="30"/>
  <c r="B471" i="30"/>
  <c r="B470" i="30"/>
  <c r="B469" i="30"/>
  <c r="B468" i="30"/>
  <c r="B467" i="30"/>
  <c r="B466" i="30"/>
  <c r="B465" i="30"/>
  <c r="B464" i="30"/>
  <c r="B463" i="30"/>
  <c r="B462" i="30"/>
  <c r="B461" i="30"/>
  <c r="B460" i="30"/>
  <c r="B459" i="30"/>
  <c r="B458" i="30"/>
  <c r="B457" i="30"/>
  <c r="B456" i="30"/>
  <c r="B455" i="30"/>
  <c r="B454" i="30"/>
  <c r="B453" i="30"/>
  <c r="B452" i="30"/>
  <c r="B451" i="30"/>
  <c r="B450" i="30"/>
  <c r="B449" i="30"/>
  <c r="B448" i="30"/>
  <c r="B447" i="30"/>
  <c r="B446" i="30"/>
  <c r="B445" i="30"/>
  <c r="B444" i="30"/>
  <c r="B443" i="30"/>
  <c r="B442" i="30"/>
  <c r="B441" i="30"/>
  <c r="B440" i="30"/>
  <c r="B439" i="30"/>
  <c r="B438" i="30"/>
  <c r="B437" i="30"/>
  <c r="B436" i="30"/>
  <c r="B435" i="30"/>
  <c r="B434" i="30"/>
  <c r="B433" i="30"/>
  <c r="B432" i="30"/>
  <c r="B431" i="30"/>
  <c r="B430" i="30"/>
  <c r="B429" i="30"/>
  <c r="B428" i="30"/>
  <c r="B427" i="30"/>
  <c r="B426" i="30"/>
  <c r="B425" i="30"/>
  <c r="B424" i="30"/>
  <c r="B423" i="30"/>
  <c r="B422" i="30"/>
  <c r="B421" i="30"/>
  <c r="B420" i="30"/>
  <c r="B419" i="30"/>
  <c r="B418" i="30"/>
  <c r="B417" i="30"/>
  <c r="B416" i="30"/>
  <c r="B415" i="30"/>
  <c r="B414" i="30"/>
  <c r="B413" i="30"/>
  <c r="B412" i="30"/>
  <c r="B411" i="30"/>
  <c r="B410" i="30"/>
  <c r="B409" i="30"/>
  <c r="B408" i="30"/>
  <c r="B407" i="30"/>
  <c r="B406" i="30"/>
  <c r="B405" i="30"/>
  <c r="B404" i="30"/>
  <c r="B403" i="30"/>
  <c r="B402" i="30"/>
  <c r="B401" i="30"/>
  <c r="B400" i="30"/>
  <c r="B399" i="30"/>
  <c r="B398" i="30"/>
  <c r="B397" i="30"/>
  <c r="B396" i="30"/>
  <c r="B395" i="30"/>
  <c r="B394" i="30"/>
  <c r="B393" i="30"/>
  <c r="B392" i="30"/>
  <c r="B391" i="30"/>
  <c r="B390" i="30"/>
  <c r="B389" i="30"/>
  <c r="B388" i="30"/>
  <c r="B387" i="30"/>
  <c r="B386" i="30"/>
  <c r="B385" i="30"/>
  <c r="B384" i="30"/>
  <c r="B383" i="30"/>
  <c r="B382" i="30"/>
  <c r="B381" i="30"/>
  <c r="B380" i="30"/>
  <c r="B379" i="30"/>
  <c r="B378" i="30"/>
  <c r="B377" i="30"/>
  <c r="B376" i="30"/>
  <c r="B375" i="30"/>
  <c r="B374" i="30"/>
  <c r="B373" i="30"/>
  <c r="B372" i="30"/>
  <c r="B371" i="30"/>
  <c r="B370" i="30"/>
  <c r="B369" i="30"/>
  <c r="B368" i="30"/>
  <c r="B367" i="30"/>
  <c r="B366" i="30"/>
  <c r="B365" i="30"/>
  <c r="B364" i="30"/>
  <c r="B363" i="30"/>
  <c r="B362" i="30"/>
  <c r="B361" i="30"/>
  <c r="B360" i="30"/>
  <c r="B359" i="30"/>
  <c r="B358" i="30"/>
  <c r="B357" i="30"/>
  <c r="B356" i="30"/>
  <c r="B355" i="30"/>
  <c r="B354" i="30"/>
  <c r="B353" i="30"/>
  <c r="B352" i="30"/>
  <c r="B351" i="30"/>
  <c r="B350" i="30"/>
  <c r="B349" i="30"/>
  <c r="B348" i="30"/>
  <c r="B347" i="30"/>
  <c r="B346" i="30"/>
  <c r="B345" i="30"/>
  <c r="B344" i="30"/>
  <c r="B343" i="30"/>
  <c r="B342" i="30"/>
  <c r="B341" i="30"/>
  <c r="B340" i="30"/>
  <c r="B339" i="30"/>
  <c r="B338" i="30"/>
  <c r="B337" i="30"/>
  <c r="B336" i="30"/>
  <c r="B335" i="30"/>
  <c r="B334" i="30"/>
  <c r="B333" i="30"/>
  <c r="B332" i="30"/>
  <c r="B331" i="30"/>
  <c r="B330" i="30"/>
  <c r="B329" i="30"/>
  <c r="B328" i="30"/>
  <c r="B327" i="30"/>
  <c r="B326" i="30"/>
  <c r="B325" i="30"/>
  <c r="B324" i="30"/>
  <c r="B323" i="30"/>
  <c r="B322" i="30"/>
  <c r="B321" i="30"/>
  <c r="B320" i="30"/>
  <c r="B319" i="30"/>
  <c r="B318" i="30"/>
  <c r="B317" i="30"/>
  <c r="B316" i="30"/>
  <c r="B315" i="30"/>
  <c r="B314" i="30"/>
  <c r="B313" i="30"/>
  <c r="B312" i="30"/>
  <c r="B311" i="30"/>
  <c r="B310" i="30"/>
  <c r="B309" i="30"/>
  <c r="B308" i="30"/>
  <c r="B307" i="30"/>
  <c r="B306" i="30"/>
  <c r="B305" i="30"/>
  <c r="B304" i="30"/>
  <c r="B303" i="30"/>
  <c r="B302" i="30"/>
  <c r="B301" i="30"/>
  <c r="B300" i="30"/>
  <c r="B299" i="30"/>
  <c r="B298" i="30"/>
  <c r="B297" i="30"/>
  <c r="B296" i="30"/>
  <c r="B295" i="30"/>
  <c r="B294" i="30"/>
  <c r="B293" i="30"/>
  <c r="B292" i="30"/>
  <c r="B290" i="30"/>
  <c r="B272" i="30"/>
  <c r="B271" i="30"/>
  <c r="B260" i="30"/>
  <c r="B256" i="30"/>
  <c r="B255" i="30"/>
  <c r="B252" i="30"/>
  <c r="B243" i="30"/>
  <c r="B240" i="30"/>
  <c r="B239" i="30"/>
  <c r="B238" i="30"/>
  <c r="B237" i="30"/>
  <c r="B235" i="30"/>
  <c r="B234" i="30"/>
  <c r="B229" i="30"/>
  <c r="B227" i="30"/>
  <c r="B223" i="30"/>
  <c r="B212" i="30"/>
  <c r="B205" i="30"/>
  <c r="B201" i="30"/>
  <c r="B196" i="30"/>
  <c r="B174" i="30"/>
  <c r="B173" i="30"/>
  <c r="B172" i="30"/>
  <c r="B171" i="30"/>
  <c r="B170" i="30"/>
  <c r="B169" i="30"/>
  <c r="B168" i="30"/>
  <c r="B167" i="30"/>
  <c r="B166" i="30"/>
  <c r="B165" i="30"/>
  <c r="K124" i="30"/>
  <c r="I124" i="30"/>
  <c r="G124" i="30"/>
  <c r="D124" i="30"/>
  <c r="K123" i="30"/>
  <c r="I123" i="30"/>
  <c r="G123" i="30"/>
  <c r="D123" i="30"/>
  <c r="C123" i="30"/>
  <c r="K122" i="30"/>
  <c r="I122" i="30"/>
  <c r="G122" i="30"/>
  <c r="D122" i="30"/>
  <c r="C122" i="30"/>
  <c r="K121" i="30"/>
  <c r="I121" i="30"/>
  <c r="G121" i="30"/>
  <c r="D121" i="30"/>
  <c r="C121" i="30"/>
  <c r="D112" i="30"/>
  <c r="C112" i="30"/>
  <c r="D111" i="30"/>
  <c r="C111" i="30"/>
  <c r="D110" i="30"/>
  <c r="C110" i="30"/>
  <c r="D109" i="30"/>
  <c r="C109" i="30"/>
  <c r="D108" i="30"/>
  <c r="C108" i="30"/>
  <c r="D107" i="30"/>
  <c r="C107" i="30"/>
  <c r="D106" i="30"/>
  <c r="C106" i="30"/>
  <c r="D105" i="30"/>
  <c r="C105" i="30"/>
  <c r="D104" i="30"/>
  <c r="C104" i="30"/>
  <c r="D103" i="30"/>
  <c r="C103" i="30"/>
  <c r="D102" i="30"/>
  <c r="C102" i="30"/>
  <c r="D101" i="30"/>
  <c r="C101" i="30"/>
  <c r="D100" i="30"/>
  <c r="C100" i="30"/>
  <c r="D99" i="30"/>
  <c r="C99" i="30"/>
  <c r="D98" i="30"/>
  <c r="C98" i="30"/>
  <c r="D97" i="30"/>
  <c r="C97" i="30"/>
  <c r="D96" i="30"/>
  <c r="C96" i="30"/>
  <c r="D95" i="30"/>
  <c r="C95" i="30"/>
  <c r="D94" i="30"/>
  <c r="C94" i="30"/>
  <c r="D93" i="30"/>
  <c r="C93" i="30"/>
  <c r="D92" i="30"/>
  <c r="C92" i="30"/>
  <c r="D91" i="30"/>
  <c r="C91" i="30"/>
  <c r="D90" i="30"/>
  <c r="C90" i="30"/>
  <c r="D89" i="30"/>
  <c r="C89" i="30"/>
  <c r="D88" i="30"/>
  <c r="C88" i="30"/>
  <c r="D87" i="30"/>
  <c r="C87" i="30"/>
  <c r="D86" i="30"/>
  <c r="C86" i="30"/>
  <c r="D85" i="30"/>
  <c r="C85" i="30"/>
  <c r="D84" i="30"/>
  <c r="C84" i="30"/>
  <c r="D83" i="30"/>
  <c r="C83" i="30"/>
  <c r="D82" i="30"/>
  <c r="C82" i="30"/>
  <c r="D81" i="30"/>
  <c r="C81" i="30"/>
  <c r="D80" i="30"/>
  <c r="C80" i="30"/>
  <c r="D79" i="30"/>
  <c r="C79" i="30"/>
  <c r="D78" i="30"/>
  <c r="C78" i="30"/>
  <c r="D77" i="30"/>
  <c r="C77" i="30"/>
  <c r="D76" i="30"/>
  <c r="C76" i="30"/>
  <c r="D75" i="30"/>
  <c r="C75" i="30"/>
  <c r="D74" i="30"/>
  <c r="C74" i="30"/>
  <c r="D73" i="30"/>
  <c r="C73" i="30"/>
  <c r="D72" i="30"/>
  <c r="C72" i="30"/>
  <c r="D71" i="30"/>
  <c r="C71" i="30"/>
  <c r="D70" i="30"/>
  <c r="C70" i="30"/>
  <c r="D69" i="30"/>
  <c r="C69" i="30"/>
  <c r="D68" i="30"/>
  <c r="C68" i="30"/>
  <c r="D67" i="30"/>
  <c r="C67" i="30"/>
  <c r="D66" i="30"/>
  <c r="C66" i="30"/>
  <c r="D65" i="30"/>
  <c r="C65" i="30"/>
  <c r="D64" i="30"/>
  <c r="C64" i="30"/>
  <c r="D63" i="30"/>
  <c r="C63" i="30"/>
  <c r="D62" i="30"/>
  <c r="C62" i="30"/>
  <c r="D61" i="30"/>
  <c r="C61" i="30"/>
  <c r="D60" i="30"/>
  <c r="C60" i="30"/>
  <c r="D59" i="30"/>
  <c r="C59" i="30"/>
  <c r="D58" i="30"/>
  <c r="C58" i="30"/>
  <c r="D57" i="30"/>
  <c r="C57" i="30"/>
  <c r="D56" i="30"/>
  <c r="C56" i="30"/>
  <c r="D55" i="30"/>
  <c r="C55" i="30"/>
  <c r="D54" i="30"/>
  <c r="C54" i="30"/>
  <c r="D53" i="30"/>
  <c r="C53" i="30"/>
  <c r="D52" i="30"/>
  <c r="C52" i="30"/>
  <c r="D47" i="30"/>
  <c r="C47" i="30"/>
  <c r="D46" i="30"/>
  <c r="C46" i="30"/>
  <c r="D45" i="30"/>
  <c r="C45" i="30"/>
  <c r="D44" i="30"/>
  <c r="C44" i="30"/>
  <c r="D43" i="30"/>
  <c r="C43" i="30"/>
  <c r="D42" i="30"/>
  <c r="C42" i="30"/>
  <c r="D41" i="30"/>
  <c r="C41" i="30"/>
  <c r="D40" i="30"/>
  <c r="C40" i="30"/>
  <c r="D39" i="30"/>
  <c r="C39" i="30"/>
  <c r="D38" i="30"/>
  <c r="C38" i="30"/>
  <c r="D37" i="30"/>
  <c r="C37" i="30"/>
  <c r="D36" i="30"/>
  <c r="C36" i="30"/>
  <c r="D35" i="30"/>
  <c r="C35" i="30"/>
  <c r="D34" i="30"/>
  <c r="C34" i="30"/>
  <c r="D33" i="30"/>
  <c r="C33" i="30"/>
  <c r="D32" i="30"/>
  <c r="C32" i="30"/>
  <c r="D31" i="30"/>
  <c r="C31" i="30"/>
  <c r="D30" i="30"/>
  <c r="C30" i="30"/>
  <c r="D29" i="30"/>
  <c r="C29" i="30"/>
  <c r="D28" i="30"/>
  <c r="C28" i="30"/>
  <c r="D27" i="30"/>
  <c r="C27" i="30"/>
  <c r="D26" i="30"/>
  <c r="C26" i="30"/>
  <c r="D25" i="30"/>
  <c r="C25" i="30"/>
  <c r="D24" i="30"/>
  <c r="C24" i="30"/>
  <c r="D23" i="30"/>
  <c r="C23" i="30"/>
  <c r="D22" i="30"/>
  <c r="C22" i="30"/>
  <c r="D21" i="30"/>
  <c r="C21" i="30"/>
  <c r="D20" i="30"/>
  <c r="C20" i="30"/>
  <c r="D19" i="30"/>
  <c r="C19" i="30"/>
  <c r="D18" i="30"/>
  <c r="C18" i="30"/>
  <c r="D17" i="30"/>
  <c r="C17" i="30"/>
  <c r="D16" i="30"/>
  <c r="C16" i="30"/>
  <c r="D15" i="30"/>
  <c r="C15" i="30"/>
  <c r="D14" i="30"/>
  <c r="C14" i="30"/>
  <c r="D13" i="30"/>
  <c r="C13" i="30"/>
  <c r="D12" i="30"/>
  <c r="C12" i="30"/>
  <c r="D11" i="30"/>
  <c r="C11" i="30"/>
  <c r="D10" i="30"/>
  <c r="C10" i="30"/>
  <c r="D9" i="30"/>
  <c r="C9" i="30"/>
  <c r="D8" i="30"/>
  <c r="C8" i="30"/>
  <c r="D7" i="30"/>
  <c r="C7" i="30"/>
  <c r="D6" i="30"/>
  <c r="C6" i="30"/>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144" i="17"/>
  <c r="B199" i="17"/>
  <c r="B142" i="17"/>
  <c r="B244" i="17"/>
  <c r="B216" i="17"/>
  <c r="B74" i="17"/>
  <c r="B53" i="17"/>
  <c r="B54" i="17"/>
  <c r="B55" i="17"/>
  <c r="B56" i="17"/>
  <c r="B57" i="17"/>
  <c r="B58" i="17"/>
  <c r="B59" i="17"/>
  <c r="B60" i="17"/>
  <c r="B61" i="17"/>
  <c r="B62" i="17"/>
  <c r="B63" i="17"/>
  <c r="B64" i="17"/>
  <c r="B65" i="17"/>
  <c r="B66" i="17"/>
  <c r="B67" i="17"/>
  <c r="B68" i="17"/>
  <c r="B69" i="17"/>
  <c r="B70" i="17"/>
  <c r="B71" i="17"/>
  <c r="B72" i="17"/>
  <c r="B73"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N18" i="2"/>
  <c r="P18" i="2" s="1"/>
  <c r="C69" i="17"/>
  <c r="D69" i="17"/>
  <c r="D66" i="17"/>
  <c r="D67" i="17"/>
  <c r="C22" i="17"/>
  <c r="C21" i="17"/>
  <c r="C20" i="17"/>
  <c r="D19" i="17"/>
  <c r="C19" i="17"/>
  <c r="C18" i="17"/>
  <c r="D17" i="17"/>
  <c r="C17" i="17"/>
  <c r="C16" i="17"/>
  <c r="D15" i="17"/>
  <c r="C15" i="17"/>
  <c r="D14" i="17"/>
  <c r="C14" i="17"/>
  <c r="C13" i="17"/>
  <c r="C12" i="17"/>
  <c r="D11" i="17"/>
  <c r="C11" i="17"/>
  <c r="C10" i="17"/>
  <c r="D9" i="17"/>
  <c r="D8" i="17"/>
  <c r="C8" i="17"/>
  <c r="D7" i="17"/>
  <c r="C30" i="17"/>
  <c r="C34" i="17"/>
  <c r="C38" i="17"/>
  <c r="C39" i="17"/>
  <c r="C45" i="17"/>
  <c r="D20" i="17"/>
  <c r="D16" i="17"/>
  <c r="D12" i="17"/>
  <c r="C9" i="17"/>
  <c r="C26" i="17"/>
  <c r="C42" i="17"/>
  <c r="C43" i="17"/>
  <c r="D24" i="17"/>
  <c r="D25" i="17"/>
  <c r="D26" i="17"/>
  <c r="C27" i="17"/>
  <c r="D28" i="17"/>
  <c r="D29" i="17"/>
  <c r="D30" i="17"/>
  <c r="C31" i="17"/>
  <c r="D32" i="17"/>
  <c r="D33" i="17"/>
  <c r="D34" i="17"/>
  <c r="C35" i="17"/>
  <c r="D36" i="17"/>
  <c r="D37" i="17"/>
  <c r="D38" i="17"/>
  <c r="C40" i="17"/>
  <c r="D40" i="17"/>
  <c r="D41" i="17"/>
  <c r="D42" i="17"/>
  <c r="D44" i="17"/>
  <c r="D45" i="17"/>
  <c r="C46" i="17"/>
  <c r="C47" i="17"/>
  <c r="D47" i="17"/>
  <c r="D6" i="17"/>
  <c r="C44" i="17"/>
  <c r="C6" i="17"/>
  <c r="D10" i="17"/>
  <c r="D13" i="17"/>
  <c r="D18" i="17"/>
  <c r="D21" i="17"/>
  <c r="D22" i="17"/>
  <c r="D27" i="17"/>
  <c r="D31" i="17"/>
  <c r="D35" i="17"/>
  <c r="D39" i="17"/>
  <c r="D43" i="17"/>
  <c r="D46" i="17"/>
  <c r="C7" i="17"/>
  <c r="C24" i="17"/>
  <c r="C25" i="17"/>
  <c r="C28" i="17"/>
  <c r="C29" i="17"/>
  <c r="C32" i="17"/>
  <c r="C33" i="17"/>
  <c r="C36" i="17"/>
  <c r="C37" i="17"/>
  <c r="C41" i="17"/>
  <c r="C66" i="17"/>
  <c r="C67" i="17"/>
  <c r="D23" i="17"/>
  <c r="C23" i="17"/>
  <c r="B498" i="17"/>
  <c r="G13" i="6"/>
  <c r="B497" i="17"/>
  <c r="AJ79" i="6"/>
  <c r="AA90" i="6"/>
  <c r="AK91" i="6"/>
  <c r="D98" i="6"/>
  <c r="W98" i="6"/>
  <c r="AA98" i="6"/>
  <c r="AG100" i="6"/>
  <c r="AA101" i="6"/>
  <c r="AG101" i="6"/>
  <c r="AG102" i="6"/>
  <c r="AJ102" i="6"/>
  <c r="Z106" i="6"/>
  <c r="AJ10" i="29"/>
  <c r="AI10" i="29"/>
  <c r="AH10" i="29"/>
  <c r="AG10" i="29"/>
  <c r="AF10" i="29"/>
  <c r="AE10" i="29"/>
  <c r="AJ9" i="29"/>
  <c r="AI9" i="29"/>
  <c r="AH9" i="29"/>
  <c r="AG9" i="29"/>
  <c r="AF9" i="29"/>
  <c r="AE9" i="29"/>
  <c r="AJ11" i="29"/>
  <c r="AI11" i="29"/>
  <c r="AH11" i="29"/>
  <c r="AG11" i="29"/>
  <c r="AF11" i="29"/>
  <c r="AE11" i="29"/>
  <c r="B495" i="17"/>
  <c r="B496" i="17"/>
  <c r="AJ22" i="29"/>
  <c r="AI22" i="29"/>
  <c r="AH22" i="29"/>
  <c r="AG22" i="29"/>
  <c r="AF22" i="29"/>
  <c r="AE22" i="29"/>
  <c r="AJ20" i="29"/>
  <c r="AI20" i="29"/>
  <c r="AH20" i="29"/>
  <c r="AG20" i="29"/>
  <c r="AF20" i="29"/>
  <c r="AE20" i="29"/>
  <c r="AJ18" i="29"/>
  <c r="AI18" i="29"/>
  <c r="AH18" i="29"/>
  <c r="AG18" i="29"/>
  <c r="AF18" i="29"/>
  <c r="AE18" i="29"/>
  <c r="AJ16" i="29"/>
  <c r="AI16" i="29"/>
  <c r="AH16" i="29"/>
  <c r="AG16" i="29"/>
  <c r="AF16" i="29"/>
  <c r="AE16" i="29"/>
  <c r="AJ15" i="29"/>
  <c r="AI15" i="29"/>
  <c r="AH15" i="29"/>
  <c r="AG15" i="29"/>
  <c r="AF15" i="29"/>
  <c r="AE15" i="29"/>
  <c r="AJ14" i="29"/>
  <c r="AI14" i="29"/>
  <c r="AH14" i="29"/>
  <c r="AG14" i="29"/>
  <c r="AF14" i="29"/>
  <c r="AE14" i="29"/>
  <c r="AJ13" i="29"/>
  <c r="AI13" i="29"/>
  <c r="AH13" i="29"/>
  <c r="AG13" i="29"/>
  <c r="AF13" i="29"/>
  <c r="AE13" i="29"/>
  <c r="AJ12" i="29"/>
  <c r="AI12" i="29"/>
  <c r="AH12" i="29"/>
  <c r="AG12" i="29"/>
  <c r="AF12" i="29"/>
  <c r="AE12" i="29"/>
  <c r="AJ23" i="29"/>
  <c r="AI23" i="29"/>
  <c r="AH23" i="29"/>
  <c r="AG23" i="29"/>
  <c r="AF23" i="29"/>
  <c r="AE23" i="29"/>
  <c r="AJ21" i="29"/>
  <c r="AI21" i="29"/>
  <c r="AH21" i="29"/>
  <c r="AG21" i="29"/>
  <c r="AF21" i="29"/>
  <c r="AE21" i="29"/>
  <c r="AJ19" i="29"/>
  <c r="AI19" i="29"/>
  <c r="AH19" i="29"/>
  <c r="AG19" i="29"/>
  <c r="AF19" i="29"/>
  <c r="AE19" i="29"/>
  <c r="AJ17" i="29"/>
  <c r="AI17" i="29"/>
  <c r="AH17" i="29"/>
  <c r="AG17" i="29"/>
  <c r="AF17" i="29"/>
  <c r="AE17" i="29"/>
  <c r="B493" i="17"/>
  <c r="B494" i="17"/>
  <c r="B489" i="17"/>
  <c r="B490" i="17"/>
  <c r="B491" i="17"/>
  <c r="B492" i="17"/>
  <c r="AJ55" i="29"/>
  <c r="AI55" i="29"/>
  <c r="AH55" i="29"/>
  <c r="AG55" i="29"/>
  <c r="AF55" i="29"/>
  <c r="AE55" i="29"/>
  <c r="AJ54" i="29"/>
  <c r="AI54" i="29"/>
  <c r="AH54" i="29"/>
  <c r="AG54" i="29"/>
  <c r="AF54" i="29"/>
  <c r="AE54" i="29"/>
  <c r="AJ53" i="29"/>
  <c r="AI53" i="29"/>
  <c r="AH53" i="29"/>
  <c r="AG53" i="29"/>
  <c r="AF53" i="29"/>
  <c r="AE53" i="29"/>
  <c r="AJ52" i="29"/>
  <c r="AI52" i="29"/>
  <c r="AH52" i="29"/>
  <c r="AG52" i="29"/>
  <c r="AF52" i="29"/>
  <c r="AE52" i="29"/>
  <c r="AJ51" i="29"/>
  <c r="AI51" i="29"/>
  <c r="AH51" i="29"/>
  <c r="AG51" i="29"/>
  <c r="AF51" i="29"/>
  <c r="AE51" i="29"/>
  <c r="AJ50" i="29"/>
  <c r="AI50" i="29"/>
  <c r="AH50" i="29"/>
  <c r="AG50" i="29"/>
  <c r="AF50" i="29"/>
  <c r="AE50" i="29"/>
  <c r="AJ49" i="29"/>
  <c r="AI49" i="29"/>
  <c r="AH49" i="29"/>
  <c r="AG49" i="29"/>
  <c r="AF49" i="29"/>
  <c r="AE49" i="29"/>
  <c r="AJ48" i="29"/>
  <c r="AI48" i="29"/>
  <c r="AH48" i="29"/>
  <c r="AG48" i="29"/>
  <c r="AF48" i="29"/>
  <c r="AE48" i="29"/>
  <c r="AJ47" i="29"/>
  <c r="AI47" i="29"/>
  <c r="AH47" i="29"/>
  <c r="AG47" i="29"/>
  <c r="AF47" i="29"/>
  <c r="AE47" i="29"/>
  <c r="AJ46" i="29"/>
  <c r="AI46" i="29"/>
  <c r="AH46" i="29"/>
  <c r="AG46" i="29"/>
  <c r="AF46" i="29"/>
  <c r="AE46" i="29"/>
  <c r="AJ45" i="29"/>
  <c r="AI45" i="29"/>
  <c r="AH45" i="29"/>
  <c r="AG45" i="29"/>
  <c r="AF45" i="29"/>
  <c r="AE45" i="29"/>
  <c r="AJ44" i="29"/>
  <c r="AI44" i="29"/>
  <c r="AH44" i="29"/>
  <c r="AG44" i="29"/>
  <c r="AF44" i="29"/>
  <c r="AE44" i="29"/>
  <c r="AJ43" i="29"/>
  <c r="AI43" i="29"/>
  <c r="AH43" i="29"/>
  <c r="AG43" i="29"/>
  <c r="AF43" i="29"/>
  <c r="AE43" i="29"/>
  <c r="AJ42" i="29"/>
  <c r="AI42" i="29"/>
  <c r="AH42" i="29"/>
  <c r="AG42" i="29"/>
  <c r="AF42" i="29"/>
  <c r="AE42" i="29"/>
  <c r="AJ41" i="29"/>
  <c r="AI41" i="29"/>
  <c r="AH41" i="29"/>
  <c r="AG41" i="29"/>
  <c r="AF41" i="29"/>
  <c r="AE41" i="29"/>
  <c r="AJ40" i="29"/>
  <c r="AI40" i="29"/>
  <c r="AH40" i="29"/>
  <c r="AG40" i="29"/>
  <c r="AF40" i="29"/>
  <c r="AE40" i="29"/>
  <c r="AJ39" i="29"/>
  <c r="AI39" i="29"/>
  <c r="AH39" i="29"/>
  <c r="AG39" i="29"/>
  <c r="AF39" i="29"/>
  <c r="AE39" i="29"/>
  <c r="AJ38" i="29"/>
  <c r="AI38" i="29"/>
  <c r="AH38" i="29"/>
  <c r="AG38" i="29"/>
  <c r="AF38" i="29"/>
  <c r="AE38" i="29"/>
  <c r="AJ37" i="29"/>
  <c r="AI37" i="29"/>
  <c r="AH37" i="29"/>
  <c r="AG37" i="29"/>
  <c r="AF37" i="29"/>
  <c r="AE37" i="29"/>
  <c r="AJ36" i="29"/>
  <c r="AI36" i="29"/>
  <c r="AH36" i="29"/>
  <c r="AG36" i="29"/>
  <c r="AF36" i="29"/>
  <c r="AE36" i="29"/>
  <c r="AJ35" i="29"/>
  <c r="AI35" i="29"/>
  <c r="AH35" i="29"/>
  <c r="AG35" i="29"/>
  <c r="AF35" i="29"/>
  <c r="AE35" i="29"/>
  <c r="AJ34" i="29"/>
  <c r="AI34" i="29"/>
  <c r="AH34" i="29"/>
  <c r="AG34" i="29"/>
  <c r="AF34" i="29"/>
  <c r="AE34" i="29"/>
  <c r="AJ33" i="29"/>
  <c r="AI33" i="29"/>
  <c r="AH33" i="29"/>
  <c r="AG33" i="29"/>
  <c r="AF33" i="29"/>
  <c r="AE33" i="29"/>
  <c r="AJ32" i="29"/>
  <c r="AI32" i="29"/>
  <c r="AH32" i="29"/>
  <c r="AG32" i="29"/>
  <c r="AF32" i="29"/>
  <c r="AE32" i="29"/>
  <c r="AJ31" i="29"/>
  <c r="AI31" i="29"/>
  <c r="AH31" i="29"/>
  <c r="AG31" i="29"/>
  <c r="AF31" i="29"/>
  <c r="AE31" i="29"/>
  <c r="AJ30" i="29"/>
  <c r="AI30" i="29"/>
  <c r="AH30" i="29"/>
  <c r="AG30" i="29"/>
  <c r="AF30" i="29"/>
  <c r="AE30" i="29"/>
  <c r="AJ29" i="29"/>
  <c r="AI29" i="29"/>
  <c r="AH29" i="29"/>
  <c r="AG29" i="29"/>
  <c r="AF29" i="29"/>
  <c r="AE29" i="29"/>
  <c r="AJ28" i="29"/>
  <c r="AI28" i="29"/>
  <c r="AH28" i="29"/>
  <c r="AG28" i="29"/>
  <c r="AF28" i="29"/>
  <c r="AE28" i="29"/>
  <c r="AJ27" i="29"/>
  <c r="AI27" i="29"/>
  <c r="AH27" i="29"/>
  <c r="AG27" i="29"/>
  <c r="AF27" i="29"/>
  <c r="AE27" i="29"/>
  <c r="AJ26" i="29"/>
  <c r="AI26" i="29"/>
  <c r="AH26" i="29"/>
  <c r="AG26" i="29"/>
  <c r="AF26" i="29"/>
  <c r="AE26" i="29"/>
  <c r="AJ25" i="29"/>
  <c r="AI25" i="29"/>
  <c r="AH25" i="29"/>
  <c r="AG25" i="29"/>
  <c r="AF25" i="29"/>
  <c r="AE25" i="29"/>
  <c r="AJ24" i="29"/>
  <c r="AI24" i="29"/>
  <c r="AH24" i="29"/>
  <c r="AG24" i="29"/>
  <c r="AF24" i="29"/>
  <c r="AE24" i="29"/>
  <c r="AJ8" i="29"/>
  <c r="AI8" i="29"/>
  <c r="AH8" i="29"/>
  <c r="AG8" i="29"/>
  <c r="AF8" i="29"/>
  <c r="AE8" i="29"/>
  <c r="AJ7" i="29"/>
  <c r="AI7" i="29"/>
  <c r="AH7" i="29"/>
  <c r="AG7" i="29"/>
  <c r="AF7" i="29"/>
  <c r="AE7" i="29"/>
  <c r="AJ6" i="29"/>
  <c r="AI6" i="29"/>
  <c r="AH6" i="29"/>
  <c r="AG6" i="29"/>
  <c r="AF6" i="29"/>
  <c r="AE6" i="29"/>
  <c r="AJ5" i="29"/>
  <c r="AI5" i="29"/>
  <c r="AH5" i="29"/>
  <c r="AG5" i="29"/>
  <c r="AF5" i="29"/>
  <c r="AE5" i="29"/>
  <c r="AJ4" i="29"/>
  <c r="AI4" i="29"/>
  <c r="AH4" i="29"/>
  <c r="AG4" i="29"/>
  <c r="AF4" i="29"/>
  <c r="AE4" i="29"/>
  <c r="AJ3" i="29"/>
  <c r="AI3" i="29"/>
  <c r="AH3" i="29"/>
  <c r="AG3" i="29"/>
  <c r="AF3" i="29"/>
  <c r="AE3" i="29"/>
  <c r="AJ2" i="29"/>
  <c r="AI2" i="29"/>
  <c r="AH2" i="29"/>
  <c r="AG2" i="29"/>
  <c r="AF2" i="29"/>
  <c r="AE2" i="29"/>
  <c r="B486" i="17"/>
  <c r="B487" i="17"/>
  <c r="B488" i="17"/>
  <c r="B485" i="17"/>
  <c r="D108" i="17"/>
  <c r="D109" i="17"/>
  <c r="D110" i="17"/>
  <c r="D111" i="17"/>
  <c r="D112" i="17"/>
  <c r="C109" i="17"/>
  <c r="C112" i="17"/>
  <c r="C110" i="17"/>
  <c r="C108" i="17"/>
  <c r="C111" i="17"/>
  <c r="B484" i="17"/>
  <c r="B479" i="17"/>
  <c r="B480" i="17"/>
  <c r="B481" i="17"/>
  <c r="B482" i="17"/>
  <c r="B483" i="17"/>
  <c r="B473" i="17"/>
  <c r="B474" i="17"/>
  <c r="B475" i="17"/>
  <c r="B476" i="17"/>
  <c r="B477" i="17"/>
  <c r="B478" i="17"/>
  <c r="D71" i="17"/>
  <c r="C71" i="17"/>
  <c r="AA317" i="6"/>
  <c r="AA314" i="6"/>
  <c r="AA263" i="6"/>
  <c r="AA260" i="6"/>
  <c r="AA209" i="6"/>
  <c r="AA206" i="6"/>
  <c r="AA155" i="6"/>
  <c r="AA152" i="6"/>
  <c r="AS322" i="6"/>
  <c r="AO322" i="6"/>
  <c r="Z322" i="6"/>
  <c r="AS321" i="6"/>
  <c r="AO321" i="6"/>
  <c r="AS320" i="6"/>
  <c r="AO320" i="6"/>
  <c r="AS319" i="6"/>
  <c r="AO319" i="6"/>
  <c r="AO318" i="6"/>
  <c r="AJ318" i="6"/>
  <c r="AG318" i="6"/>
  <c r="AO317" i="6"/>
  <c r="AG317" i="6"/>
  <c r="AO316" i="6"/>
  <c r="AG316" i="6"/>
  <c r="AO315" i="6"/>
  <c r="AO314" i="6"/>
  <c r="W314" i="6"/>
  <c r="D314" i="6"/>
  <c r="AO313" i="6"/>
  <c r="AO312" i="6"/>
  <c r="AK307" i="6"/>
  <c r="AT306" i="6"/>
  <c r="AA306" i="6"/>
  <c r="AT305" i="6"/>
  <c r="AT304" i="6"/>
  <c r="AT303" i="6"/>
  <c r="AJ295" i="6"/>
  <c r="AS268" i="6"/>
  <c r="AO268" i="6"/>
  <c r="Z268" i="6"/>
  <c r="AS267" i="6"/>
  <c r="AO267" i="6"/>
  <c r="AS266" i="6"/>
  <c r="AO266" i="6"/>
  <c r="AS265" i="6"/>
  <c r="AO265" i="6"/>
  <c r="AO264" i="6"/>
  <c r="AJ264" i="6"/>
  <c r="AG264" i="6"/>
  <c r="AO263" i="6"/>
  <c r="AG263" i="6"/>
  <c r="AO262" i="6"/>
  <c r="AG262" i="6"/>
  <c r="AO261" i="6"/>
  <c r="AO260" i="6"/>
  <c r="W260" i="6"/>
  <c r="D260" i="6"/>
  <c r="AO259" i="6"/>
  <c r="AO258" i="6"/>
  <c r="AK253" i="6"/>
  <c r="AT252" i="6"/>
  <c r="AA252" i="6"/>
  <c r="AT251" i="6"/>
  <c r="AT250" i="6"/>
  <c r="AT249" i="6"/>
  <c r="AJ241" i="6"/>
  <c r="AS214" i="6"/>
  <c r="AO214" i="6"/>
  <c r="Z214" i="6"/>
  <c r="AS213" i="6"/>
  <c r="AO213" i="6"/>
  <c r="AS212" i="6"/>
  <c r="AO212" i="6"/>
  <c r="AS211" i="6"/>
  <c r="AO211" i="6"/>
  <c r="AO210" i="6"/>
  <c r="AJ210" i="6"/>
  <c r="AG210" i="6"/>
  <c r="AO209" i="6"/>
  <c r="AG209" i="6"/>
  <c r="AO208" i="6"/>
  <c r="AG208" i="6"/>
  <c r="AO207" i="6"/>
  <c r="AO206" i="6"/>
  <c r="W206" i="6"/>
  <c r="D206" i="6"/>
  <c r="AO205" i="6"/>
  <c r="AO204" i="6"/>
  <c r="AK199" i="6"/>
  <c r="AT198" i="6"/>
  <c r="AA198" i="6"/>
  <c r="AT197" i="6"/>
  <c r="AT196" i="6"/>
  <c r="AT195" i="6"/>
  <c r="AJ187" i="6"/>
  <c r="AS160" i="6"/>
  <c r="AO160" i="6"/>
  <c r="Z160" i="6"/>
  <c r="AS159" i="6"/>
  <c r="AO159" i="6"/>
  <c r="AS158" i="6"/>
  <c r="AO158" i="6"/>
  <c r="AS157" i="6"/>
  <c r="AO157" i="6"/>
  <c r="AO156" i="6"/>
  <c r="AJ156" i="6"/>
  <c r="AG156" i="6"/>
  <c r="AO155" i="6"/>
  <c r="AG155" i="6"/>
  <c r="AO154" i="6"/>
  <c r="AG154" i="6"/>
  <c r="AO153" i="6"/>
  <c r="AO152" i="6"/>
  <c r="W152" i="6"/>
  <c r="D152" i="6"/>
  <c r="AO151" i="6"/>
  <c r="AO150" i="6"/>
  <c r="AK145" i="6"/>
  <c r="AT144" i="6"/>
  <c r="AA144" i="6"/>
  <c r="AT143" i="6"/>
  <c r="AT142" i="6"/>
  <c r="AT141" i="6"/>
  <c r="AJ133" i="6"/>
  <c r="AS106" i="6"/>
  <c r="AO106" i="6"/>
  <c r="AS105" i="6"/>
  <c r="AO105" i="6"/>
  <c r="AS104" i="6"/>
  <c r="AO104" i="6"/>
  <c r="AS103" i="6"/>
  <c r="AO103" i="6"/>
  <c r="AO102" i="6"/>
  <c r="AO101" i="6"/>
  <c r="AO100" i="6"/>
  <c r="AO99" i="6"/>
  <c r="AO98" i="6"/>
  <c r="AO97" i="6"/>
  <c r="AO96" i="6"/>
  <c r="AT90" i="6"/>
  <c r="AT89" i="6"/>
  <c r="AT88" i="6"/>
  <c r="AT87" i="6"/>
  <c r="G938" i="17"/>
  <c r="F938" i="17"/>
  <c r="G937" i="17"/>
  <c r="F937" i="17"/>
  <c r="G936" i="17"/>
  <c r="F936" i="17"/>
  <c r="G935" i="17"/>
  <c r="F935" i="17"/>
  <c r="G934" i="17"/>
  <c r="F934" i="17"/>
  <c r="G933" i="17"/>
  <c r="F933" i="17"/>
  <c r="G932" i="17"/>
  <c r="F932" i="17"/>
  <c r="G931" i="17"/>
  <c r="F931" i="17"/>
  <c r="G930" i="17"/>
  <c r="F930" i="17"/>
  <c r="G929" i="17"/>
  <c r="F929" i="17"/>
  <c r="G928" i="17"/>
  <c r="F928" i="17"/>
  <c r="G927" i="17"/>
  <c r="F927" i="17"/>
  <c r="G926" i="17"/>
  <c r="F926" i="17"/>
  <c r="G925" i="17"/>
  <c r="F925" i="17"/>
  <c r="G924" i="17"/>
  <c r="F924" i="17"/>
  <c r="G923" i="17"/>
  <c r="F923" i="17"/>
  <c r="G922" i="17"/>
  <c r="F922" i="17"/>
  <c r="G921" i="17"/>
  <c r="F921" i="17"/>
  <c r="G920" i="17"/>
  <c r="F920" i="17"/>
  <c r="G919" i="17"/>
  <c r="F919" i="17"/>
  <c r="Z69" i="2"/>
  <c r="Y69" i="2"/>
  <c r="Z68" i="2"/>
  <c r="Y68" i="2"/>
  <c r="Z67" i="2"/>
  <c r="Y67" i="2"/>
  <c r="Z66" i="2"/>
  <c r="Y66" i="2"/>
  <c r="Z65" i="2"/>
  <c r="Y65" i="2"/>
  <c r="Z64" i="2"/>
  <c r="Y64" i="2"/>
  <c r="Z63" i="2"/>
  <c r="Y63" i="2"/>
  <c r="Z62" i="2"/>
  <c r="Y62" i="2"/>
  <c r="Z61" i="2"/>
  <c r="Y61" i="2"/>
  <c r="Z60" i="2"/>
  <c r="Y60" i="2"/>
  <c r="Z59" i="2"/>
  <c r="Y59" i="2"/>
  <c r="Z58" i="2"/>
  <c r="Y58" i="2"/>
  <c r="Z57" i="2"/>
  <c r="Y57" i="2"/>
  <c r="Z56" i="2"/>
  <c r="Y56" i="2"/>
  <c r="Z55" i="2"/>
  <c r="Y55" i="2"/>
  <c r="Z54" i="2"/>
  <c r="Y54" i="2"/>
  <c r="Z53" i="2"/>
  <c r="Y53" i="2"/>
  <c r="Z52" i="2"/>
  <c r="Y52" i="2"/>
  <c r="Z51" i="2"/>
  <c r="Y51" i="2"/>
  <c r="Z50" i="2"/>
  <c r="Y50" i="2"/>
  <c r="Z49" i="2"/>
  <c r="Y49" i="2"/>
  <c r="Z48" i="2"/>
  <c r="Y48" i="2"/>
  <c r="Z47" i="2"/>
  <c r="Y47" i="2"/>
  <c r="Z46" i="2"/>
  <c r="Y46" i="2"/>
  <c r="Z45" i="2"/>
  <c r="Y45" i="2"/>
  <c r="Z44" i="2"/>
  <c r="Y44" i="2"/>
  <c r="Z43" i="2"/>
  <c r="Y43" i="2"/>
  <c r="Z42" i="2"/>
  <c r="Y42" i="2"/>
  <c r="Z41" i="2"/>
  <c r="Y41" i="2"/>
  <c r="Z40" i="2"/>
  <c r="Y40" i="2"/>
  <c r="Z39" i="2"/>
  <c r="Y39" i="2"/>
  <c r="Z38" i="2"/>
  <c r="Y38" i="2"/>
  <c r="Z37" i="2"/>
  <c r="Y37" i="2"/>
  <c r="Z36" i="2"/>
  <c r="Y36" i="2"/>
  <c r="Z35" i="2"/>
  <c r="Y35" i="2"/>
  <c r="Z34" i="2"/>
  <c r="Y34" i="2"/>
  <c r="Z33" i="2"/>
  <c r="Y33" i="2"/>
  <c r="Z32" i="2"/>
  <c r="Y32" i="2"/>
  <c r="Z31" i="2"/>
  <c r="Y31" i="2"/>
  <c r="Z30" i="2"/>
  <c r="Y30" i="2"/>
  <c r="Z29" i="2"/>
  <c r="Y29" i="2"/>
  <c r="Z28" i="2"/>
  <c r="Y28" i="2"/>
  <c r="Z27" i="2"/>
  <c r="Y27" i="2"/>
  <c r="Z26" i="2"/>
  <c r="Y26" i="2"/>
  <c r="Z25" i="2"/>
  <c r="Y25" i="2"/>
  <c r="Z24" i="2"/>
  <c r="Y24" i="2"/>
  <c r="Z23" i="2"/>
  <c r="Y23" i="2"/>
  <c r="Z22" i="2"/>
  <c r="Y22" i="2"/>
  <c r="Z21" i="2"/>
  <c r="Y21" i="2"/>
  <c r="Z20" i="2"/>
  <c r="Y20" i="2"/>
  <c r="Z19" i="2"/>
  <c r="Y19" i="2"/>
  <c r="Z18" i="2"/>
  <c r="Y18" i="2"/>
  <c r="Z17" i="2"/>
  <c r="Y17" i="2"/>
  <c r="Z16" i="2"/>
  <c r="Y16" i="2"/>
  <c r="C21" i="2"/>
  <c r="T19" i="2"/>
  <c r="T20" i="2"/>
  <c r="S19" i="2"/>
  <c r="S20" i="2"/>
  <c r="R19" i="2"/>
  <c r="R20" i="2"/>
  <c r="T18" i="2"/>
  <c r="S18" i="2"/>
  <c r="Q19" i="2"/>
  <c r="Q20" i="2"/>
  <c r="R18" i="2"/>
  <c r="Q18" i="2"/>
  <c r="N19" i="2"/>
  <c r="P19" i="2" s="1"/>
  <c r="N20" i="2"/>
  <c r="O20" i="2" s="1"/>
  <c r="M23" i="2"/>
  <c r="AC14" i="6"/>
  <c r="G18" i="6"/>
  <c r="G17" i="6"/>
  <c r="G16" i="6"/>
  <c r="G15" i="6"/>
  <c r="G14" i="6"/>
  <c r="G121" i="17"/>
  <c r="I121" i="17"/>
  <c r="K121" i="17"/>
  <c r="G122" i="17"/>
  <c r="I122" i="17"/>
  <c r="K122" i="17"/>
  <c r="G123" i="17"/>
  <c r="I123" i="17"/>
  <c r="K123" i="17"/>
  <c r="G124" i="17"/>
  <c r="I124" i="17"/>
  <c r="K124" i="17"/>
  <c r="D948" i="17"/>
  <c r="F948" i="17"/>
  <c r="G948" i="17"/>
  <c r="H948" i="17"/>
  <c r="I948" i="17"/>
  <c r="D949" i="17"/>
  <c r="F949" i="17"/>
  <c r="G949" i="17"/>
  <c r="H949" i="17"/>
  <c r="I949" i="17"/>
  <c r="D950" i="17"/>
  <c r="F950" i="17"/>
  <c r="G950" i="17"/>
  <c r="H950" i="17"/>
  <c r="I950" i="17"/>
  <c r="D951" i="17"/>
  <c r="F951" i="17"/>
  <c r="G951" i="17"/>
  <c r="H951" i="17"/>
  <c r="I951" i="17"/>
  <c r="D952" i="17"/>
  <c r="F952" i="17"/>
  <c r="G952" i="17"/>
  <c r="H952" i="17"/>
  <c r="I952" i="17"/>
  <c r="D953" i="17"/>
  <c r="F953" i="17"/>
  <c r="G953" i="17"/>
  <c r="H953" i="17"/>
  <c r="I953" i="17"/>
  <c r="D954" i="17"/>
  <c r="F954" i="17"/>
  <c r="G954" i="17"/>
  <c r="H954" i="17"/>
  <c r="I954" i="17"/>
  <c r="D955" i="17"/>
  <c r="F955" i="17"/>
  <c r="G955" i="17"/>
  <c r="H955" i="17"/>
  <c r="I955" i="17"/>
  <c r="D956" i="17"/>
  <c r="F956" i="17"/>
  <c r="G956" i="17"/>
  <c r="H956" i="17"/>
  <c r="I956" i="17"/>
  <c r="D957" i="17"/>
  <c r="F957" i="17"/>
  <c r="G957" i="17"/>
  <c r="H957" i="17"/>
  <c r="I957" i="17"/>
  <c r="D958" i="17"/>
  <c r="F958" i="17"/>
  <c r="G958" i="17"/>
  <c r="H958" i="17"/>
  <c r="I958" i="17"/>
  <c r="D959" i="17"/>
  <c r="F959" i="17"/>
  <c r="G959" i="17"/>
  <c r="H959" i="17"/>
  <c r="I959" i="17"/>
  <c r="D960" i="17"/>
  <c r="F960" i="17"/>
  <c r="G960" i="17"/>
  <c r="H960" i="17"/>
  <c r="I960" i="17"/>
  <c r="D961" i="17"/>
  <c r="F961" i="17"/>
  <c r="G961" i="17"/>
  <c r="H961" i="17"/>
  <c r="I961" i="17"/>
  <c r="D962" i="17"/>
  <c r="F963" i="17"/>
  <c r="G963" i="17"/>
  <c r="H963" i="17"/>
  <c r="I963" i="17"/>
  <c r="F964" i="17"/>
  <c r="G964" i="17"/>
  <c r="H964" i="17"/>
  <c r="I964" i="17"/>
  <c r="F965" i="17"/>
  <c r="G965" i="17"/>
  <c r="H965" i="17"/>
  <c r="I965" i="17"/>
  <c r="F966" i="17"/>
  <c r="G966" i="17"/>
  <c r="H966" i="17"/>
  <c r="I966" i="17"/>
  <c r="F967" i="17"/>
  <c r="G967" i="17"/>
  <c r="H967" i="17"/>
  <c r="I967" i="17"/>
  <c r="F968" i="17"/>
  <c r="G968" i="17"/>
  <c r="H968" i="17"/>
  <c r="I968" i="17"/>
  <c r="F969" i="17"/>
  <c r="G969" i="17"/>
  <c r="H969" i="17"/>
  <c r="I969" i="17"/>
  <c r="B472" i="17"/>
  <c r="B234" i="17"/>
  <c r="B293" i="17"/>
  <c r="B292" i="17"/>
  <c r="B294" i="17"/>
  <c r="B147" i="17"/>
  <c r="B238" i="17"/>
  <c r="D98" i="17"/>
  <c r="D61" i="17"/>
  <c r="D89" i="17"/>
  <c r="D62" i="17"/>
  <c r="B52" i="17"/>
  <c r="D90" i="17"/>
  <c r="D68" i="17"/>
  <c r="B188" i="17"/>
  <c r="D79" i="17"/>
  <c r="D851" i="17"/>
  <c r="B139" i="17"/>
  <c r="B274" i="17"/>
  <c r="D916" i="17"/>
  <c r="B154" i="17"/>
  <c r="E967" i="17"/>
  <c r="B252" i="17"/>
  <c r="B158" i="17"/>
  <c r="B191" i="17"/>
  <c r="B215" i="17"/>
  <c r="D64" i="17"/>
  <c r="B225" i="17"/>
  <c r="B237" i="17"/>
  <c r="D81" i="17"/>
  <c r="B286" i="17"/>
  <c r="B198" i="17"/>
  <c r="B243" i="17"/>
  <c r="B201" i="17"/>
  <c r="D73" i="17"/>
  <c r="B288" i="17"/>
  <c r="B290" i="17"/>
  <c r="B175" i="17"/>
  <c r="C124" i="17"/>
  <c r="D102" i="17"/>
  <c r="B289" i="17"/>
  <c r="B227" i="17"/>
  <c r="D65" i="17"/>
  <c r="B187" i="17"/>
  <c r="D857" i="17"/>
  <c r="D103" i="17"/>
  <c r="D60" i="17"/>
  <c r="B129" i="17"/>
  <c r="D91" i="17"/>
  <c r="D94" i="17"/>
  <c r="D101" i="17"/>
  <c r="B183" i="17"/>
  <c r="D903" i="17"/>
  <c r="D908" i="17"/>
  <c r="D915" i="17"/>
  <c r="B276" i="17"/>
  <c r="E960" i="17"/>
  <c r="B143" i="17"/>
  <c r="D107" i="17"/>
  <c r="D95" i="17"/>
  <c r="D886" i="17"/>
  <c r="B261" i="17"/>
  <c r="B268" i="17"/>
  <c r="E963" i="17"/>
  <c r="B207" i="17"/>
  <c r="B195" i="17"/>
  <c r="D861" i="17"/>
  <c r="B159" i="17"/>
  <c r="D75" i="17"/>
  <c r="D853" i="17"/>
  <c r="C102" i="17"/>
  <c r="D53" i="17"/>
  <c r="D123" i="17"/>
  <c r="B203" i="17"/>
  <c r="B247" i="17"/>
  <c r="C123" i="17"/>
  <c r="D82" i="17"/>
  <c r="D97" i="17"/>
  <c r="D57" i="17"/>
  <c r="B160" i="17"/>
  <c r="D54" i="17"/>
  <c r="D869" i="17"/>
  <c r="B278" i="17"/>
  <c r="D883" i="17"/>
  <c r="B265" i="17"/>
  <c r="D890" i="17"/>
  <c r="B193" i="17"/>
  <c r="B205" i="17"/>
  <c r="B465" i="17"/>
  <c r="B469" i="17"/>
  <c r="B466" i="17"/>
  <c r="B470" i="17"/>
  <c r="B471" i="17"/>
  <c r="B468" i="17"/>
  <c r="B467" i="17"/>
  <c r="B377" i="17"/>
  <c r="B381" i="17"/>
  <c r="B385" i="17"/>
  <c r="B389" i="17"/>
  <c r="B393" i="17"/>
  <c r="B396" i="17"/>
  <c r="B400" i="17"/>
  <c r="B404" i="17"/>
  <c r="B408" i="17"/>
  <c r="B412" i="17"/>
  <c r="B416" i="17"/>
  <c r="B420" i="17"/>
  <c r="B424" i="17"/>
  <c r="B428" i="17"/>
  <c r="B432" i="17"/>
  <c r="B436" i="17"/>
  <c r="B439" i="17"/>
  <c r="B442" i="17"/>
  <c r="B446" i="17"/>
  <c r="B450" i="17"/>
  <c r="B454" i="17"/>
  <c r="B458" i="17"/>
  <c r="B462" i="17"/>
  <c r="B379" i="17"/>
  <c r="B387" i="17"/>
  <c r="B391" i="17"/>
  <c r="B398" i="17"/>
  <c r="B406" i="17"/>
  <c r="B414" i="17"/>
  <c r="B422" i="17"/>
  <c r="B430" i="17"/>
  <c r="B438" i="17"/>
  <c r="B444" i="17"/>
  <c r="B374" i="17"/>
  <c r="B378" i="17"/>
  <c r="B382" i="17"/>
  <c r="B386" i="17"/>
  <c r="B390" i="17"/>
  <c r="B394" i="17"/>
  <c r="B397" i="17"/>
  <c r="B401" i="17"/>
  <c r="B405" i="17"/>
  <c r="B409" i="17"/>
  <c r="B413" i="17"/>
  <c r="B417" i="17"/>
  <c r="B421" i="17"/>
  <c r="B425" i="17"/>
  <c r="B429" i="17"/>
  <c r="B433" i="17"/>
  <c r="B437" i="17"/>
  <c r="B443" i="17"/>
  <c r="B447" i="17"/>
  <c r="B451" i="17"/>
  <c r="B455" i="17"/>
  <c r="B459" i="17"/>
  <c r="B463" i="17"/>
  <c r="B375" i="17"/>
  <c r="B383" i="17"/>
  <c r="B402" i="17"/>
  <c r="B410" i="17"/>
  <c r="B418" i="17"/>
  <c r="B426" i="17"/>
  <c r="B434" i="17"/>
  <c r="B440" i="17"/>
  <c r="B448" i="17"/>
  <c r="B380" i="17"/>
  <c r="B395" i="17"/>
  <c r="B411" i="17"/>
  <c r="B427" i="17"/>
  <c r="B441" i="17"/>
  <c r="B453" i="17"/>
  <c r="B461" i="17"/>
  <c r="B399" i="17"/>
  <c r="B464" i="17"/>
  <c r="B388" i="17"/>
  <c r="B419" i="17"/>
  <c r="B435" i="17"/>
  <c r="B457" i="17"/>
  <c r="B376" i="17"/>
  <c r="B392" i="17"/>
  <c r="B460" i="17"/>
  <c r="B384" i="17"/>
  <c r="B415" i="17"/>
  <c r="B431" i="17"/>
  <c r="B445" i="17"/>
  <c r="B456" i="17"/>
  <c r="B403" i="17"/>
  <c r="B449" i="17"/>
  <c r="B423" i="17"/>
  <c r="B452" i="17"/>
  <c r="B407" i="17"/>
  <c r="B371" i="17"/>
  <c r="B372" i="17"/>
  <c r="B373" i="17"/>
  <c r="B298" i="17"/>
  <c r="B302" i="17"/>
  <c r="B306" i="17"/>
  <c r="B310" i="17"/>
  <c r="B314" i="17"/>
  <c r="B318" i="17"/>
  <c r="B322" i="17"/>
  <c r="B326" i="17"/>
  <c r="B329" i="17"/>
  <c r="B333" i="17"/>
  <c r="B337" i="17"/>
  <c r="B341" i="17"/>
  <c r="B345" i="17"/>
  <c r="B349" i="17"/>
  <c r="B353" i="17"/>
  <c r="B357" i="17"/>
  <c r="B361" i="17"/>
  <c r="B365" i="17"/>
  <c r="B369" i="17"/>
  <c r="B300" i="17"/>
  <c r="B312" i="17"/>
  <c r="B320" i="17"/>
  <c r="B331" i="17"/>
  <c r="B339" i="17"/>
  <c r="B347" i="17"/>
  <c r="B359" i="17"/>
  <c r="B367" i="17"/>
  <c r="B309" i="17"/>
  <c r="B321" i="17"/>
  <c r="B340" i="17"/>
  <c r="B352" i="17"/>
  <c r="B368" i="17"/>
  <c r="B295" i="17"/>
  <c r="B299" i="17"/>
  <c r="B303" i="17"/>
  <c r="B307" i="17"/>
  <c r="B311" i="17"/>
  <c r="B315" i="17"/>
  <c r="B319" i="17"/>
  <c r="B323" i="17"/>
  <c r="B327" i="17"/>
  <c r="B330" i="17"/>
  <c r="B334" i="17"/>
  <c r="B338" i="17"/>
  <c r="B342" i="17"/>
  <c r="B346" i="17"/>
  <c r="B350" i="17"/>
  <c r="B354" i="17"/>
  <c r="B358" i="17"/>
  <c r="B362" i="17"/>
  <c r="B366" i="17"/>
  <c r="B370" i="17"/>
  <c r="B304" i="17"/>
  <c r="B308" i="17"/>
  <c r="B316" i="17"/>
  <c r="B328" i="17"/>
  <c r="B335" i="17"/>
  <c r="B343" i="17"/>
  <c r="B355" i="17"/>
  <c r="B363" i="17"/>
  <c r="B305" i="17"/>
  <c r="B325" i="17"/>
  <c r="B332" i="17"/>
  <c r="B344" i="17"/>
  <c r="B356" i="17"/>
  <c r="B364" i="17"/>
  <c r="B296" i="17"/>
  <c r="B324" i="17"/>
  <c r="B351" i="17"/>
  <c r="B297" i="17"/>
  <c r="B301" i="17"/>
  <c r="B313" i="17"/>
  <c r="B317" i="17"/>
  <c r="B336" i="17"/>
  <c r="B348" i="17"/>
  <c r="B360" i="17"/>
  <c r="B222" i="17"/>
  <c r="D862" i="17"/>
  <c r="B170" i="17"/>
  <c r="D93" i="17"/>
  <c r="B138" i="17"/>
  <c r="D122" i="17"/>
  <c r="B171" i="17"/>
  <c r="B177" i="17"/>
  <c r="B166" i="17"/>
  <c r="B232" i="17"/>
  <c r="C122" i="17"/>
  <c r="E948" i="17"/>
  <c r="B182" i="17"/>
  <c r="B263" i="17"/>
  <c r="D889" i="17"/>
  <c r="D876" i="17"/>
  <c r="D875" i="17"/>
  <c r="B186" i="17"/>
  <c r="D121" i="17"/>
  <c r="E966" i="17"/>
  <c r="D882" i="17"/>
  <c r="B140" i="17"/>
  <c r="B277" i="17"/>
  <c r="D873" i="17"/>
  <c r="E961" i="17"/>
  <c r="B251" i="17"/>
  <c r="D856" i="17"/>
  <c r="B204" i="17"/>
  <c r="B217" i="17"/>
  <c r="D892" i="17"/>
  <c r="B157" i="17"/>
  <c r="B167" i="17"/>
  <c r="B211" i="17"/>
  <c r="B230" i="17"/>
  <c r="D866" i="17"/>
  <c r="D52" i="17"/>
  <c r="D59" i="17"/>
  <c r="D92" i="17"/>
  <c r="D104" i="17"/>
  <c r="B146" i="17"/>
  <c r="B162" i="17"/>
  <c r="B210" i="17"/>
  <c r="B235" i="17"/>
  <c r="D859" i="17"/>
  <c r="D880" i="17"/>
  <c r="D897" i="17"/>
  <c r="D917" i="17"/>
  <c r="E955" i="17"/>
  <c r="E964" i="17"/>
  <c r="B132" i="17"/>
  <c r="B148" i="17"/>
  <c r="B185" i="17"/>
  <c r="B206" i="17"/>
  <c r="B224" i="17"/>
  <c r="B236" i="17"/>
  <c r="D855" i="17"/>
  <c r="D877" i="17"/>
  <c r="D893" i="17"/>
  <c r="D910" i="17"/>
  <c r="B284" i="17"/>
  <c r="B273" i="17"/>
  <c r="B150" i="17"/>
  <c r="B228" i="17"/>
  <c r="D870" i="17"/>
  <c r="D904" i="17"/>
  <c r="E965" i="17"/>
  <c r="B272" i="17"/>
  <c r="D83" i="17"/>
  <c r="C92" i="17"/>
  <c r="B135" i="17"/>
  <c r="D871" i="17"/>
  <c r="D70" i="17"/>
  <c r="D80" i="17"/>
  <c r="D88" i="17"/>
  <c r="D100" i="17"/>
  <c r="B136" i="17"/>
  <c r="B152" i="17"/>
  <c r="B178" i="17"/>
  <c r="B194" i="17"/>
  <c r="B240" i="17"/>
  <c r="D864" i="17"/>
  <c r="D884" i="17"/>
  <c r="D901" i="17"/>
  <c r="E949" i="17"/>
  <c r="E957" i="17"/>
  <c r="E968" i="17"/>
  <c r="D106" i="17"/>
  <c r="B137" i="17"/>
  <c r="B153" i="17"/>
  <c r="B164" i="17"/>
  <c r="B174" i="17"/>
  <c r="B190" i="17"/>
  <c r="D860" i="17"/>
  <c r="D881" i="17"/>
  <c r="D898" i="17"/>
  <c r="D914" i="17"/>
  <c r="D894" i="17"/>
  <c r="B156" i="17"/>
  <c r="B267" i="17"/>
  <c r="B279" i="17"/>
  <c r="B258" i="17"/>
  <c r="D879" i="17"/>
  <c r="D912" i="17"/>
  <c r="B269" i="17"/>
  <c r="B262" i="17"/>
  <c r="B255" i="17"/>
  <c r="B172" i="17"/>
  <c r="B218" i="17"/>
  <c r="B151" i="17"/>
  <c r="B179" i="17"/>
  <c r="B219" i="17"/>
  <c r="B242" i="17"/>
  <c r="D56" i="17"/>
  <c r="D63" i="17"/>
  <c r="D96" i="17"/>
  <c r="B141" i="17"/>
  <c r="B168" i="17"/>
  <c r="B184" i="17"/>
  <c r="B200" i="17"/>
  <c r="B223" i="17"/>
  <c r="D848" i="17"/>
  <c r="D872" i="17"/>
  <c r="D888" i="17"/>
  <c r="D909" i="17"/>
  <c r="E951" i="17"/>
  <c r="E959" i="17"/>
  <c r="B196" i="17"/>
  <c r="B212" i="17"/>
  <c r="B231" i="17"/>
  <c r="B241" i="17"/>
  <c r="D868" i="17"/>
  <c r="D885" i="17"/>
  <c r="D902" i="17"/>
  <c r="D852" i="17"/>
  <c r="B270" i="17"/>
  <c r="B256" i="17"/>
  <c r="B161" i="17"/>
  <c r="B239" i="17"/>
  <c r="D887" i="17"/>
  <c r="E950" i="17"/>
  <c r="B283" i="17"/>
  <c r="B246" i="17"/>
  <c r="D849" i="17"/>
  <c r="D76" i="17"/>
  <c r="B173" i="17"/>
  <c r="B229" i="17"/>
  <c r="D913" i="17"/>
  <c r="B169" i="17"/>
  <c r="D906" i="17"/>
  <c r="B259" i="17"/>
  <c r="B245" i="17"/>
  <c r="D895" i="17"/>
  <c r="B266" i="17"/>
  <c r="B197" i="17"/>
  <c r="D858" i="17"/>
  <c r="D899" i="17"/>
  <c r="E956" i="17"/>
  <c r="B282" i="17"/>
  <c r="B165" i="17"/>
  <c r="B209" i="17"/>
  <c r="D847" i="17"/>
  <c r="D891" i="17"/>
  <c r="E952" i="17"/>
  <c r="B253" i="17"/>
  <c r="B271" i="17"/>
  <c r="B281" i="17"/>
  <c r="B233" i="17"/>
  <c r="B134" i="17"/>
  <c r="D878" i="17"/>
  <c r="B250" i="17"/>
  <c r="B163" i="17"/>
  <c r="B181" i="17"/>
  <c r="D87" i="17"/>
  <c r="B249" i="17"/>
  <c r="B202" i="17"/>
  <c r="B149" i="17"/>
  <c r="D55" i="17"/>
  <c r="D85" i="17"/>
  <c r="B213" i="17"/>
  <c r="B248" i="17"/>
  <c r="D84" i="17"/>
  <c r="B131" i="17"/>
  <c r="B189" i="17"/>
  <c r="D854" i="17"/>
  <c r="E953" i="17"/>
  <c r="B180" i="17"/>
  <c r="D850" i="17"/>
  <c r="E958" i="17"/>
  <c r="B257" i="17"/>
  <c r="B130" i="17"/>
  <c r="B208" i="17"/>
  <c r="D874" i="17"/>
  <c r="D907" i="17"/>
  <c r="E962" i="17"/>
  <c r="B280" i="17"/>
  <c r="B254" i="17"/>
  <c r="B133" i="17"/>
  <c r="B176" i="17"/>
  <c r="B220" i="17"/>
  <c r="D863" i="17"/>
  <c r="D900" i="17"/>
  <c r="E954" i="17"/>
  <c r="E969" i="17"/>
  <c r="B275" i="17"/>
  <c r="B214" i="17"/>
  <c r="B145" i="17"/>
  <c r="B264" i="17"/>
  <c r="B155" i="17"/>
  <c r="D86" i="17"/>
  <c r="D911" i="17"/>
  <c r="D124" i="17"/>
  <c r="D72" i="17"/>
  <c r="D78" i="17"/>
  <c r="D105" i="17"/>
  <c r="B287" i="17"/>
  <c r="C121" i="17"/>
  <c r="D58" i="17"/>
  <c r="D77" i="17"/>
  <c r="D99" i="17"/>
  <c r="D74" i="17"/>
  <c r="B285" i="17"/>
  <c r="B192" i="17"/>
  <c r="B291" i="17"/>
  <c r="B221" i="17"/>
  <c r="C106" i="17"/>
  <c r="C93" i="17"/>
  <c r="C91" i="17"/>
  <c r="C97" i="17"/>
  <c r="C79" i="17"/>
  <c r="C68" i="17"/>
  <c r="C100" i="17"/>
  <c r="C52" i="17"/>
  <c r="C65" i="17"/>
  <c r="C81" i="17"/>
  <c r="C107" i="17"/>
  <c r="C101" i="17"/>
  <c r="C104" i="17"/>
  <c r="C86" i="17"/>
  <c r="C105" i="17"/>
  <c r="C56" i="17"/>
  <c r="C96" i="17"/>
  <c r="C103" i="17"/>
  <c r="C85" i="17"/>
  <c r="C84" i="17"/>
  <c r="C87" i="17"/>
  <c r="C98" i="17"/>
  <c r="C80" i="17"/>
  <c r="C88" i="17"/>
  <c r="C74" i="17"/>
  <c r="C99" i="17"/>
  <c r="C57" i="17"/>
  <c r="C94" i="17"/>
  <c r="C90" i="17"/>
  <c r="C82" i="17"/>
  <c r="C95" i="17"/>
  <c r="C83" i="17"/>
  <c r="C89" i="17"/>
  <c r="M20" i="2"/>
  <c r="AT116" i="6"/>
  <c r="AT168" i="6"/>
  <c r="AT167" i="6"/>
  <c r="AT170" i="6"/>
  <c r="AT224" i="6"/>
  <c r="AT222" i="6"/>
  <c r="AT221" i="6"/>
  <c r="AT169" i="6"/>
  <c r="AT276" i="6"/>
  <c r="AT330" i="6"/>
  <c r="AT275" i="6"/>
  <c r="AT114" i="6"/>
  <c r="AT278" i="6"/>
  <c r="AT332" i="6"/>
  <c r="AT331" i="6"/>
  <c r="AT329" i="6"/>
  <c r="AT115" i="6"/>
  <c r="AS276" i="6"/>
  <c r="AS114" i="6"/>
  <c r="AS224" i="6"/>
  <c r="AS329" i="6"/>
  <c r="AS116" i="6"/>
  <c r="AS278" i="6"/>
  <c r="AS223" i="6"/>
  <c r="AS331" i="6"/>
  <c r="AS115" i="6"/>
  <c r="AS169" i="6"/>
  <c r="AS221" i="6"/>
  <c r="AS167" i="6"/>
  <c r="AS330" i="6"/>
  <c r="AS275" i="6"/>
  <c r="AS332" i="6"/>
  <c r="AS222" i="6"/>
  <c r="AS277" i="6"/>
  <c r="AS326" i="6"/>
  <c r="AS111" i="6"/>
  <c r="AS218" i="6"/>
  <c r="AS109" i="6"/>
  <c r="AS274" i="6"/>
  <c r="AS328" i="6"/>
  <c r="AS108" i="6"/>
  <c r="AS163" i="6"/>
  <c r="AS327" i="6"/>
  <c r="AS217" i="6"/>
  <c r="AS216" i="6"/>
  <c r="AS271" i="6"/>
  <c r="AS219" i="6"/>
  <c r="AS112" i="6"/>
  <c r="AS220" i="6"/>
  <c r="AS272" i="6"/>
  <c r="AS273" i="6"/>
  <c r="AS164" i="6"/>
  <c r="AS270" i="6"/>
  <c r="AS325" i="6"/>
  <c r="AS166" i="6"/>
  <c r="G942" i="17"/>
  <c r="G940" i="17"/>
  <c r="F942" i="17"/>
  <c r="F940" i="17"/>
  <c r="G941" i="17"/>
  <c r="G939" i="17"/>
  <c r="F941" i="17"/>
  <c r="F939" i="17"/>
  <c r="V6" i="17"/>
  <c r="C53" i="17"/>
  <c r="C58" i="17"/>
  <c r="C61" i="17"/>
  <c r="C75" i="17"/>
  <c r="C76" i="17"/>
  <c r="C59" i="17"/>
  <c r="C78" i="17"/>
  <c r="C64" i="17"/>
  <c r="C60" i="17"/>
  <c r="C73" i="17"/>
  <c r="C70" i="17"/>
  <c r="C72" i="17"/>
  <c r="C63" i="17"/>
  <c r="C62" i="17"/>
  <c r="C54" i="17"/>
  <c r="C55" i="17"/>
  <c r="C77" i="17"/>
  <c r="V43" i="17"/>
  <c r="V29" i="17"/>
  <c r="V33" i="17"/>
  <c r="V31" i="17"/>
  <c r="V28" i="17"/>
  <c r="V14" i="17"/>
  <c r="V16" i="17"/>
  <c r="V17" i="17"/>
  <c r="V42" i="17"/>
  <c r="V8" i="17"/>
  <c r="V22" i="17"/>
  <c r="V41" i="17"/>
  <c r="V19" i="17"/>
  <c r="V25" i="17"/>
  <c r="V11" i="17"/>
  <c r="V34" i="17"/>
  <c r="V35" i="17"/>
  <c r="V20" i="17"/>
  <c r="V27" i="17"/>
  <c r="V7" i="17"/>
  <c r="V12" i="17"/>
  <c r="V36" i="17"/>
  <c r="V21" i="17"/>
  <c r="V44" i="17"/>
  <c r="V30" i="17"/>
  <c r="V18" i="17"/>
  <c r="V47" i="17"/>
  <c r="V45" i="17"/>
  <c r="V38" i="17"/>
  <c r="V39" i="17"/>
  <c r="V40" i="17"/>
  <c r="V10" i="17"/>
  <c r="V37" i="17"/>
  <c r="V24" i="17"/>
  <c r="V15" i="17"/>
  <c r="E5" i="29"/>
  <c r="E9" i="29"/>
  <c r="E13" i="29"/>
  <c r="E17" i="29"/>
  <c r="E21" i="29"/>
  <c r="E25" i="29"/>
  <c r="E29" i="29"/>
  <c r="E33" i="29"/>
  <c r="E37" i="29"/>
  <c r="E41" i="29"/>
  <c r="E45" i="29"/>
  <c r="E49" i="29"/>
  <c r="E53" i="29"/>
  <c r="E27" i="29"/>
  <c r="E35" i="29"/>
  <c r="E43" i="29"/>
  <c r="E51" i="29"/>
  <c r="E4" i="29"/>
  <c r="E16" i="29"/>
  <c r="E20" i="29"/>
  <c r="E28" i="29"/>
  <c r="E36" i="29"/>
  <c r="E44" i="29"/>
  <c r="E52" i="29"/>
  <c r="E2" i="29"/>
  <c r="E6" i="29"/>
  <c r="E10" i="29"/>
  <c r="E14" i="29"/>
  <c r="E18" i="29"/>
  <c r="E22" i="29"/>
  <c r="E26" i="29"/>
  <c r="E30" i="29"/>
  <c r="E34" i="29"/>
  <c r="E38" i="29"/>
  <c r="E42" i="29"/>
  <c r="E46" i="29"/>
  <c r="E50" i="29"/>
  <c r="E54" i="29"/>
  <c r="E3" i="29"/>
  <c r="E7" i="29"/>
  <c r="E11" i="29"/>
  <c r="E15" i="29"/>
  <c r="E19" i="29"/>
  <c r="E23" i="29"/>
  <c r="E31" i="29"/>
  <c r="E39" i="29"/>
  <c r="E47" i="29"/>
  <c r="E55" i="29"/>
  <c r="E8" i="29"/>
  <c r="E12" i="29"/>
  <c r="E24" i="29"/>
  <c r="E32" i="29"/>
  <c r="E40" i="29"/>
  <c r="E48" i="29"/>
  <c r="AB16" i="2" a="1"/>
  <c r="AB56" i="2" s="1"/>
  <c r="X56" i="2" s="1"/>
  <c r="BD292" i="6"/>
  <c r="BD184" i="6"/>
  <c r="BD76" i="6"/>
  <c r="BD238" i="6"/>
  <c r="BD130" i="6"/>
  <c r="P20" i="2" l="1"/>
  <c r="P21" i="2" s="1"/>
  <c r="M24" i="2" s="1"/>
  <c r="S21" i="2"/>
  <c r="O19" i="2"/>
  <c r="Q21" i="2"/>
  <c r="R21" i="2"/>
  <c r="T21" i="2"/>
  <c r="O18" i="2"/>
  <c r="Z107" i="6"/>
  <c r="Z217" i="6"/>
  <c r="Z273" i="6"/>
  <c r="M18" i="2"/>
  <c r="AB68" i="2"/>
  <c r="X68" i="2" s="1"/>
  <c r="AB62" i="2"/>
  <c r="X62" i="2" s="1"/>
  <c r="AB78" i="2"/>
  <c r="AB69" i="2"/>
  <c r="X69" i="2" s="1"/>
  <c r="AB73" i="2"/>
  <c r="AB59" i="2"/>
  <c r="X59" i="2" s="1"/>
  <c r="AB57" i="2"/>
  <c r="X57" i="2" s="1"/>
  <c r="AB33" i="2"/>
  <c r="X33" i="2" s="1"/>
  <c r="AB36" i="2"/>
  <c r="X36" i="2" s="1"/>
  <c r="AB26" i="2"/>
  <c r="X26" i="2" s="1"/>
  <c r="AB19" i="2"/>
  <c r="X19" i="2" s="1"/>
  <c r="AB16" i="2"/>
  <c r="X16" i="2" s="1"/>
  <c r="AB45" i="2"/>
  <c r="X45" i="2" s="1"/>
  <c r="AB43" i="2"/>
  <c r="X43" i="2" s="1"/>
  <c r="AB41" i="2"/>
  <c r="X41" i="2" s="1"/>
  <c r="AB60" i="2"/>
  <c r="X60" i="2" s="1"/>
  <c r="AB20" i="2"/>
  <c r="X20" i="2" s="1"/>
  <c r="AB66" i="2"/>
  <c r="X66" i="2" s="1"/>
  <c r="AB58" i="2"/>
  <c r="X58" i="2" s="1"/>
  <c r="AB35" i="2"/>
  <c r="X35" i="2" s="1"/>
  <c r="AB29" i="2"/>
  <c r="X29" i="2" s="1"/>
  <c r="AB48" i="2"/>
  <c r="X48" i="2" s="1"/>
  <c r="AB55" i="2"/>
  <c r="X55" i="2" s="1"/>
  <c r="AB28" i="2"/>
  <c r="X28" i="2" s="1"/>
  <c r="AB74" i="2"/>
  <c r="AB77" i="2"/>
  <c r="AB49" i="2"/>
  <c r="X49" i="2" s="1"/>
  <c r="AB64" i="2"/>
  <c r="X64" i="2" s="1"/>
  <c r="AB71" i="2"/>
  <c r="AB67" i="2"/>
  <c r="X67" i="2" s="1"/>
  <c r="AB25" i="2"/>
  <c r="X25" i="2" s="1"/>
  <c r="AB46" i="2"/>
  <c r="X46" i="2" s="1"/>
  <c r="AB51" i="2"/>
  <c r="X51" i="2" s="1"/>
  <c r="AB34" i="2"/>
  <c r="X34" i="2" s="1"/>
  <c r="AB39" i="2"/>
  <c r="X39" i="2" s="1"/>
  <c r="AB37" i="2"/>
  <c r="X37" i="2" s="1"/>
  <c r="AB47" i="2"/>
  <c r="X47" i="2" s="1"/>
  <c r="AB44" i="2"/>
  <c r="X44" i="2" s="1"/>
  <c r="AB40" i="2"/>
  <c r="X40" i="2" s="1"/>
  <c r="AB30" i="2"/>
  <c r="X30" i="2" s="1"/>
  <c r="AB54" i="2"/>
  <c r="X54" i="2" s="1"/>
  <c r="AB61" i="2"/>
  <c r="X61" i="2" s="1"/>
  <c r="AB23" i="2"/>
  <c r="X23" i="2" s="1"/>
  <c r="AB21" i="2"/>
  <c r="X21" i="2" s="1"/>
  <c r="AB50" i="2"/>
  <c r="X50" i="2" s="1"/>
  <c r="AB63" i="2"/>
  <c r="X63" i="2" s="1"/>
  <c r="AB24" i="2"/>
  <c r="X24" i="2" s="1"/>
  <c r="AB70" i="2"/>
  <c r="AB31" i="2"/>
  <c r="X31" i="2" s="1"/>
  <c r="AB53" i="2"/>
  <c r="X53" i="2" s="1"/>
  <c r="AB65" i="2"/>
  <c r="X65" i="2" s="1"/>
  <c r="AB22" i="2"/>
  <c r="X22" i="2" s="1"/>
  <c r="AB75" i="2"/>
  <c r="AB42" i="2"/>
  <c r="X42" i="2" s="1"/>
  <c r="AB27" i="2"/>
  <c r="X27" i="2" s="1"/>
  <c r="AB52" i="2"/>
  <c r="X52" i="2" s="1"/>
  <c r="AB76" i="2"/>
  <c r="AB72" i="2"/>
  <c r="AB32" i="2"/>
  <c r="X32" i="2" s="1"/>
  <c r="AB79" i="2"/>
  <c r="AB38" i="2"/>
  <c r="X38" i="2" s="1"/>
  <c r="AB17" i="2"/>
  <c r="X17" i="2" s="1"/>
  <c r="AB18" i="2"/>
  <c r="X18" i="2" s="1"/>
  <c r="AA240" i="6"/>
  <c r="AA132" i="6"/>
  <c r="D448" i="6"/>
  <c r="Z325" i="6"/>
  <c r="Z163" i="6"/>
  <c r="D435" i="6"/>
  <c r="Y306" i="6"/>
  <c r="Z271" i="6"/>
  <c r="I268" i="6"/>
  <c r="D391" i="6"/>
  <c r="D447" i="6"/>
  <c r="B16" i="6"/>
  <c r="Y90" i="6"/>
  <c r="Z111" i="6"/>
  <c r="M19" i="2"/>
  <c r="D436" i="6"/>
  <c r="AA133" i="6"/>
  <c r="AC51" i="2"/>
  <c r="AA241" i="6"/>
  <c r="B275" i="6"/>
  <c r="B329" i="6"/>
  <c r="Z158" i="6"/>
  <c r="D441" i="6"/>
  <c r="E391" i="6"/>
  <c r="AA186" i="6"/>
  <c r="AA294" i="6"/>
  <c r="D443" i="6"/>
  <c r="W51" i="2"/>
  <c r="AS32" i="6"/>
  <c r="AT32" i="6" s="1"/>
  <c r="AS28" i="6"/>
  <c r="AU28" i="6" s="1"/>
  <c r="AS31" i="6"/>
  <c r="AT31" i="6" s="1"/>
  <c r="AS27" i="6"/>
  <c r="AU27" i="6" s="1"/>
  <c r="AS30" i="6"/>
  <c r="AT30" i="6" s="1"/>
  <c r="Z212" i="6"/>
  <c r="C128" i="6"/>
  <c r="I160" i="6"/>
  <c r="I214" i="6"/>
  <c r="D445" i="6"/>
  <c r="F941" i="30"/>
  <c r="B14" i="6"/>
  <c r="D437" i="6"/>
  <c r="AC46" i="2"/>
  <c r="AC49" i="2"/>
  <c r="D452" i="6"/>
  <c r="AC53" i="2"/>
  <c r="B2" i="6"/>
  <c r="C236" i="6"/>
  <c r="B13" i="6"/>
  <c r="Y198" i="6"/>
  <c r="B2" i="2"/>
  <c r="F942" i="30"/>
  <c r="Z109" i="6"/>
  <c r="AF132" i="6"/>
  <c r="Z215" i="6"/>
  <c r="AB307" i="6"/>
  <c r="D444" i="6"/>
  <c r="AC52" i="2"/>
  <c r="G943" i="30"/>
  <c r="B15" i="6"/>
  <c r="Z104" i="6"/>
  <c r="Z161" i="6"/>
  <c r="AF240" i="6"/>
  <c r="Z269" i="6"/>
  <c r="Z323" i="6"/>
  <c r="D451" i="6"/>
  <c r="AB145" i="6"/>
  <c r="AF294" i="6"/>
  <c r="J347" i="6"/>
  <c r="G941" i="30"/>
  <c r="F944" i="30"/>
  <c r="AB14" i="6"/>
  <c r="B17" i="6"/>
  <c r="AF78" i="6"/>
  <c r="AB91" i="6"/>
  <c r="AA131" i="6"/>
  <c r="AA134" i="6"/>
  <c r="B167" i="6"/>
  <c r="AF186" i="6"/>
  <c r="AB199" i="6"/>
  <c r="AA239" i="6"/>
  <c r="Y252" i="6"/>
  <c r="C290" i="6"/>
  <c r="AA295" i="6"/>
  <c r="J356" i="6"/>
  <c r="D442" i="6"/>
  <c r="D446" i="6"/>
  <c r="D450" i="6"/>
  <c r="D455" i="6"/>
  <c r="W42" i="2"/>
  <c r="AC45" i="2"/>
  <c r="W47" i="2"/>
  <c r="AC50" i="2"/>
  <c r="AT29" i="6"/>
  <c r="C74" i="6"/>
  <c r="AA79" i="6"/>
  <c r="Y144" i="6"/>
  <c r="AA293" i="6"/>
  <c r="D438" i="6"/>
  <c r="AC43" i="2"/>
  <c r="B347" i="6"/>
  <c r="F943" i="30"/>
  <c r="AA77" i="6"/>
  <c r="AA80" i="6"/>
  <c r="B113" i="6"/>
  <c r="AA185" i="6"/>
  <c r="B221" i="6"/>
  <c r="Z320" i="6"/>
  <c r="AC39" i="2"/>
  <c r="AC47" i="2"/>
  <c r="J371" i="6"/>
  <c r="J382" i="6"/>
  <c r="J386" i="6"/>
  <c r="D410" i="6"/>
  <c r="B418" i="6"/>
  <c r="C418" i="6" s="1"/>
  <c r="D414" i="6"/>
  <c r="B422" i="6"/>
  <c r="C422" i="6" s="1"/>
  <c r="B373" i="6"/>
  <c r="W37" i="2"/>
  <c r="B383" i="6"/>
  <c r="W48" i="2"/>
  <c r="G942" i="30"/>
  <c r="B18" i="6"/>
  <c r="J351" i="6"/>
  <c r="J357" i="6"/>
  <c r="J361" i="6"/>
  <c r="J366" i="6"/>
  <c r="D387" i="6"/>
  <c r="C38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B407" i="6"/>
  <c r="C407" i="6" s="1"/>
  <c r="B398" i="6"/>
  <c r="B411" i="6"/>
  <c r="C411" i="6" s="1"/>
  <c r="B485" i="6"/>
  <c r="I106" i="6"/>
  <c r="I52" i="6"/>
  <c r="I322" i="6"/>
  <c r="B425" i="6"/>
  <c r="C425" i="6" s="1"/>
  <c r="AC18" i="2"/>
  <c r="D417" i="6"/>
  <c r="B427" i="6"/>
  <c r="C427" i="6" s="1"/>
  <c r="AC20" i="2"/>
  <c r="D419" i="6"/>
  <c r="B429" i="6"/>
  <c r="C429" i="6" s="1"/>
  <c r="AC22" i="2"/>
  <c r="D421" i="6"/>
  <c r="W24" i="2"/>
  <c r="B358" i="6"/>
  <c r="D424" i="6"/>
  <c r="AC25" i="2"/>
  <c r="B432" i="6"/>
  <c r="C432" i="6" s="1"/>
  <c r="W28" i="2"/>
  <c r="B362" i="6"/>
  <c r="D428" i="6"/>
  <c r="AC29" i="2"/>
  <c r="B436" i="6"/>
  <c r="C436" i="6" s="1"/>
  <c r="AC31" i="2"/>
  <c r="D430" i="6"/>
  <c r="B438" i="6"/>
  <c r="C438" i="6" s="1"/>
  <c r="D432" i="6"/>
  <c r="AC33" i="2"/>
  <c r="B440" i="6"/>
  <c r="C440" i="6" s="1"/>
  <c r="B372" i="6"/>
  <c r="W36" i="2"/>
  <c r="AA242" i="6"/>
  <c r="AA26" i="6"/>
  <c r="AA296" i="6"/>
  <c r="D355" i="6"/>
  <c r="C355" i="6"/>
  <c r="J378" i="6"/>
  <c r="J384" i="6"/>
  <c r="J396" i="6"/>
  <c r="D408" i="6"/>
  <c r="B416" i="6"/>
  <c r="C416" i="6" s="1"/>
  <c r="D412" i="6"/>
  <c r="B420" i="6"/>
  <c r="C420" i="6" s="1"/>
  <c r="Z327" i="6"/>
  <c r="Z165" i="6"/>
  <c r="B481" i="6"/>
  <c r="Z57" i="6"/>
  <c r="Z219" i="6"/>
  <c r="C485" i="6"/>
  <c r="C488" i="6"/>
  <c r="B491" i="6"/>
  <c r="J348" i="6"/>
  <c r="C493" i="6"/>
  <c r="C495" i="6"/>
  <c r="B497" i="6"/>
  <c r="C480" i="6"/>
  <c r="C520" i="6"/>
  <c r="C530" i="6"/>
  <c r="C531" i="6"/>
  <c r="C524" i="6"/>
  <c r="C535" i="6"/>
  <c r="AC35" i="2"/>
  <c r="D434" i="6"/>
  <c r="B442" i="6"/>
  <c r="C442" i="6" s="1"/>
  <c r="B447" i="6"/>
  <c r="C447" i="6" s="1"/>
  <c r="AC40" i="2"/>
  <c r="C376" i="6"/>
  <c r="D376" i="6"/>
  <c r="C382" i="6"/>
  <c r="D382" i="6"/>
  <c r="E387" i="6"/>
  <c r="E355" i="6"/>
  <c r="C374" i="6"/>
  <c r="D374" i="6"/>
  <c r="B388" i="6"/>
  <c r="J394" i="6"/>
  <c r="B396" i="6"/>
  <c r="B405" i="6"/>
  <c r="B409" i="6"/>
  <c r="C409" i="6" s="1"/>
  <c r="D416" i="6"/>
  <c r="B424" i="6"/>
  <c r="C424" i="6" s="1"/>
  <c r="D454" i="6"/>
  <c r="B462" i="6"/>
  <c r="C462" i="6" s="1"/>
  <c r="D405" i="6"/>
  <c r="B413" i="6"/>
  <c r="C413" i="6" s="1"/>
  <c r="AC16" i="2"/>
  <c r="AC17" i="2"/>
  <c r="D406" i="6"/>
  <c r="B414" i="6"/>
  <c r="C414" i="6" s="1"/>
  <c r="D418" i="6"/>
  <c r="AC19" i="2"/>
  <c r="B426" i="6"/>
  <c r="C426" i="6" s="1"/>
  <c r="D420" i="6"/>
  <c r="AC21" i="2"/>
  <c r="B428" i="6"/>
  <c r="C428" i="6" s="1"/>
  <c r="D422" i="6"/>
  <c r="AC23" i="2"/>
  <c r="B430" i="6"/>
  <c r="C430" i="6" s="1"/>
  <c r="Z266" i="6"/>
  <c r="B360" i="6"/>
  <c r="Z50" i="6"/>
  <c r="W26" i="2"/>
  <c r="AC27" i="2"/>
  <c r="D426" i="6"/>
  <c r="B434" i="6"/>
  <c r="C434" i="6" s="1"/>
  <c r="B437" i="6"/>
  <c r="C437" i="6" s="1"/>
  <c r="AC30" i="2"/>
  <c r="D429" i="6"/>
  <c r="B439" i="6"/>
  <c r="C439" i="6" s="1"/>
  <c r="AC32" i="2"/>
  <c r="B441" i="6"/>
  <c r="C441" i="6" s="1"/>
  <c r="AC34" i="2"/>
  <c r="D433" i="6"/>
  <c r="B375" i="6"/>
  <c r="W38" i="2"/>
  <c r="W44" i="2"/>
  <c r="B378" i="6"/>
  <c r="C386" i="6"/>
  <c r="D386" i="6"/>
  <c r="E386" i="6"/>
  <c r="E382" i="6"/>
  <c r="E374" i="6"/>
  <c r="J369" i="6"/>
  <c r="AC41" i="2"/>
  <c r="AB37" i="6"/>
  <c r="C521" i="6"/>
  <c r="C496" i="6"/>
  <c r="C494" i="6"/>
  <c r="C492" i="6"/>
  <c r="J352" i="6"/>
  <c r="J359" i="6"/>
  <c r="B464" i="6"/>
  <c r="C464" i="6" s="1"/>
  <c r="B444" i="6"/>
  <c r="C444" i="6" s="1"/>
  <c r="B412" i="6"/>
  <c r="C412" i="6" s="1"/>
  <c r="B410" i="6"/>
  <c r="C410" i="6" s="1"/>
  <c r="B408" i="6"/>
  <c r="C408" i="6" s="1"/>
  <c r="B370" i="6"/>
  <c r="B366" i="6"/>
  <c r="B354" i="6"/>
  <c r="B350" i="6"/>
  <c r="B59" i="6"/>
  <c r="Z55" i="6"/>
  <c r="Y36" i="6"/>
  <c r="J353" i="6"/>
  <c r="C538" i="6"/>
  <c r="C534" i="6"/>
  <c r="B496" i="6"/>
  <c r="B492" i="6"/>
  <c r="B490" i="6"/>
  <c r="B488" i="6"/>
  <c r="B486" i="6"/>
  <c r="B484" i="6"/>
  <c r="B480" i="6"/>
  <c r="J358" i="6"/>
  <c r="J350" i="6"/>
  <c r="AA25" i="6"/>
  <c r="B379" i="6"/>
  <c r="B371" i="6"/>
  <c r="B367" i="6"/>
  <c r="B363" i="6"/>
  <c r="B359" i="6"/>
  <c r="B349" i="6"/>
  <c r="C20" i="6"/>
  <c r="C537" i="6"/>
  <c r="C533" i="6"/>
  <c r="C527" i="6"/>
  <c r="C523" i="6"/>
  <c r="C497" i="6"/>
  <c r="C489" i="6"/>
  <c r="C487" i="6"/>
  <c r="B483" i="6"/>
  <c r="B465" i="6"/>
  <c r="C465" i="6" s="1"/>
  <c r="B461" i="6"/>
  <c r="C461" i="6" s="1"/>
  <c r="B459" i="6"/>
  <c r="C459" i="6" s="1"/>
  <c r="B457" i="6"/>
  <c r="C457" i="6" s="1"/>
  <c r="B455" i="6"/>
  <c r="C455" i="6" s="1"/>
  <c r="B453" i="6"/>
  <c r="C453" i="6" s="1"/>
  <c r="B451" i="6"/>
  <c r="C451" i="6" s="1"/>
  <c r="B449" i="6"/>
  <c r="C449" i="6" s="1"/>
  <c r="B445" i="6"/>
  <c r="C445" i="6" s="1"/>
  <c r="B443" i="6"/>
  <c r="C443" i="6" s="1"/>
  <c r="B435" i="6"/>
  <c r="C435" i="6" s="1"/>
  <c r="B433" i="6"/>
  <c r="C433" i="6" s="1"/>
  <c r="B431" i="6"/>
  <c r="C431" i="6" s="1"/>
  <c r="B423" i="6"/>
  <c r="C423" i="6" s="1"/>
  <c r="B421" i="6"/>
  <c r="C421" i="6" s="1"/>
  <c r="B419" i="6"/>
  <c r="C419" i="6" s="1"/>
  <c r="B417" i="6"/>
  <c r="C417" i="6" s="1"/>
  <c r="B415" i="6"/>
  <c r="C415" i="6" s="1"/>
  <c r="B384" i="6"/>
  <c r="B380" i="6"/>
  <c r="B368" i="6"/>
  <c r="B364" i="6"/>
  <c r="B356" i="6"/>
  <c r="B352" i="6"/>
  <c r="B348" i="6"/>
  <c r="J381" i="6"/>
  <c r="AF24" i="6"/>
  <c r="J367" i="6"/>
  <c r="J379" i="6"/>
  <c r="J383" i="6"/>
  <c r="J385" i="6"/>
  <c r="J388" i="6"/>
  <c r="B397" i="6"/>
  <c r="B401" i="6"/>
  <c r="D407" i="6"/>
  <c r="D409" i="6"/>
  <c r="D411" i="6"/>
  <c r="D440" i="6"/>
  <c r="D456" i="6"/>
  <c r="B479" i="6"/>
  <c r="W16" i="2"/>
  <c r="W17" i="2"/>
  <c r="W18" i="2"/>
  <c r="W19" i="2"/>
  <c r="W20" i="2"/>
  <c r="W21" i="2"/>
  <c r="W22" i="2"/>
  <c r="W23" i="2"/>
  <c r="AC24" i="2"/>
  <c r="W25" i="2"/>
  <c r="AC26" i="2"/>
  <c r="W27" i="2"/>
  <c r="AC28" i="2"/>
  <c r="W29" i="2"/>
  <c r="W30" i="2"/>
  <c r="W31" i="2"/>
  <c r="W32" i="2"/>
  <c r="W33" i="2"/>
  <c r="W34" i="2"/>
  <c r="AC44" i="2"/>
  <c r="AC48" i="2"/>
  <c r="Z53" i="6"/>
  <c r="C536" i="6"/>
  <c r="C532" i="6"/>
  <c r="C526" i="6"/>
  <c r="C522" i="6"/>
  <c r="B495" i="6"/>
  <c r="B493" i="6"/>
  <c r="B489" i="6"/>
  <c r="B487" i="6"/>
  <c r="C482" i="6"/>
  <c r="B482" i="6"/>
  <c r="J364" i="6"/>
  <c r="J372" i="6"/>
  <c r="J373" i="6"/>
  <c r="K944" i="17" s="1"/>
  <c r="B406" i="6"/>
  <c r="C406" i="6" s="1"/>
  <c r="B389" i="6"/>
  <c r="B385" i="6"/>
  <c r="B381" i="6"/>
  <c r="B377" i="6"/>
  <c r="B369" i="6"/>
  <c r="B365" i="6"/>
  <c r="B361" i="6"/>
  <c r="B357" i="6"/>
  <c r="B353" i="6"/>
  <c r="B351" i="6"/>
  <c r="AA23" i="6"/>
  <c r="J395" i="6"/>
  <c r="O21" i="2" l="1"/>
  <c r="M25" i="2" s="1"/>
  <c r="M26" i="2"/>
  <c r="AD28" i="73" s="1"/>
  <c r="M28" i="2"/>
  <c r="AD32" i="73" s="1"/>
  <c r="M29" i="2"/>
  <c r="AD34" i="73" s="1"/>
  <c r="M27" i="2"/>
  <c r="AD30" i="73" s="1"/>
  <c r="AG54" i="6"/>
  <c r="H22" i="6" s="1"/>
  <c r="AT28" i="6"/>
  <c r="AT27" i="6"/>
  <c r="AF295" i="6"/>
  <c r="AI296" i="6"/>
  <c r="BD295" i="6" s="1" a="1"/>
  <c r="AI242" i="6"/>
  <c r="BD241" i="6" s="1" a="1"/>
  <c r="AF241" i="6"/>
  <c r="AF133" i="6"/>
  <c r="AI134" i="6"/>
  <c r="BD133" i="6" s="1" a="1"/>
  <c r="AI188" i="6"/>
  <c r="BD187" i="6" s="1" a="1"/>
  <c r="AF187" i="6"/>
  <c r="AI80" i="6"/>
  <c r="BD79" i="6" s="1" a="1"/>
  <c r="AF79" i="6"/>
  <c r="AF27" i="6"/>
  <c r="AF28" i="6"/>
  <c r="AI26" i="6"/>
  <c r="AJ31" i="6" s="1"/>
  <c r="AK31" i="6" s="1"/>
  <c r="AF26" i="6"/>
  <c r="AF25" i="6"/>
  <c r="C356" i="6"/>
  <c r="D356" i="6"/>
  <c r="E356" i="6"/>
  <c r="C384" i="6"/>
  <c r="D384" i="6"/>
  <c r="E384" i="6"/>
  <c r="C357" i="6"/>
  <c r="D357" i="6"/>
  <c r="E357" i="6"/>
  <c r="C377" i="6"/>
  <c r="D377" i="6"/>
  <c r="E377" i="6"/>
  <c r="AG28" i="6"/>
  <c r="AF23" i="6" s="1"/>
  <c r="AA28" i="6" s="1"/>
  <c r="AG82" i="6"/>
  <c r="AF77" i="6" s="1"/>
  <c r="AA82" i="6" s="1"/>
  <c r="AG136" i="6"/>
  <c r="AF131" i="6" s="1"/>
  <c r="AA136" i="6" s="1"/>
  <c r="AG244" i="6"/>
  <c r="AF239" i="6" s="1"/>
  <c r="AA244" i="6" s="1"/>
  <c r="AG298" i="6"/>
  <c r="AF293" i="6" s="1"/>
  <c r="AA298" i="6" s="1"/>
  <c r="AG190" i="6"/>
  <c r="AF185" i="6" s="1"/>
  <c r="AA190" i="6" s="1"/>
  <c r="C364" i="6"/>
  <c r="D364" i="6"/>
  <c r="E364" i="6"/>
  <c r="D367" i="6"/>
  <c r="C367" i="6"/>
  <c r="E367" i="6"/>
  <c r="AJ26" i="6"/>
  <c r="AK26" i="6" s="1"/>
  <c r="AA27" i="6"/>
  <c r="AH27" i="6"/>
  <c r="AL23" i="6" s="1"/>
  <c r="AN23" i="6" s="1"/>
  <c r="AA29" i="6"/>
  <c r="AJ27" i="6"/>
  <c r="AK27" i="6" s="1"/>
  <c r="AF296" i="6"/>
  <c r="AF80" i="6"/>
  <c r="AJ242" i="6"/>
  <c r="AK242" i="6" s="1"/>
  <c r="AJ296" i="6"/>
  <c r="AK296" i="6" s="1"/>
  <c r="AP243" i="6" a="1"/>
  <c r="AJ188" i="6"/>
  <c r="AK188" i="6" s="1"/>
  <c r="AH297" i="6"/>
  <c r="AL293" i="6" s="1"/>
  <c r="AN293" i="6" s="1"/>
  <c r="AA299" i="6"/>
  <c r="AH243" i="6"/>
  <c r="AA243" i="6"/>
  <c r="AH189" i="6"/>
  <c r="AH135" i="6"/>
  <c r="AF242" i="6"/>
  <c r="AF188" i="6"/>
  <c r="AF134" i="6"/>
  <c r="AA83" i="6"/>
  <c r="AA81" i="6"/>
  <c r="AJ134" i="6"/>
  <c r="AK134" i="6" s="1"/>
  <c r="AA245" i="6"/>
  <c r="AA135" i="6"/>
  <c r="AJ81" i="6"/>
  <c r="AK81" i="6" s="1"/>
  <c r="AH81" i="6"/>
  <c r="AP189" i="6" a="1"/>
  <c r="AJ297" i="6"/>
  <c r="AK297" i="6" s="1"/>
  <c r="AJ135" i="6"/>
  <c r="AK135" i="6" s="1"/>
  <c r="AJ243" i="6"/>
  <c r="AK243" i="6" s="1"/>
  <c r="AA189" i="6"/>
  <c r="AJ80" i="6"/>
  <c r="AK80" i="6" s="1"/>
  <c r="AJ189" i="6"/>
  <c r="AK189" i="6" s="1"/>
  <c r="AA191" i="6"/>
  <c r="AA137" i="6"/>
  <c r="AP297" i="6" a="1"/>
  <c r="AA297" i="6"/>
  <c r="AP135" i="6" a="1"/>
  <c r="C370" i="6"/>
  <c r="D370" i="6"/>
  <c r="E370" i="6"/>
  <c r="C388" i="6"/>
  <c r="D388" i="6"/>
  <c r="E388" i="6"/>
  <c r="AJ53" i="6"/>
  <c r="AJ61" i="6"/>
  <c r="AH36" i="6"/>
  <c r="AH37" i="6"/>
  <c r="AJ49" i="6"/>
  <c r="AY49" i="6" s="1"/>
  <c r="AJ50" i="6"/>
  <c r="AY50" i="6" s="1"/>
  <c r="AJ51" i="6"/>
  <c r="AY51" i="6" s="1"/>
  <c r="AG52" i="6"/>
  <c r="AJ54" i="6"/>
  <c r="AY54" i="6" s="1"/>
  <c r="AJ58" i="6"/>
  <c r="AY58" i="6" s="1"/>
  <c r="AJ63" i="6"/>
  <c r="AY63" i="6" s="1"/>
  <c r="AJ62" i="6"/>
  <c r="AA34" i="6"/>
  <c r="AH35" i="6"/>
  <c r="AJ59" i="6"/>
  <c r="AA30" i="6"/>
  <c r="AA31" i="6"/>
  <c r="AH34" i="6"/>
  <c r="AG50" i="6"/>
  <c r="AG51" i="6"/>
  <c r="AJ52" i="6"/>
  <c r="AY52" i="6" s="1"/>
  <c r="AJ55" i="6"/>
  <c r="AY55" i="6" s="1"/>
  <c r="AJ60" i="6"/>
  <c r="AG53" i="6"/>
  <c r="AJ56" i="6"/>
  <c r="AY56" i="6" s="1"/>
  <c r="AJ57" i="6"/>
  <c r="AY57" i="6" s="1"/>
  <c r="AH89" i="6"/>
  <c r="AA88" i="6"/>
  <c r="AH88" i="6"/>
  <c r="AG323" i="6"/>
  <c r="AA301" i="6"/>
  <c r="AJ333" i="6"/>
  <c r="AY333" i="6" s="1"/>
  <c r="AG269" i="6"/>
  <c r="AA247" i="6"/>
  <c r="AJ279" i="6"/>
  <c r="AY279" i="6" s="1"/>
  <c r="AJ223" i="6"/>
  <c r="AJ214" i="6"/>
  <c r="AY214" i="6" s="1"/>
  <c r="AJ211" i="6"/>
  <c r="AY211" i="6" s="1"/>
  <c r="AJ219" i="6"/>
  <c r="AY219" i="6" s="1"/>
  <c r="AJ216" i="6"/>
  <c r="AY216" i="6" s="1"/>
  <c r="AH196" i="6"/>
  <c r="AJ220" i="6"/>
  <c r="AY220" i="6" s="1"/>
  <c r="AA196" i="6"/>
  <c r="AA193" i="6"/>
  <c r="AJ213" i="6"/>
  <c r="AY213" i="6" s="1"/>
  <c r="AJ158" i="6"/>
  <c r="AY158" i="6" s="1"/>
  <c r="AH144" i="6"/>
  <c r="AJ165" i="6"/>
  <c r="AY165" i="6" s="1"/>
  <c r="AJ162" i="6"/>
  <c r="AY162" i="6" s="1"/>
  <c r="AH142" i="6"/>
  <c r="AG160" i="6"/>
  <c r="AA142" i="6"/>
  <c r="AJ110" i="6"/>
  <c r="AY110" i="6" s="1"/>
  <c r="AJ107" i="6"/>
  <c r="AJ112" i="6"/>
  <c r="AY112" i="6" s="1"/>
  <c r="AG106" i="6"/>
  <c r="AJ109" i="6"/>
  <c r="AY109" i="6" s="1"/>
  <c r="AH91" i="6"/>
  <c r="AJ320" i="6"/>
  <c r="AY320" i="6" s="1"/>
  <c r="AH306" i="6"/>
  <c r="AJ327" i="6"/>
  <c r="AY327" i="6" s="1"/>
  <c r="AJ324" i="6"/>
  <c r="AY324" i="6" s="1"/>
  <c r="AH304" i="6"/>
  <c r="AJ328" i="6"/>
  <c r="AY328" i="6" s="1"/>
  <c r="AA304" i="6"/>
  <c r="AA300" i="6"/>
  <c r="AG320" i="6"/>
  <c r="AJ266" i="6"/>
  <c r="AY266" i="6" s="1"/>
  <c r="AH252" i="6"/>
  <c r="AJ273" i="6"/>
  <c r="AY273" i="6" s="1"/>
  <c r="AJ270" i="6"/>
  <c r="AY270" i="6" s="1"/>
  <c r="AH250" i="6"/>
  <c r="AJ274" i="6"/>
  <c r="AY274" i="6" s="1"/>
  <c r="AA250" i="6"/>
  <c r="AA246" i="6"/>
  <c r="AG266" i="6"/>
  <c r="AG215" i="6"/>
  <c r="AJ224" i="6"/>
  <c r="AH199" i="6"/>
  <c r="AJ221" i="6"/>
  <c r="AH197" i="6"/>
  <c r="AG214" i="6"/>
  <c r="AJ163" i="6"/>
  <c r="AY163" i="6" s="1"/>
  <c r="AJ170" i="6"/>
  <c r="AH145" i="6"/>
  <c r="AJ166" i="6"/>
  <c r="AY166" i="6" s="1"/>
  <c r="AJ168" i="6"/>
  <c r="AH143" i="6"/>
  <c r="AA138" i="6"/>
  <c r="AJ113" i="6"/>
  <c r="AJ114" i="6"/>
  <c r="AG104" i="6"/>
  <c r="AJ106" i="6"/>
  <c r="AY106" i="6" s="1"/>
  <c r="AH90" i="6"/>
  <c r="AJ322" i="6"/>
  <c r="AY322" i="6" s="1"/>
  <c r="AJ323" i="6"/>
  <c r="AG321" i="6"/>
  <c r="AJ321" i="6"/>
  <c r="AY321" i="6" s="1"/>
  <c r="AJ277" i="6"/>
  <c r="AJ265" i="6"/>
  <c r="AY265" i="6" s="1"/>
  <c r="AJ272" i="6"/>
  <c r="AY272" i="6" s="1"/>
  <c r="AJ276" i="6"/>
  <c r="AJ225" i="6"/>
  <c r="AY225" i="6" s="1"/>
  <c r="AG161" i="6"/>
  <c r="AA139" i="6"/>
  <c r="AJ159" i="6"/>
  <c r="AY159" i="6" s="1"/>
  <c r="AJ116" i="6"/>
  <c r="AJ117" i="6"/>
  <c r="AY117" i="6" s="1"/>
  <c r="AJ105" i="6"/>
  <c r="AY105" i="6" s="1"/>
  <c r="AJ115" i="6"/>
  <c r="AA85" i="6"/>
  <c r="AJ332" i="6"/>
  <c r="AH307" i="6"/>
  <c r="AH305" i="6"/>
  <c r="AJ271" i="6"/>
  <c r="AY271" i="6" s="1"/>
  <c r="AJ275" i="6"/>
  <c r="AG268" i="6"/>
  <c r="AJ212" i="6"/>
  <c r="AY212" i="6" s="1"/>
  <c r="AJ218" i="6"/>
  <c r="AY218" i="6" s="1"/>
  <c r="AJ222" i="6"/>
  <c r="AG212" i="6"/>
  <c r="AJ160" i="6"/>
  <c r="AY160" i="6" s="1"/>
  <c r="AJ161" i="6"/>
  <c r="AG158" i="6"/>
  <c r="AJ111" i="6"/>
  <c r="AY111" i="6" s="1"/>
  <c r="AJ104" i="6"/>
  <c r="AY104" i="6" s="1"/>
  <c r="AJ103" i="6"/>
  <c r="AY103" i="6" s="1"/>
  <c r="AJ331" i="6"/>
  <c r="AJ319" i="6"/>
  <c r="AY319" i="6" s="1"/>
  <c r="AJ326" i="6"/>
  <c r="AY326" i="6" s="1"/>
  <c r="AJ330" i="6"/>
  <c r="AJ268" i="6"/>
  <c r="AY268" i="6" s="1"/>
  <c r="AJ269" i="6"/>
  <c r="AG267" i="6"/>
  <c r="AJ267" i="6"/>
  <c r="AY267" i="6" s="1"/>
  <c r="AJ217" i="6"/>
  <c r="AY217" i="6" s="1"/>
  <c r="AJ171" i="6"/>
  <c r="AY171" i="6" s="1"/>
  <c r="AG159" i="6"/>
  <c r="AA84" i="6"/>
  <c r="AJ325" i="6"/>
  <c r="AY325" i="6" s="1"/>
  <c r="AJ329" i="6"/>
  <c r="AG322" i="6"/>
  <c r="AJ278" i="6"/>
  <c r="AH253" i="6"/>
  <c r="AH251" i="6"/>
  <c r="AH198" i="6"/>
  <c r="AJ215" i="6"/>
  <c r="AG213" i="6"/>
  <c r="AA192" i="6"/>
  <c r="AJ164" i="6"/>
  <c r="AY164" i="6" s="1"/>
  <c r="AG107" i="6"/>
  <c r="AJ169" i="6"/>
  <c r="AJ167" i="6"/>
  <c r="AJ108" i="6"/>
  <c r="AY108" i="6" s="1"/>
  <c r="AJ157" i="6"/>
  <c r="AY157" i="6" s="1"/>
  <c r="AG105" i="6"/>
  <c r="C358" i="6"/>
  <c r="D358" i="6"/>
  <c r="E358" i="6"/>
  <c r="AM197" i="6"/>
  <c r="AN197" i="6" s="1"/>
  <c r="AO197" i="6" s="1"/>
  <c r="AM305" i="6"/>
  <c r="AN305" i="6" s="1"/>
  <c r="AO305" i="6" s="1"/>
  <c r="AM142" i="6"/>
  <c r="AN142" i="6" s="1"/>
  <c r="AO142" i="6" s="1"/>
  <c r="AM145" i="6"/>
  <c r="AN145" i="6" s="1"/>
  <c r="AO145" i="6" s="1"/>
  <c r="AM144" i="6"/>
  <c r="AN144" i="6" s="1"/>
  <c r="AO144" i="6" s="1"/>
  <c r="AM306" i="6"/>
  <c r="AN306" i="6" s="1"/>
  <c r="AO306" i="6" s="1"/>
  <c r="AM308" i="6"/>
  <c r="AN308" i="6" s="1"/>
  <c r="AO308" i="6" s="1"/>
  <c r="AM198" i="6"/>
  <c r="AN198" i="6" s="1"/>
  <c r="AO198" i="6" s="1"/>
  <c r="AM91" i="6"/>
  <c r="AN91" i="6" s="1"/>
  <c r="AO91" i="6" s="1"/>
  <c r="AM252" i="6"/>
  <c r="AN252" i="6" s="1"/>
  <c r="AO252" i="6" s="1"/>
  <c r="AM90" i="6"/>
  <c r="AN90" i="6" s="1"/>
  <c r="AO90" i="6" s="1"/>
  <c r="AM304" i="6"/>
  <c r="AN304" i="6" s="1"/>
  <c r="AO304" i="6" s="1"/>
  <c r="AM253" i="6"/>
  <c r="AN253" i="6" s="1"/>
  <c r="AO253" i="6" s="1"/>
  <c r="AM92" i="6"/>
  <c r="AN92" i="6" s="1"/>
  <c r="AO92" i="6" s="1"/>
  <c r="AM141" i="6"/>
  <c r="AN141" i="6" s="1"/>
  <c r="AO141" i="6" s="1"/>
  <c r="AM303" i="6"/>
  <c r="AN303" i="6" s="1"/>
  <c r="AO303" i="6" s="1"/>
  <c r="AM200" i="6"/>
  <c r="AN200" i="6" s="1"/>
  <c r="AO200" i="6" s="1"/>
  <c r="AM249" i="6"/>
  <c r="AN249" i="6" s="1"/>
  <c r="AO249" i="6" s="1"/>
  <c r="AM250" i="6"/>
  <c r="AN250" i="6" s="1"/>
  <c r="AO250" i="6" s="1"/>
  <c r="AM87" i="6"/>
  <c r="AN87" i="6" s="1"/>
  <c r="AO87" i="6" s="1"/>
  <c r="AM89" i="6"/>
  <c r="AN89" i="6" s="1"/>
  <c r="AO89" i="6" s="1"/>
  <c r="AM199" i="6"/>
  <c r="AN199" i="6" s="1"/>
  <c r="AO199" i="6" s="1"/>
  <c r="AM251" i="6"/>
  <c r="AN251" i="6" s="1"/>
  <c r="AO251" i="6" s="1"/>
  <c r="AM88" i="6"/>
  <c r="AN88" i="6" s="1"/>
  <c r="AO88" i="6" s="1"/>
  <c r="AM143" i="6"/>
  <c r="AN143" i="6" s="1"/>
  <c r="AO143" i="6" s="1"/>
  <c r="AM146" i="6"/>
  <c r="AN146" i="6" s="1"/>
  <c r="AO146" i="6" s="1"/>
  <c r="AM307" i="6"/>
  <c r="AN307" i="6" s="1"/>
  <c r="AO307" i="6" s="1"/>
  <c r="AM195" i="6"/>
  <c r="AN195" i="6" s="1"/>
  <c r="AO195" i="6" s="1"/>
  <c r="AM196" i="6"/>
  <c r="AN196" i="6" s="1"/>
  <c r="AO196" i="6" s="1"/>
  <c r="AM254" i="6"/>
  <c r="AN254" i="6" s="1"/>
  <c r="AO254" i="6" s="1"/>
  <c r="D383" i="6"/>
  <c r="C383" i="6"/>
  <c r="E383" i="6"/>
  <c r="C373" i="6"/>
  <c r="AG23" i="6" s="1"/>
  <c r="AH23" i="6" s="1"/>
  <c r="AI23" i="6" s="1"/>
  <c r="D373" i="6"/>
  <c r="E373" i="6"/>
  <c r="C348" i="6"/>
  <c r="D348" i="6"/>
  <c r="AJ239" i="6"/>
  <c r="AM239" i="6" s="1"/>
  <c r="AG131" i="6"/>
  <c r="AH131" i="6" s="1"/>
  <c r="AI131" i="6" s="1"/>
  <c r="E348" i="6"/>
  <c r="AJ293" i="6"/>
  <c r="AM293" i="6" s="1"/>
  <c r="AG239" i="6"/>
  <c r="AH239" i="6" s="1"/>
  <c r="AI239" i="6" s="1"/>
  <c r="AJ185" i="6"/>
  <c r="AM185" i="6" s="1"/>
  <c r="AG185" i="6"/>
  <c r="AH185" i="6" s="1"/>
  <c r="AI185" i="6" s="1"/>
  <c r="AL239" i="6"/>
  <c r="AN239" i="6" s="1"/>
  <c r="AL77" i="6"/>
  <c r="AN77" i="6" s="1"/>
  <c r="AL131" i="6"/>
  <c r="AN131" i="6" s="1"/>
  <c r="AL185" i="6"/>
  <c r="AN185" i="6" s="1"/>
  <c r="AG293" i="6"/>
  <c r="AH293" i="6" s="1"/>
  <c r="AI293" i="6" s="1"/>
  <c r="AJ131" i="6"/>
  <c r="AM131" i="6" s="1"/>
  <c r="C368" i="6"/>
  <c r="D368" i="6"/>
  <c r="E368" i="6"/>
  <c r="D349" i="6"/>
  <c r="C349" i="6"/>
  <c r="E349" i="6"/>
  <c r="D371" i="6"/>
  <c r="C371" i="6"/>
  <c r="E371" i="6"/>
  <c r="C350" i="6"/>
  <c r="D350" i="6"/>
  <c r="E350" i="6"/>
  <c r="C378" i="6"/>
  <c r="D378" i="6"/>
  <c r="E378" i="6"/>
  <c r="C372" i="6"/>
  <c r="D372" i="6"/>
  <c r="AF29" i="6"/>
  <c r="AF299" i="6"/>
  <c r="AF137" i="6"/>
  <c r="AF83" i="6"/>
  <c r="E372" i="6"/>
  <c r="AF245" i="6"/>
  <c r="AF191" i="6"/>
  <c r="C362" i="6"/>
  <c r="D362" i="6"/>
  <c r="E362" i="6"/>
  <c r="AF243" i="6"/>
  <c r="AF189" i="6"/>
  <c r="AF135" i="6"/>
  <c r="AF297" i="6"/>
  <c r="AF81" i="6"/>
  <c r="AG48" i="6"/>
  <c r="C361" i="6"/>
  <c r="D361" i="6"/>
  <c r="E361" i="6"/>
  <c r="C381" i="6"/>
  <c r="D381" i="6"/>
  <c r="E381" i="6"/>
  <c r="D351" i="6"/>
  <c r="C351" i="6"/>
  <c r="E351" i="6"/>
  <c r="C365" i="6"/>
  <c r="D365" i="6"/>
  <c r="E365" i="6"/>
  <c r="C385" i="6"/>
  <c r="D385" i="6"/>
  <c r="E385" i="6"/>
  <c r="C352" i="6"/>
  <c r="D352" i="6"/>
  <c r="E352" i="6"/>
  <c r="C380" i="6"/>
  <c r="D380" i="6"/>
  <c r="E380" i="6"/>
  <c r="D359" i="6"/>
  <c r="C359" i="6"/>
  <c r="E359" i="6"/>
  <c r="D379" i="6"/>
  <c r="C379" i="6"/>
  <c r="E379" i="6"/>
  <c r="AN39" i="6"/>
  <c r="AO39" i="6" s="1"/>
  <c r="AN41" i="6"/>
  <c r="AO41" i="6" s="1"/>
  <c r="AN40" i="6"/>
  <c r="AO40" i="6" s="1"/>
  <c r="AN256" i="6"/>
  <c r="AO256" i="6" s="1"/>
  <c r="AN95" i="6"/>
  <c r="AO95" i="6" s="1"/>
  <c r="AN310" i="6"/>
  <c r="AO310" i="6" s="1"/>
  <c r="AN149" i="6"/>
  <c r="AO149" i="6" s="1"/>
  <c r="AN309" i="6"/>
  <c r="AO309" i="6" s="1"/>
  <c r="AN148" i="6"/>
  <c r="AO148" i="6" s="1"/>
  <c r="AN202" i="6"/>
  <c r="AO202" i="6" s="1"/>
  <c r="AN311" i="6"/>
  <c r="AO311" i="6" s="1"/>
  <c r="AN257" i="6"/>
  <c r="AO257" i="6" s="1"/>
  <c r="AN94" i="6"/>
  <c r="AO94" i="6" s="1"/>
  <c r="AN93" i="6"/>
  <c r="AO93" i="6" s="1"/>
  <c r="AN201" i="6"/>
  <c r="AO201" i="6" s="1"/>
  <c r="AN255" i="6"/>
  <c r="AO255" i="6" s="1"/>
  <c r="AN203" i="6"/>
  <c r="AO203" i="6" s="1"/>
  <c r="AN147" i="6"/>
  <c r="AO147" i="6" s="1"/>
  <c r="C354" i="6"/>
  <c r="D354" i="6"/>
  <c r="AJ23" i="6" s="1"/>
  <c r="AM23" i="6" s="1"/>
  <c r="E354" i="6"/>
  <c r="D375" i="6"/>
  <c r="C375" i="6"/>
  <c r="E375" i="6"/>
  <c r="C353" i="6"/>
  <c r="D353" i="6"/>
  <c r="E353" i="6"/>
  <c r="C369" i="6"/>
  <c r="D369" i="6"/>
  <c r="E369" i="6"/>
  <c r="C389" i="6"/>
  <c r="D389" i="6"/>
  <c r="E389" i="6"/>
  <c r="D363" i="6"/>
  <c r="AJ77" i="6" s="1"/>
  <c r="AM77" i="6" s="1"/>
  <c r="C363" i="6"/>
  <c r="AG77" i="6" s="1"/>
  <c r="AH77" i="6" s="1"/>
  <c r="AI77" i="6" s="1"/>
  <c r="E363" i="6"/>
  <c r="C366" i="6"/>
  <c r="D366" i="6"/>
  <c r="E366" i="6"/>
  <c r="AJ30" i="6"/>
  <c r="AK30" i="6" s="1"/>
  <c r="AJ34" i="6"/>
  <c r="AK34" i="6" s="1"/>
  <c r="AJ29" i="6"/>
  <c r="AK29" i="6" s="1"/>
  <c r="AJ33" i="6"/>
  <c r="AK33" i="6" s="1"/>
  <c r="AJ36" i="6"/>
  <c r="AK36" i="6" s="1"/>
  <c r="AJ28" i="6"/>
  <c r="AK28" i="6" s="1"/>
  <c r="AJ32" i="6"/>
  <c r="AK32" i="6" s="1"/>
  <c r="AJ35" i="6"/>
  <c r="AK35" i="6" s="1"/>
  <c r="AF190" i="6"/>
  <c r="AJ305" i="6"/>
  <c r="AK305" i="6" s="1"/>
  <c r="AJ250" i="6"/>
  <c r="AK250" i="6" s="1"/>
  <c r="AJ195" i="6"/>
  <c r="AK195" i="6" s="1"/>
  <c r="AJ144" i="6"/>
  <c r="AK144" i="6" s="1"/>
  <c r="AJ136" i="6"/>
  <c r="AK136" i="6" s="1"/>
  <c r="AJ300" i="6"/>
  <c r="AK300" i="6" s="1"/>
  <c r="AJ245" i="6"/>
  <c r="AK245" i="6" s="1"/>
  <c r="AJ194" i="6"/>
  <c r="AK194" i="6" s="1"/>
  <c r="AJ143" i="6"/>
  <c r="AK143" i="6" s="1"/>
  <c r="AJ299" i="6"/>
  <c r="AK299" i="6" s="1"/>
  <c r="AJ248" i="6"/>
  <c r="AK248" i="6" s="1"/>
  <c r="AJ197" i="6"/>
  <c r="AK197" i="6" s="1"/>
  <c r="AJ142" i="6"/>
  <c r="AK142" i="6" s="1"/>
  <c r="AJ306" i="6"/>
  <c r="AK306" i="6" s="1"/>
  <c r="AJ298" i="6"/>
  <c r="AK298" i="6" s="1"/>
  <c r="AJ247" i="6"/>
  <c r="AK247" i="6" s="1"/>
  <c r="AJ192" i="6"/>
  <c r="AK192" i="6" s="1"/>
  <c r="AJ137" i="6"/>
  <c r="AK137" i="6" s="1"/>
  <c r="AF136" i="6"/>
  <c r="AF298" i="6"/>
  <c r="AF82" i="6"/>
  <c r="AF244" i="6"/>
  <c r="AJ84" i="6"/>
  <c r="AK84" i="6" s="1"/>
  <c r="AJ88" i="6"/>
  <c r="AK88" i="6" s="1"/>
  <c r="AJ83" i="6"/>
  <c r="AK83" i="6" s="1"/>
  <c r="AJ89" i="6"/>
  <c r="AK89" i="6" s="1"/>
  <c r="AJ86" i="6"/>
  <c r="AK86" i="6" s="1"/>
  <c r="AJ82" i="6"/>
  <c r="AK82" i="6" s="1"/>
  <c r="AJ90" i="6"/>
  <c r="AK90" i="6" s="1"/>
  <c r="AJ139" i="6"/>
  <c r="AK139" i="6" s="1"/>
  <c r="AJ246" i="6"/>
  <c r="AK246" i="6" s="1"/>
  <c r="AJ140" i="6"/>
  <c r="AK140" i="6" s="1"/>
  <c r="AJ249" i="6"/>
  <c r="AK249" i="6" s="1"/>
  <c r="AJ190" i="6"/>
  <c r="AK190" i="6" s="1"/>
  <c r="AJ252" i="6"/>
  <c r="AK252" i="6" s="1"/>
  <c r="AJ193" i="6"/>
  <c r="AK193" i="6" s="1"/>
  <c r="AJ302" i="6"/>
  <c r="AK302" i="6" s="1"/>
  <c r="AJ196" i="6"/>
  <c r="AK196" i="6" s="1"/>
  <c r="AJ87" i="6"/>
  <c r="AK87" i="6" s="1"/>
  <c r="AJ85" i="6"/>
  <c r="AK85" i="6" s="1"/>
  <c r="AJ301" i="6"/>
  <c r="AK301" i="6" s="1"/>
  <c r="AJ191" i="6"/>
  <c r="AK191" i="6" s="1"/>
  <c r="AJ304" i="6"/>
  <c r="AK304" i="6" s="1"/>
  <c r="AJ198" i="6"/>
  <c r="AK198" i="6" s="1"/>
  <c r="AJ303" i="6"/>
  <c r="AK303" i="6" s="1"/>
  <c r="AJ244" i="6"/>
  <c r="AK244" i="6" s="1"/>
  <c r="AJ138" i="6"/>
  <c r="AK138" i="6" s="1"/>
  <c r="AJ251" i="6"/>
  <c r="AK251" i="6" s="1"/>
  <c r="AJ141" i="6"/>
  <c r="AK141" i="6" s="1"/>
  <c r="AG108" i="6"/>
  <c r="AG45" i="6"/>
  <c r="AG324" i="6"/>
  <c r="AG46" i="6"/>
  <c r="AG162" i="6"/>
  <c r="AG207" i="6"/>
  <c r="AL187" i="6" s="1"/>
  <c r="AG216" i="6"/>
  <c r="AG270" i="6"/>
  <c r="AG315" i="6"/>
  <c r="AL295" i="6" s="1"/>
  <c r="AG153" i="6"/>
  <c r="AL133" i="6" s="1"/>
  <c r="AG261" i="6"/>
  <c r="AL241" i="6" s="1"/>
  <c r="AG99" i="6"/>
  <c r="AL79" i="6" s="1"/>
  <c r="C360" i="6"/>
  <c r="D360" i="6"/>
  <c r="E360" i="6"/>
  <c r="AP23" i="6"/>
  <c r="AR23" i="6" s="1"/>
  <c r="AS23" i="6" s="1"/>
  <c r="C405" i="6"/>
  <c r="AP185" i="6"/>
  <c r="AR185" i="6" s="1"/>
  <c r="AS185" i="6" s="1"/>
  <c r="AP131" i="6"/>
  <c r="AR131" i="6" s="1"/>
  <c r="AS131" i="6" s="1"/>
  <c r="AP77" i="6"/>
  <c r="AR77" i="6" s="1"/>
  <c r="AS77" i="6" s="1"/>
  <c r="AP239" i="6"/>
  <c r="AR239" i="6" s="1"/>
  <c r="AS239" i="6" s="1"/>
  <c r="AP293" i="6"/>
  <c r="AR293" i="6" s="1"/>
  <c r="AS293" i="6" s="1"/>
  <c r="BG241" i="6" l="1" a="1"/>
  <c r="BF241" i="6" a="1"/>
  <c r="AI253" i="6"/>
  <c r="AI243" i="6"/>
  <c r="AM243" i="6" s="1"/>
  <c r="AN243" i="6" s="1"/>
  <c r="AO243" i="6" s="1"/>
  <c r="AP276" i="6"/>
  <c r="AW276" i="6" s="1"/>
  <c r="AN275" i="6"/>
  <c r="AU275" i="6" s="1"/>
  <c r="AI261" i="6"/>
  <c r="AN277" i="6"/>
  <c r="AU277" i="6" s="1"/>
  <c r="AI248" i="6"/>
  <c r="AM248" i="6" s="1"/>
  <c r="AN248" i="6" s="1"/>
  <c r="AO248" i="6" s="1"/>
  <c r="AR277" i="6"/>
  <c r="AX277" i="6" s="1"/>
  <c r="AI257" i="6"/>
  <c r="AI254" i="6"/>
  <c r="AI259" i="6"/>
  <c r="BB241" i="6" a="1"/>
  <c r="AP278" i="6"/>
  <c r="AW278" i="6" s="1"/>
  <c r="AR275" i="6"/>
  <c r="AX275" i="6" s="1"/>
  <c r="AI256" i="6"/>
  <c r="AI258" i="6"/>
  <c r="AI245" i="6"/>
  <c r="AM245" i="6" s="1"/>
  <c r="AN245" i="6" s="1"/>
  <c r="AO245" i="6" s="1"/>
  <c r="AN278" i="6"/>
  <c r="AU278" i="6" s="1"/>
  <c r="AI249" i="6"/>
  <c r="AI263" i="6"/>
  <c r="AI246" i="6"/>
  <c r="AM246" i="6" s="1"/>
  <c r="AN246" i="6" s="1"/>
  <c r="AO246" i="6" s="1"/>
  <c r="AR276" i="6"/>
  <c r="AX276" i="6" s="1"/>
  <c r="AP275" i="6"/>
  <c r="AW275" i="6" s="1"/>
  <c r="AI250" i="6"/>
  <c r="AP277" i="6"/>
  <c r="AW277" i="6" s="1"/>
  <c r="AI262" i="6"/>
  <c r="AN276" i="6"/>
  <c r="AU276" i="6" s="1"/>
  <c r="AY276" i="6" s="1"/>
  <c r="AR278" i="6"/>
  <c r="AX278" i="6" s="1"/>
  <c r="AI255" i="6"/>
  <c r="AI260" i="6"/>
  <c r="AL269" i="6"/>
  <c r="AS269" i="6" s="1"/>
  <c r="AY269" i="6" s="1"/>
  <c r="AI252" i="6"/>
  <c r="AI244" i="6"/>
  <c r="AM244" i="6" s="1"/>
  <c r="AN244" i="6" s="1"/>
  <c r="AO244" i="6" s="1"/>
  <c r="AI251" i="6"/>
  <c r="AI247" i="6"/>
  <c r="AM247" i="6" s="1"/>
  <c r="AN247" i="6" s="1"/>
  <c r="AO247" i="6" s="1"/>
  <c r="BC241" i="6" a="1"/>
  <c r="BC133" i="6" a="1"/>
  <c r="BB133" i="6" a="1"/>
  <c r="AI149" i="6"/>
  <c r="AI141" i="6"/>
  <c r="AI154" i="6"/>
  <c r="AI151" i="6"/>
  <c r="AI152" i="6"/>
  <c r="AI140" i="6"/>
  <c r="AM140" i="6" s="1"/>
  <c r="AN140" i="6" s="1"/>
  <c r="AO140" i="6" s="1"/>
  <c r="AI147" i="6"/>
  <c r="AI136" i="6"/>
  <c r="AM136" i="6" s="1"/>
  <c r="AN136" i="6" s="1"/>
  <c r="AO136" i="6" s="1"/>
  <c r="AN168" i="6"/>
  <c r="AU168" i="6" s="1"/>
  <c r="AL161" i="6"/>
  <c r="AS161" i="6" s="1"/>
  <c r="AY161" i="6" s="1"/>
  <c r="AI138" i="6"/>
  <c r="AM138" i="6" s="1"/>
  <c r="AN138" i="6" s="1"/>
  <c r="AO138" i="6" s="1"/>
  <c r="AR170" i="6"/>
  <c r="AX170" i="6" s="1"/>
  <c r="AP167" i="6"/>
  <c r="AW167" i="6" s="1"/>
  <c r="AR169" i="6"/>
  <c r="AX169" i="6" s="1"/>
  <c r="AI143" i="6"/>
  <c r="AI144" i="6"/>
  <c r="BG133" i="6" a="1"/>
  <c r="AI145" i="6"/>
  <c r="AN167" i="6"/>
  <c r="AU167" i="6" s="1"/>
  <c r="AI142" i="6"/>
  <c r="AP169" i="6"/>
  <c r="AW169" i="6" s="1"/>
  <c r="AI139" i="6"/>
  <c r="AM139" i="6" s="1"/>
  <c r="AN139" i="6" s="1"/>
  <c r="AO139" i="6" s="1"/>
  <c r="AP168" i="6"/>
  <c r="AW168" i="6" s="1"/>
  <c r="AN169" i="6"/>
  <c r="AU169" i="6" s="1"/>
  <c r="AI153" i="6"/>
  <c r="AI155" i="6"/>
  <c r="AR167" i="6"/>
  <c r="AX167" i="6" s="1"/>
  <c r="BF133" i="6" a="1"/>
  <c r="AI135" i="6"/>
  <c r="AM135" i="6" s="1"/>
  <c r="AN135" i="6" s="1"/>
  <c r="AO135" i="6" s="1"/>
  <c r="AN170" i="6"/>
  <c r="AU170" i="6" s="1"/>
  <c r="AI148" i="6"/>
  <c r="AI150" i="6"/>
  <c r="AP170" i="6"/>
  <c r="AW170" i="6" s="1"/>
  <c r="AI137" i="6"/>
  <c r="AM137" i="6" s="1"/>
  <c r="AN137" i="6" s="1"/>
  <c r="AO137" i="6" s="1"/>
  <c r="AI146" i="6"/>
  <c r="AR168" i="6"/>
  <c r="AX168" i="6" s="1"/>
  <c r="AI315" i="6"/>
  <c r="AI297" i="6"/>
  <c r="AM297" i="6" s="1"/>
  <c r="AN297" i="6" s="1"/>
  <c r="AO297" i="6" s="1"/>
  <c r="AL323" i="6"/>
  <c r="AS323" i="6" s="1"/>
  <c r="AY323" i="6" s="1"/>
  <c r="AP329" i="6"/>
  <c r="AW329" i="6" s="1"/>
  <c r="AI317" i="6"/>
  <c r="AR332" i="6"/>
  <c r="AX332" i="6" s="1"/>
  <c r="BB295" i="6" a="1"/>
  <c r="AI298" i="6"/>
  <c r="AM298" i="6" s="1"/>
  <c r="AN298" i="6" s="1"/>
  <c r="AO298" i="6" s="1"/>
  <c r="AI306" i="6"/>
  <c r="AI309" i="6"/>
  <c r="AI307" i="6"/>
  <c r="AI312" i="6"/>
  <c r="AN331" i="6"/>
  <c r="AU331" i="6" s="1"/>
  <c r="AP332" i="6"/>
  <c r="AW332" i="6" s="1"/>
  <c r="AN332" i="6"/>
  <c r="AU332" i="6" s="1"/>
  <c r="AI311" i="6"/>
  <c r="AR329" i="6"/>
  <c r="AX329" i="6" s="1"/>
  <c r="AI308" i="6"/>
  <c r="AI310" i="6"/>
  <c r="BF295" i="6" a="1"/>
  <c r="AI314" i="6"/>
  <c r="BC295" i="6" a="1"/>
  <c r="AR330" i="6"/>
  <c r="AX330" i="6" s="1"/>
  <c r="AP330" i="6"/>
  <c r="AW330" i="6" s="1"/>
  <c r="AI300" i="6"/>
  <c r="AM300" i="6" s="1"/>
  <c r="AN300" i="6" s="1"/>
  <c r="AO300" i="6" s="1"/>
  <c r="AI316" i="6"/>
  <c r="AI305" i="6"/>
  <c r="AI304" i="6"/>
  <c r="AI313" i="6"/>
  <c r="AI299" i="6"/>
  <c r="AM299" i="6" s="1"/>
  <c r="AN299" i="6" s="1"/>
  <c r="AO299" i="6" s="1"/>
  <c r="AR331" i="6"/>
  <c r="AX331" i="6" s="1"/>
  <c r="AI303" i="6"/>
  <c r="AI302" i="6"/>
  <c r="AM302" i="6" s="1"/>
  <c r="AN302" i="6" s="1"/>
  <c r="AO302" i="6" s="1"/>
  <c r="AN329" i="6"/>
  <c r="AU329" i="6" s="1"/>
  <c r="BG295" i="6" a="1"/>
  <c r="AI301" i="6"/>
  <c r="AM301" i="6" s="1"/>
  <c r="AN301" i="6" s="1"/>
  <c r="AO301" i="6" s="1"/>
  <c r="AP331" i="6"/>
  <c r="AW331" i="6" s="1"/>
  <c r="AN330" i="6"/>
  <c r="AU330" i="6" s="1"/>
  <c r="AI91" i="6"/>
  <c r="AI98" i="6"/>
  <c r="BC79" i="6" a="1"/>
  <c r="AI100" i="6"/>
  <c r="AI86" i="6"/>
  <c r="AM86" i="6" s="1"/>
  <c r="AN86" i="6" s="1"/>
  <c r="AO86" i="6" s="1"/>
  <c r="AI97" i="6"/>
  <c r="AI92" i="6"/>
  <c r="AI90" i="6"/>
  <c r="BG79" i="6" a="1"/>
  <c r="AI95" i="6"/>
  <c r="AI82" i="6"/>
  <c r="AM82" i="6" s="1"/>
  <c r="AN82" i="6" s="1"/>
  <c r="AO82" i="6" s="1"/>
  <c r="AI93" i="6"/>
  <c r="AI94" i="6"/>
  <c r="AP114" i="6"/>
  <c r="AW114" i="6" s="1"/>
  <c r="AP116" i="6"/>
  <c r="AW116" i="6" s="1"/>
  <c r="AR116" i="6"/>
  <c r="AX116" i="6" s="1"/>
  <c r="BB79" i="6" a="1"/>
  <c r="AI88" i="6"/>
  <c r="AI89" i="6"/>
  <c r="AI99" i="6"/>
  <c r="AI101" i="6"/>
  <c r="AN115" i="6"/>
  <c r="AU115" i="6" s="1"/>
  <c r="AP115" i="6"/>
  <c r="AW115" i="6" s="1"/>
  <c r="AI84" i="6"/>
  <c r="AI85" i="6"/>
  <c r="AM85" i="6" s="1"/>
  <c r="AN85" i="6" s="1"/>
  <c r="AO85" i="6" s="1"/>
  <c r="AI87" i="6"/>
  <c r="AR113" i="6"/>
  <c r="AX113" i="6" s="1"/>
  <c r="AN116" i="6"/>
  <c r="AU116" i="6" s="1"/>
  <c r="AN114" i="6"/>
  <c r="AU114" i="6" s="1"/>
  <c r="AI96" i="6"/>
  <c r="BF79" i="6" a="1"/>
  <c r="AR114" i="6"/>
  <c r="AX114" i="6" s="1"/>
  <c r="AP113" i="6"/>
  <c r="AW113" i="6" s="1"/>
  <c r="AL107" i="6"/>
  <c r="AS107" i="6" s="1"/>
  <c r="AY107" i="6" s="1"/>
  <c r="AI81" i="6"/>
  <c r="AM81" i="6" s="1"/>
  <c r="AN81" i="6" s="1"/>
  <c r="AO81" i="6" s="1"/>
  <c r="AI83" i="6"/>
  <c r="AM83" i="6" s="1"/>
  <c r="AN83" i="6" s="1"/>
  <c r="AO83" i="6" s="1"/>
  <c r="AN113" i="6"/>
  <c r="AU113" i="6" s="1"/>
  <c r="AR115" i="6"/>
  <c r="AX115" i="6" s="1"/>
  <c r="BG187" i="6" a="1"/>
  <c r="BC187" i="6" a="1"/>
  <c r="AI208" i="6"/>
  <c r="AR222" i="6"/>
  <c r="AX222" i="6" s="1"/>
  <c r="AI203" i="6"/>
  <c r="AI193" i="6"/>
  <c r="AM193" i="6" s="1"/>
  <c r="AN193" i="6" s="1"/>
  <c r="AO193" i="6" s="1"/>
  <c r="AP222" i="6"/>
  <c r="AW222" i="6" s="1"/>
  <c r="AI205" i="6"/>
  <c r="AN224" i="6"/>
  <c r="AU224" i="6" s="1"/>
  <c r="AI190" i="6"/>
  <c r="AM190" i="6" s="1"/>
  <c r="AN190" i="6" s="1"/>
  <c r="AO190" i="6" s="1"/>
  <c r="AI209" i="6"/>
  <c r="AI195" i="6"/>
  <c r="AI200" i="6"/>
  <c r="AI194" i="6"/>
  <c r="AM194" i="6" s="1"/>
  <c r="AN194" i="6" s="1"/>
  <c r="AO194" i="6" s="1"/>
  <c r="AR224" i="6"/>
  <c r="AX224" i="6" s="1"/>
  <c r="AR221" i="6"/>
  <c r="AX221" i="6" s="1"/>
  <c r="AI206" i="6"/>
  <c r="AI201" i="6"/>
  <c r="AI198" i="6"/>
  <c r="AI207" i="6"/>
  <c r="AR223" i="6"/>
  <c r="AX223" i="6" s="1"/>
  <c r="AN221" i="6"/>
  <c r="AU221" i="6" s="1"/>
  <c r="AI204" i="6"/>
  <c r="BF187" i="6" a="1"/>
  <c r="AL215" i="6"/>
  <c r="AS215" i="6" s="1"/>
  <c r="AY215" i="6" s="1"/>
  <c r="AI199" i="6"/>
  <c r="AI197" i="6"/>
  <c r="AI196" i="6"/>
  <c r="AI189" i="6"/>
  <c r="AM189" i="6" s="1"/>
  <c r="AN189" i="6" s="1"/>
  <c r="AO189" i="6" s="1"/>
  <c r="AN223" i="6"/>
  <c r="AU223" i="6" s="1"/>
  <c r="AI192" i="6"/>
  <c r="AM192" i="6" s="1"/>
  <c r="AN192" i="6" s="1"/>
  <c r="AO192" i="6" s="1"/>
  <c r="AP221" i="6"/>
  <c r="AW221" i="6" s="1"/>
  <c r="AN222" i="6"/>
  <c r="AU222" i="6" s="1"/>
  <c r="AP223" i="6"/>
  <c r="AW223" i="6" s="1"/>
  <c r="AP224" i="6"/>
  <c r="AW224" i="6" s="1"/>
  <c r="AI191" i="6"/>
  <c r="AM191" i="6" s="1"/>
  <c r="AN191" i="6" s="1"/>
  <c r="AO191" i="6" s="1"/>
  <c r="AI202" i="6"/>
  <c r="BB187" i="6" a="1"/>
  <c r="AE298" i="6"/>
  <c r="AE82" i="6"/>
  <c r="AE136" i="6"/>
  <c r="AC215" i="6"/>
  <c r="AC107" i="6"/>
  <c r="AE244" i="6"/>
  <c r="AE28" i="6"/>
  <c r="BD241" i="6"/>
  <c r="BE241" i="6" s="1"/>
  <c r="BD251" i="6"/>
  <c r="BE251" i="6" s="1"/>
  <c r="BD281" i="6"/>
  <c r="BE281" i="6" s="1"/>
  <c r="BD255" i="6"/>
  <c r="BE255" i="6" s="1"/>
  <c r="BD272" i="6"/>
  <c r="BE272" i="6" s="1"/>
  <c r="BD266" i="6"/>
  <c r="BE266" i="6" s="1"/>
  <c r="BD261" i="6"/>
  <c r="BE261" i="6" s="1"/>
  <c r="BD280" i="6"/>
  <c r="BE280" i="6" s="1"/>
  <c r="BD278" i="6"/>
  <c r="BE278" i="6" s="1"/>
  <c r="BD273" i="6"/>
  <c r="BE273" i="6" s="1"/>
  <c r="BD269" i="6"/>
  <c r="BE269" i="6" s="1"/>
  <c r="BD270" i="6"/>
  <c r="BE270" i="6" s="1"/>
  <c r="BD249" i="6"/>
  <c r="BE249" i="6" s="1"/>
  <c r="BD252" i="6"/>
  <c r="BE252" i="6" s="1"/>
  <c r="BD250" i="6"/>
  <c r="BE250" i="6" s="1"/>
  <c r="BD258" i="6"/>
  <c r="BE258" i="6" s="1"/>
  <c r="BD263" i="6"/>
  <c r="BE263" i="6" s="1"/>
  <c r="BD257" i="6"/>
  <c r="BE257" i="6" s="1"/>
  <c r="BD268" i="6"/>
  <c r="BE268" i="6" s="1"/>
  <c r="BD254" i="6"/>
  <c r="BE254" i="6" s="1"/>
  <c r="BD244" i="6"/>
  <c r="BE244" i="6" s="1"/>
  <c r="BD276" i="6"/>
  <c r="BE276" i="6" s="1"/>
  <c r="BD271" i="6"/>
  <c r="BE271" i="6" s="1"/>
  <c r="BD247" i="6"/>
  <c r="BE247" i="6" s="1"/>
  <c r="BD262" i="6"/>
  <c r="BE262" i="6" s="1"/>
  <c r="BD264" i="6"/>
  <c r="BE264" i="6" s="1"/>
  <c r="BD248" i="6"/>
  <c r="BE248" i="6" s="1"/>
  <c r="BD279" i="6"/>
  <c r="BE279" i="6" s="1"/>
  <c r="BD242" i="6"/>
  <c r="BE242" i="6" s="1"/>
  <c r="BD267" i="6"/>
  <c r="BE267" i="6" s="1"/>
  <c r="BD277" i="6"/>
  <c r="BE277" i="6" s="1"/>
  <c r="BD256" i="6"/>
  <c r="BE256" i="6" s="1"/>
  <c r="BD246" i="6"/>
  <c r="BE246" i="6" s="1"/>
  <c r="BD274" i="6"/>
  <c r="BE274" i="6" s="1"/>
  <c r="BD275" i="6"/>
  <c r="BE275" i="6" s="1"/>
  <c r="BD265" i="6"/>
  <c r="BE265" i="6" s="1"/>
  <c r="BD253" i="6"/>
  <c r="BE253" i="6" s="1"/>
  <c r="BD243" i="6"/>
  <c r="BE243" i="6" s="1"/>
  <c r="BD245" i="6"/>
  <c r="BE245" i="6" s="1"/>
  <c r="BD260" i="6"/>
  <c r="BE260" i="6" s="1"/>
  <c r="BD259" i="6"/>
  <c r="BE259" i="6" s="1"/>
  <c r="AN59" i="6"/>
  <c r="AU59" i="6" s="1"/>
  <c r="AR61" i="6"/>
  <c r="AX61" i="6" s="1"/>
  <c r="AP62" i="6"/>
  <c r="AW62" i="6" s="1"/>
  <c r="BB25" i="6" a="1"/>
  <c r="BD25" i="6" a="1"/>
  <c r="AI29" i="6"/>
  <c r="AI39" i="6"/>
  <c r="AI41" i="6"/>
  <c r="AI46" i="6"/>
  <c r="AP59" i="6"/>
  <c r="AW59" i="6" s="1"/>
  <c r="AN60" i="6"/>
  <c r="AU60" i="6" s="1"/>
  <c r="AR62" i="6"/>
  <c r="AX62" i="6" s="1"/>
  <c r="BG25" i="6" a="1"/>
  <c r="AI33" i="6"/>
  <c r="AI36" i="6"/>
  <c r="AI37" i="6"/>
  <c r="AI38" i="6"/>
  <c r="AI44" i="6"/>
  <c r="AL53" i="6"/>
  <c r="AS53" i="6" s="1"/>
  <c r="AY53" i="6" s="1"/>
  <c r="AR59" i="6"/>
  <c r="AX59" i="6" s="1"/>
  <c r="AP60" i="6"/>
  <c r="AW60" i="6" s="1"/>
  <c r="AN61" i="6"/>
  <c r="AU61" i="6" s="1"/>
  <c r="BC25" i="6" a="1"/>
  <c r="AI27" i="6"/>
  <c r="AI28" i="6"/>
  <c r="AI32" i="6"/>
  <c r="AI35" i="6"/>
  <c r="AI40" i="6"/>
  <c r="AI42" i="6"/>
  <c r="AI43" i="6"/>
  <c r="AI47" i="6"/>
  <c r="BE22" i="6"/>
  <c r="AR60" i="6"/>
  <c r="AX60" i="6" s="1"/>
  <c r="AP61" i="6"/>
  <c r="AW61" i="6" s="1"/>
  <c r="AN62" i="6"/>
  <c r="AU62" i="6" s="1"/>
  <c r="AY62" i="6" s="1"/>
  <c r="BF25" i="6" a="1"/>
  <c r="BH25" i="6" a="1"/>
  <c r="AI30" i="6"/>
  <c r="AI31" i="6"/>
  <c r="AI34" i="6"/>
  <c r="AI45" i="6"/>
  <c r="AA251" i="6"/>
  <c r="M238" i="6"/>
  <c r="H238" i="6"/>
  <c r="D252" i="6"/>
  <c r="AI283" i="6"/>
  <c r="AI275" i="6"/>
  <c r="AI271" i="6"/>
  <c r="W259" i="6"/>
  <c r="H266" i="6"/>
  <c r="AI284" i="6"/>
  <c r="AI280" i="6"/>
  <c r="AI274" i="6"/>
  <c r="K238" i="6"/>
  <c r="R266" i="6"/>
  <c r="AI278" i="6"/>
  <c r="AI281" i="6"/>
  <c r="AI272" i="6"/>
  <c r="D250" i="6"/>
  <c r="W252" i="6"/>
  <c r="D246" i="6"/>
  <c r="D243" i="6"/>
  <c r="AI273" i="6"/>
  <c r="M266" i="6"/>
  <c r="O266" i="6"/>
  <c r="AI276" i="6"/>
  <c r="AI282" i="6"/>
  <c r="W243" i="6"/>
  <c r="AI277" i="6"/>
  <c r="W246" i="6"/>
  <c r="AI270" i="6"/>
  <c r="O238" i="6"/>
  <c r="AI279" i="6"/>
  <c r="W250" i="6"/>
  <c r="D259" i="6"/>
  <c r="K266" i="6"/>
  <c r="R238" i="6"/>
  <c r="AA143" i="6"/>
  <c r="K158" i="6"/>
  <c r="R158" i="6"/>
  <c r="AI173" i="6"/>
  <c r="AI165" i="6"/>
  <c r="D135" i="6"/>
  <c r="AI164" i="6"/>
  <c r="W144" i="6"/>
  <c r="O130" i="6"/>
  <c r="AI168" i="6"/>
  <c r="D144" i="6"/>
  <c r="W138" i="6"/>
  <c r="AI163" i="6"/>
  <c r="AI166" i="6"/>
  <c r="AI175" i="6"/>
  <c r="K130" i="6"/>
  <c r="W151" i="6"/>
  <c r="AI176" i="6"/>
  <c r="D142" i="6"/>
  <c r="H158" i="6"/>
  <c r="AI162" i="6"/>
  <c r="D138" i="6"/>
  <c r="AI174" i="6"/>
  <c r="O158" i="6"/>
  <c r="M158" i="6"/>
  <c r="W142" i="6"/>
  <c r="W135" i="6"/>
  <c r="AI171" i="6"/>
  <c r="R130" i="6"/>
  <c r="AI167" i="6"/>
  <c r="D151" i="6"/>
  <c r="AI172" i="6"/>
  <c r="AI169" i="6"/>
  <c r="M130" i="6"/>
  <c r="AI170" i="6"/>
  <c r="H130" i="6"/>
  <c r="M76" i="6"/>
  <c r="W88" i="6"/>
  <c r="D84" i="6"/>
  <c r="M104" i="6"/>
  <c r="AA89" i="6"/>
  <c r="D97" i="6"/>
  <c r="D88" i="6"/>
  <c r="D81" i="6"/>
  <c r="O76" i="6"/>
  <c r="W97" i="6"/>
  <c r="R76" i="6"/>
  <c r="H76" i="6"/>
  <c r="K76" i="6"/>
  <c r="W81" i="6"/>
  <c r="D90" i="6"/>
  <c r="O104" i="6"/>
  <c r="R104" i="6"/>
  <c r="W90" i="6"/>
  <c r="AI113" i="6"/>
  <c r="AI112" i="6"/>
  <c r="AI114" i="6"/>
  <c r="AI122" i="6"/>
  <c r="AI109" i="6"/>
  <c r="AI111" i="6"/>
  <c r="AI121" i="6"/>
  <c r="W84" i="6"/>
  <c r="H104" i="6"/>
  <c r="AI118" i="6"/>
  <c r="AI120" i="6"/>
  <c r="AI110" i="6"/>
  <c r="K104" i="6"/>
  <c r="AI108" i="6"/>
  <c r="AI116" i="6"/>
  <c r="AI115" i="6"/>
  <c r="AI119" i="6"/>
  <c r="AI117" i="6"/>
  <c r="AP300" i="6"/>
  <c r="AQ300" i="6" s="1"/>
  <c r="AP311" i="6"/>
  <c r="AQ311" i="6" s="1"/>
  <c r="AP321" i="6"/>
  <c r="AQ321" i="6" s="1"/>
  <c r="AP318" i="6"/>
  <c r="AQ318" i="6" s="1"/>
  <c r="AP320" i="6"/>
  <c r="AQ320" i="6" s="1"/>
  <c r="AP303" i="6"/>
  <c r="AQ303" i="6" s="1"/>
  <c r="AP299" i="6"/>
  <c r="AQ299" i="6" s="1"/>
  <c r="AP307" i="6"/>
  <c r="AQ307" i="6" s="1"/>
  <c r="AP315" i="6"/>
  <c r="AQ315" i="6" s="1"/>
  <c r="AP316" i="6"/>
  <c r="AQ316" i="6" s="1"/>
  <c r="AP302" i="6"/>
  <c r="AQ302" i="6" s="1"/>
  <c r="AP319" i="6"/>
  <c r="AQ319" i="6" s="1"/>
  <c r="AP301" i="6"/>
  <c r="AQ301" i="6" s="1"/>
  <c r="AP313" i="6"/>
  <c r="AQ313" i="6" s="1"/>
  <c r="AP308" i="6"/>
  <c r="AQ308" i="6" s="1"/>
  <c r="AP298" i="6"/>
  <c r="AQ298" i="6" s="1"/>
  <c r="AP317" i="6"/>
  <c r="AQ317" i="6" s="1"/>
  <c r="AP305" i="6"/>
  <c r="AQ305" i="6" s="1"/>
  <c r="AP309" i="6"/>
  <c r="AQ309" i="6" s="1"/>
  <c r="AP314" i="6"/>
  <c r="AQ314" i="6" s="1"/>
  <c r="AP306" i="6"/>
  <c r="AQ306" i="6" s="1"/>
  <c r="AP297" i="6"/>
  <c r="AQ297" i="6" s="1"/>
  <c r="AP322" i="6"/>
  <c r="AQ322" i="6" s="1"/>
  <c r="AP304" i="6"/>
  <c r="AQ304" i="6" s="1"/>
  <c r="AP312" i="6"/>
  <c r="AQ312" i="6" s="1"/>
  <c r="AP310" i="6"/>
  <c r="AQ310" i="6" s="1"/>
  <c r="AE190" i="6"/>
  <c r="AE29" i="6"/>
  <c r="BD206" i="6"/>
  <c r="BE206" i="6" s="1"/>
  <c r="BD211" i="6"/>
  <c r="BE211" i="6" s="1"/>
  <c r="BD213" i="6"/>
  <c r="BE213" i="6" s="1"/>
  <c r="BD224" i="6"/>
  <c r="BE224" i="6" s="1"/>
  <c r="BD223" i="6"/>
  <c r="BE223" i="6" s="1"/>
  <c r="BD217" i="6"/>
  <c r="BE217" i="6" s="1"/>
  <c r="BD226" i="6"/>
  <c r="BE226" i="6" s="1"/>
  <c r="BD196" i="6"/>
  <c r="BE196" i="6" s="1"/>
  <c r="BD195" i="6"/>
  <c r="BE195" i="6" s="1"/>
  <c r="BD216" i="6"/>
  <c r="BE216" i="6" s="1"/>
  <c r="BD208" i="6"/>
  <c r="BE208" i="6" s="1"/>
  <c r="BD207" i="6"/>
  <c r="BE207" i="6" s="1"/>
  <c r="BD221" i="6"/>
  <c r="BE221" i="6" s="1"/>
  <c r="BD199" i="6"/>
  <c r="BE199" i="6" s="1"/>
  <c r="BD209" i="6"/>
  <c r="BE209" i="6" s="1"/>
  <c r="BD220" i="6"/>
  <c r="BE220" i="6" s="1"/>
  <c r="BD189" i="6"/>
  <c r="BE189" i="6" s="1"/>
  <c r="BD201" i="6"/>
  <c r="BE201" i="6" s="1"/>
  <c r="BD227" i="6"/>
  <c r="BE227" i="6" s="1"/>
  <c r="BD190" i="6"/>
  <c r="BE190" i="6" s="1"/>
  <c r="BD192" i="6"/>
  <c r="BE192" i="6" s="1"/>
  <c r="BD200" i="6"/>
  <c r="BE200" i="6" s="1"/>
  <c r="BD193" i="6"/>
  <c r="BE193" i="6" s="1"/>
  <c r="BD214" i="6"/>
  <c r="BE214" i="6" s="1"/>
  <c r="BD194" i="6"/>
  <c r="BE194" i="6" s="1"/>
  <c r="BD197" i="6"/>
  <c r="BE197" i="6" s="1"/>
  <c r="BD188" i="6"/>
  <c r="BE188" i="6" s="1"/>
  <c r="BD187" i="6"/>
  <c r="BE187" i="6" s="1"/>
  <c r="BD212" i="6"/>
  <c r="BE212" i="6" s="1"/>
  <c r="BD205" i="6"/>
  <c r="BE205" i="6" s="1"/>
  <c r="BD218" i="6"/>
  <c r="BE218" i="6" s="1"/>
  <c r="BD191" i="6"/>
  <c r="BE191" i="6" s="1"/>
  <c r="BD222" i="6"/>
  <c r="BE222" i="6" s="1"/>
  <c r="BD210" i="6"/>
  <c r="BE210" i="6" s="1"/>
  <c r="BD219" i="6"/>
  <c r="BE219" i="6" s="1"/>
  <c r="BD215" i="6"/>
  <c r="BE215" i="6" s="1"/>
  <c r="BD198" i="6"/>
  <c r="BE198" i="6" s="1"/>
  <c r="BD202" i="6"/>
  <c r="BE202" i="6" s="1"/>
  <c r="BD225" i="6"/>
  <c r="BE225" i="6" s="1"/>
  <c r="BD204" i="6"/>
  <c r="BE204" i="6" s="1"/>
  <c r="BD203" i="6"/>
  <c r="BE203" i="6" s="1"/>
  <c r="BD334" i="6"/>
  <c r="BE334" i="6" s="1"/>
  <c r="BD302" i="6"/>
  <c r="BE302" i="6" s="1"/>
  <c r="BD300" i="6"/>
  <c r="BE300" i="6" s="1"/>
  <c r="BD330" i="6"/>
  <c r="BE330" i="6" s="1"/>
  <c r="BD321" i="6"/>
  <c r="BE321" i="6" s="1"/>
  <c r="BD328" i="6"/>
  <c r="BE328" i="6" s="1"/>
  <c r="BD310" i="6"/>
  <c r="BE310" i="6" s="1"/>
  <c r="BD301" i="6"/>
  <c r="BE301" i="6" s="1"/>
  <c r="BD335" i="6"/>
  <c r="BE335" i="6" s="1"/>
  <c r="BD306" i="6"/>
  <c r="BE306" i="6" s="1"/>
  <c r="BD304" i="6"/>
  <c r="BE304" i="6" s="1"/>
  <c r="BD316" i="6"/>
  <c r="BE316" i="6" s="1"/>
  <c r="BD329" i="6"/>
  <c r="BE329" i="6" s="1"/>
  <c r="BD314" i="6"/>
  <c r="BE314" i="6" s="1"/>
  <c r="BD307" i="6"/>
  <c r="BE307" i="6" s="1"/>
  <c r="BD313" i="6"/>
  <c r="BE313" i="6" s="1"/>
  <c r="BD318" i="6"/>
  <c r="BE318" i="6" s="1"/>
  <c r="BD309" i="6"/>
  <c r="BE309" i="6" s="1"/>
  <c r="BD327" i="6"/>
  <c r="BE327" i="6" s="1"/>
  <c r="BD297" i="6"/>
  <c r="BE297" i="6" s="1"/>
  <c r="BD298" i="6"/>
  <c r="BE298" i="6" s="1"/>
  <c r="BD312" i="6"/>
  <c r="BE312" i="6" s="1"/>
  <c r="BD322" i="6"/>
  <c r="BE322" i="6" s="1"/>
  <c r="BD326" i="6"/>
  <c r="BE326" i="6" s="1"/>
  <c r="BD324" i="6"/>
  <c r="BE324" i="6" s="1"/>
  <c r="BD319" i="6"/>
  <c r="BE319" i="6" s="1"/>
  <c r="BD332" i="6"/>
  <c r="BE332" i="6" s="1"/>
  <c r="BD331" i="6"/>
  <c r="BE331" i="6" s="1"/>
  <c r="BD296" i="6"/>
  <c r="BE296" i="6" s="1"/>
  <c r="BD320" i="6"/>
  <c r="BE320" i="6" s="1"/>
  <c r="BD333" i="6"/>
  <c r="BE333" i="6" s="1"/>
  <c r="BD308" i="6"/>
  <c r="BE308" i="6" s="1"/>
  <c r="BD303" i="6"/>
  <c r="BE303" i="6" s="1"/>
  <c r="BD315" i="6"/>
  <c r="BE315" i="6" s="1"/>
  <c r="BD295" i="6"/>
  <c r="BE295" i="6" s="1"/>
  <c r="BD325" i="6"/>
  <c r="BE325" i="6" s="1"/>
  <c r="BD311" i="6"/>
  <c r="BE311" i="6" s="1"/>
  <c r="BD305" i="6"/>
  <c r="BE305" i="6" s="1"/>
  <c r="BD323" i="6"/>
  <c r="BE323" i="6" s="1"/>
  <c r="BD299" i="6"/>
  <c r="BE299" i="6" s="1"/>
  <c r="BD317" i="6"/>
  <c r="BE317" i="6" s="1"/>
  <c r="AA197" i="6"/>
  <c r="AI228" i="6"/>
  <c r="D205" i="6"/>
  <c r="H212" i="6"/>
  <c r="AI226" i="6"/>
  <c r="AI216" i="6"/>
  <c r="AI220" i="6"/>
  <c r="W196" i="6"/>
  <c r="H184" i="6"/>
  <c r="O184" i="6"/>
  <c r="M184" i="6"/>
  <c r="AI230" i="6"/>
  <c r="D196" i="6"/>
  <c r="R212" i="6"/>
  <c r="AI229" i="6"/>
  <c r="AI218" i="6"/>
  <c r="AI225" i="6"/>
  <c r="K184" i="6"/>
  <c r="R184" i="6"/>
  <c r="AI222" i="6"/>
  <c r="AI223" i="6"/>
  <c r="AI224" i="6"/>
  <c r="W205" i="6"/>
  <c r="K212" i="6"/>
  <c r="AI217" i="6"/>
  <c r="AI219" i="6"/>
  <c r="W189" i="6"/>
  <c r="D189" i="6"/>
  <c r="M212" i="6"/>
  <c r="D198" i="6"/>
  <c r="D192" i="6"/>
  <c r="O212" i="6"/>
  <c r="AI221" i="6"/>
  <c r="AI227" i="6"/>
  <c r="W198" i="6"/>
  <c r="W192" i="6"/>
  <c r="M22" i="6"/>
  <c r="K22" i="6"/>
  <c r="D27" i="6"/>
  <c r="D30" i="6"/>
  <c r="W34" i="6"/>
  <c r="D36" i="6"/>
  <c r="D43" i="6"/>
  <c r="K50" i="6"/>
  <c r="O22" i="6"/>
  <c r="W30" i="6"/>
  <c r="W36" i="6"/>
  <c r="W43" i="6"/>
  <c r="M50" i="6"/>
  <c r="R22" i="6"/>
  <c r="W27" i="6"/>
  <c r="H50" i="6"/>
  <c r="O50" i="6"/>
  <c r="AA35" i="6"/>
  <c r="D34" i="6"/>
  <c r="R50" i="6"/>
  <c r="AC323" i="6"/>
  <c r="AC269" i="6"/>
  <c r="AC161" i="6"/>
  <c r="AE137" i="6"/>
  <c r="AP258" i="6"/>
  <c r="AQ258" i="6" s="1"/>
  <c r="AP251" i="6"/>
  <c r="AQ251" i="6" s="1"/>
  <c r="AP244" i="6"/>
  <c r="AQ244" i="6" s="1"/>
  <c r="AP246" i="6"/>
  <c r="AQ246" i="6" s="1"/>
  <c r="AP261" i="6"/>
  <c r="AQ261" i="6" s="1"/>
  <c r="AP245" i="6"/>
  <c r="AQ245" i="6" s="1"/>
  <c r="AP264" i="6"/>
  <c r="AQ264" i="6" s="1"/>
  <c r="AP247" i="6"/>
  <c r="AQ247" i="6" s="1"/>
  <c r="AP266" i="6"/>
  <c r="AQ266" i="6" s="1"/>
  <c r="AP252" i="6"/>
  <c r="AQ252" i="6" s="1"/>
  <c r="AP263" i="6"/>
  <c r="AQ263" i="6" s="1"/>
  <c r="AP250" i="6"/>
  <c r="AQ250" i="6" s="1"/>
  <c r="AP253" i="6"/>
  <c r="AQ253" i="6" s="1"/>
  <c r="AP257" i="6"/>
  <c r="AQ257" i="6" s="1"/>
  <c r="AP260" i="6"/>
  <c r="AQ260" i="6" s="1"/>
  <c r="AP255" i="6"/>
  <c r="AQ255" i="6" s="1"/>
  <c r="AP254" i="6"/>
  <c r="AQ254" i="6" s="1"/>
  <c r="AP259" i="6"/>
  <c r="AQ259" i="6" s="1"/>
  <c r="AP256" i="6"/>
  <c r="AQ256" i="6" s="1"/>
  <c r="AP268" i="6"/>
  <c r="AQ268" i="6" s="1"/>
  <c r="AP262" i="6"/>
  <c r="AQ262" i="6" s="1"/>
  <c r="AP265" i="6"/>
  <c r="AQ265" i="6" s="1"/>
  <c r="AP243" i="6"/>
  <c r="AQ243" i="6" s="1"/>
  <c r="AP267" i="6"/>
  <c r="AQ267" i="6" s="1"/>
  <c r="AP248" i="6"/>
  <c r="AQ248" i="6" s="1"/>
  <c r="AP249" i="6"/>
  <c r="AQ249" i="6" s="1"/>
  <c r="BD133" i="6"/>
  <c r="BE133" i="6" s="1"/>
  <c r="BD148" i="6"/>
  <c r="BE148" i="6" s="1"/>
  <c r="BD167" i="6"/>
  <c r="BE167" i="6" s="1"/>
  <c r="BD173" i="6"/>
  <c r="BE173" i="6" s="1"/>
  <c r="BD139" i="6"/>
  <c r="BE139" i="6" s="1"/>
  <c r="BD168" i="6"/>
  <c r="BE168" i="6" s="1"/>
  <c r="BD158" i="6"/>
  <c r="BE158" i="6" s="1"/>
  <c r="BD137" i="6"/>
  <c r="BE137" i="6" s="1"/>
  <c r="BD160" i="6"/>
  <c r="BE160" i="6" s="1"/>
  <c r="BD154" i="6"/>
  <c r="BE154" i="6" s="1"/>
  <c r="BD134" i="6"/>
  <c r="BE134" i="6" s="1"/>
  <c r="BD140" i="6"/>
  <c r="BE140" i="6" s="1"/>
  <c r="BD156" i="6"/>
  <c r="BE156" i="6" s="1"/>
  <c r="BD135" i="6"/>
  <c r="BE135" i="6" s="1"/>
  <c r="BD157" i="6"/>
  <c r="BE157" i="6" s="1"/>
  <c r="BD143" i="6"/>
  <c r="BE143" i="6" s="1"/>
  <c r="BD136" i="6"/>
  <c r="BE136" i="6" s="1"/>
  <c r="BD142" i="6"/>
  <c r="BE142" i="6" s="1"/>
  <c r="BD152" i="6"/>
  <c r="BE152" i="6" s="1"/>
  <c r="BD147" i="6"/>
  <c r="BE147" i="6" s="1"/>
  <c r="BD138" i="6"/>
  <c r="BE138" i="6" s="1"/>
  <c r="BD163" i="6"/>
  <c r="BE163" i="6" s="1"/>
  <c r="BD171" i="6"/>
  <c r="BE171" i="6" s="1"/>
  <c r="BD159" i="6"/>
  <c r="BE159" i="6" s="1"/>
  <c r="BD145" i="6"/>
  <c r="BE145" i="6" s="1"/>
  <c r="BD149" i="6"/>
  <c r="BE149" i="6" s="1"/>
  <c r="BD172" i="6"/>
  <c r="BE172" i="6" s="1"/>
  <c r="BD162" i="6"/>
  <c r="BE162" i="6" s="1"/>
  <c r="BD166" i="6"/>
  <c r="BE166" i="6" s="1"/>
  <c r="BD169" i="6"/>
  <c r="BE169" i="6" s="1"/>
  <c r="BD151" i="6"/>
  <c r="BE151" i="6" s="1"/>
  <c r="BD164" i="6"/>
  <c r="BE164" i="6" s="1"/>
  <c r="BD146" i="6"/>
  <c r="BE146" i="6" s="1"/>
  <c r="BD161" i="6"/>
  <c r="BE161" i="6" s="1"/>
  <c r="BD153" i="6"/>
  <c r="BE153" i="6" s="1"/>
  <c r="BD170" i="6"/>
  <c r="BE170" i="6" s="1"/>
  <c r="BD144" i="6"/>
  <c r="BE144" i="6" s="1"/>
  <c r="BD141" i="6"/>
  <c r="BE141" i="6" s="1"/>
  <c r="BD155" i="6"/>
  <c r="BE155" i="6" s="1"/>
  <c r="BD150" i="6"/>
  <c r="BE150" i="6" s="1"/>
  <c r="BD165" i="6"/>
  <c r="BE165" i="6" s="1"/>
  <c r="AA305" i="6"/>
  <c r="K320" i="6"/>
  <c r="R320" i="6"/>
  <c r="AI337" i="6"/>
  <c r="AI326" i="6"/>
  <c r="AI333" i="6"/>
  <c r="K292" i="6"/>
  <c r="H292" i="6"/>
  <c r="AI330" i="6"/>
  <c r="D306" i="6"/>
  <c r="W300" i="6"/>
  <c r="AI325" i="6"/>
  <c r="AI327" i="6"/>
  <c r="W306" i="6"/>
  <c r="M292" i="6"/>
  <c r="D297" i="6"/>
  <c r="R292" i="6"/>
  <c r="W297" i="6"/>
  <c r="AI334" i="6"/>
  <c r="AI328" i="6"/>
  <c r="M320" i="6"/>
  <c r="AI329" i="6"/>
  <c r="D313" i="6"/>
  <c r="AI331" i="6"/>
  <c r="AI332" i="6"/>
  <c r="W313" i="6"/>
  <c r="O292" i="6"/>
  <c r="AI338" i="6"/>
  <c r="D304" i="6"/>
  <c r="H320" i="6"/>
  <c r="AI324" i="6"/>
  <c r="W304" i="6"/>
  <c r="AI336" i="6"/>
  <c r="D300" i="6"/>
  <c r="O320" i="6"/>
  <c r="AI335" i="6"/>
  <c r="AC53" i="6"/>
  <c r="AP144" i="6"/>
  <c r="AQ144" i="6" s="1"/>
  <c r="AP143" i="6"/>
  <c r="AQ143" i="6" s="1"/>
  <c r="AP150" i="6"/>
  <c r="AQ150" i="6" s="1"/>
  <c r="AP137" i="6"/>
  <c r="AQ137" i="6" s="1"/>
  <c r="AP148" i="6"/>
  <c r="AQ148" i="6" s="1"/>
  <c r="AP135" i="6"/>
  <c r="AQ135" i="6" s="1"/>
  <c r="AP136" i="6"/>
  <c r="AQ136" i="6" s="1"/>
  <c r="AP160" i="6"/>
  <c r="AQ160" i="6" s="1"/>
  <c r="AP146" i="6"/>
  <c r="AQ146" i="6" s="1"/>
  <c r="AP140" i="6"/>
  <c r="AQ140" i="6" s="1"/>
  <c r="AP138" i="6"/>
  <c r="AQ138" i="6" s="1"/>
  <c r="AP145" i="6"/>
  <c r="AQ145" i="6" s="1"/>
  <c r="AP151" i="6"/>
  <c r="AQ151" i="6" s="1"/>
  <c r="AP153" i="6"/>
  <c r="AQ153" i="6" s="1"/>
  <c r="AP141" i="6"/>
  <c r="AQ141" i="6" s="1"/>
  <c r="AP139" i="6"/>
  <c r="AQ139" i="6" s="1"/>
  <c r="AP154" i="6"/>
  <c r="AQ154" i="6" s="1"/>
  <c r="AP157" i="6"/>
  <c r="AQ157" i="6" s="1"/>
  <c r="AP147" i="6"/>
  <c r="AQ147" i="6" s="1"/>
  <c r="AP155" i="6"/>
  <c r="AQ155" i="6" s="1"/>
  <c r="AP159" i="6"/>
  <c r="AQ159" i="6" s="1"/>
  <c r="AP142" i="6"/>
  <c r="AQ142" i="6" s="1"/>
  <c r="AP152" i="6"/>
  <c r="AQ152" i="6" s="1"/>
  <c r="AP149" i="6"/>
  <c r="AQ149" i="6" s="1"/>
  <c r="AP156" i="6"/>
  <c r="AQ156" i="6" s="1"/>
  <c r="AP158" i="6"/>
  <c r="AQ158" i="6" s="1"/>
  <c r="AE191" i="6"/>
  <c r="AP200" i="6"/>
  <c r="AQ200" i="6" s="1"/>
  <c r="AP189" i="6"/>
  <c r="AQ189" i="6" s="1"/>
  <c r="AP207" i="6"/>
  <c r="AQ207" i="6" s="1"/>
  <c r="AP204" i="6"/>
  <c r="AQ204" i="6" s="1"/>
  <c r="AP193" i="6"/>
  <c r="AQ193" i="6" s="1"/>
  <c r="AP190" i="6"/>
  <c r="AQ190" i="6" s="1"/>
  <c r="AP196" i="6"/>
  <c r="AQ196" i="6" s="1"/>
  <c r="AP199" i="6"/>
  <c r="AQ199" i="6" s="1"/>
  <c r="AP197" i="6"/>
  <c r="AQ197" i="6" s="1"/>
  <c r="AP212" i="6"/>
  <c r="AQ212" i="6" s="1"/>
  <c r="AP198" i="6"/>
  <c r="AQ198" i="6" s="1"/>
  <c r="AP203" i="6"/>
  <c r="AQ203" i="6" s="1"/>
  <c r="AP210" i="6"/>
  <c r="AQ210" i="6" s="1"/>
  <c r="AP214" i="6"/>
  <c r="AQ214" i="6" s="1"/>
  <c r="AP205" i="6"/>
  <c r="AQ205" i="6" s="1"/>
  <c r="AP195" i="6"/>
  <c r="AQ195" i="6" s="1"/>
  <c r="AP206" i="6"/>
  <c r="AQ206" i="6" s="1"/>
  <c r="AP208" i="6"/>
  <c r="AQ208" i="6" s="1"/>
  <c r="AP201" i="6"/>
  <c r="AQ201" i="6" s="1"/>
  <c r="AP213" i="6"/>
  <c r="AQ213" i="6" s="1"/>
  <c r="AP191" i="6"/>
  <c r="AQ191" i="6" s="1"/>
  <c r="AP209" i="6"/>
  <c r="AQ209" i="6" s="1"/>
  <c r="AP194" i="6"/>
  <c r="AQ194" i="6" s="1"/>
  <c r="AP202" i="6"/>
  <c r="AQ202" i="6" s="1"/>
  <c r="AP211" i="6"/>
  <c r="AQ211" i="6" s="1"/>
  <c r="AP192" i="6"/>
  <c r="AQ192" i="6" s="1"/>
  <c r="AE245" i="6"/>
  <c r="AE83" i="6"/>
  <c r="AE299" i="6"/>
  <c r="BD102" i="6"/>
  <c r="BE102" i="6" s="1"/>
  <c r="BD90" i="6"/>
  <c r="BE90" i="6" s="1"/>
  <c r="BD93" i="6"/>
  <c r="BE93" i="6" s="1"/>
  <c r="BD111" i="6"/>
  <c r="BE111" i="6" s="1"/>
  <c r="BD84" i="6"/>
  <c r="BE84" i="6" s="1"/>
  <c r="BD108" i="6"/>
  <c r="BE108" i="6" s="1"/>
  <c r="BD91" i="6"/>
  <c r="BE91" i="6" s="1"/>
  <c r="BD117" i="6"/>
  <c r="BE117" i="6" s="1"/>
  <c r="BD88" i="6"/>
  <c r="BE88" i="6" s="1"/>
  <c r="BD113" i="6"/>
  <c r="BE113" i="6" s="1"/>
  <c r="BD79" i="6"/>
  <c r="BE79" i="6" s="1"/>
  <c r="BD86" i="6"/>
  <c r="BE86" i="6" s="1"/>
  <c r="BD82" i="6"/>
  <c r="BE82" i="6" s="1"/>
  <c r="BD112" i="6"/>
  <c r="BE112" i="6" s="1"/>
  <c r="BD95" i="6"/>
  <c r="BE95" i="6" s="1"/>
  <c r="BD83" i="6"/>
  <c r="BE83" i="6" s="1"/>
  <c r="BD92" i="6"/>
  <c r="BE92" i="6" s="1"/>
  <c r="BD116" i="6"/>
  <c r="BE116" i="6" s="1"/>
  <c r="BD101" i="6"/>
  <c r="BE101" i="6" s="1"/>
  <c r="BD119" i="6"/>
  <c r="BE119" i="6" s="1"/>
  <c r="BD100" i="6"/>
  <c r="BE100" i="6" s="1"/>
  <c r="BD110" i="6"/>
  <c r="BE110" i="6" s="1"/>
  <c r="BD80" i="6"/>
  <c r="BE80" i="6" s="1"/>
  <c r="BD89" i="6"/>
  <c r="BE89" i="6" s="1"/>
  <c r="BD114" i="6"/>
  <c r="BE114" i="6" s="1"/>
  <c r="BD87" i="6"/>
  <c r="BE87" i="6" s="1"/>
  <c r="BD94" i="6"/>
  <c r="BE94" i="6" s="1"/>
  <c r="BD109" i="6"/>
  <c r="BE109" i="6" s="1"/>
  <c r="BD98" i="6"/>
  <c r="BE98" i="6" s="1"/>
  <c r="BD85" i="6"/>
  <c r="BE85" i="6" s="1"/>
  <c r="BD81" i="6"/>
  <c r="BE81" i="6" s="1"/>
  <c r="BD99" i="6"/>
  <c r="BE99" i="6" s="1"/>
  <c r="BD118" i="6"/>
  <c r="BE118" i="6" s="1"/>
  <c r="BD97" i="6"/>
  <c r="BE97" i="6" s="1"/>
  <c r="BD107" i="6"/>
  <c r="BE107" i="6" s="1"/>
  <c r="BD104" i="6"/>
  <c r="BE104" i="6" s="1"/>
  <c r="BD106" i="6"/>
  <c r="BE106" i="6" s="1"/>
  <c r="BD96" i="6"/>
  <c r="BE96" i="6" s="1"/>
  <c r="BD105" i="6"/>
  <c r="BE105" i="6" s="1"/>
  <c r="BD115" i="6"/>
  <c r="BE115" i="6" s="1"/>
  <c r="BD103" i="6"/>
  <c r="BE103" i="6" s="1"/>
  <c r="AY113" i="6" l="1"/>
  <c r="AM84" i="6"/>
  <c r="AN84" i="6" s="1"/>
  <c r="AO84" i="6" s="1"/>
  <c r="AY115" i="6"/>
  <c r="AY278" i="6"/>
  <c r="AY114" i="6"/>
  <c r="AY167" i="6"/>
  <c r="AY222" i="6"/>
  <c r="AY330" i="6"/>
  <c r="AY329" i="6"/>
  <c r="AY169" i="6"/>
  <c r="AY116" i="6"/>
  <c r="AY277" i="6"/>
  <c r="AY221" i="6"/>
  <c r="AY61" i="6"/>
  <c r="AY59" i="6"/>
  <c r="AY332" i="6"/>
  <c r="AY60" i="6"/>
  <c r="AY224" i="6"/>
  <c r="AY170" i="6"/>
  <c r="AY331" i="6"/>
  <c r="AY168" i="6"/>
  <c r="AY275" i="6"/>
  <c r="BC306" i="6"/>
  <c r="BC304" i="6"/>
  <c r="BC307" i="6"/>
  <c r="BC296" i="6"/>
  <c r="BC309" i="6"/>
  <c r="BC300" i="6"/>
  <c r="BC298" i="6"/>
  <c r="BC312" i="6"/>
  <c r="BC305" i="6"/>
  <c r="BC302" i="6"/>
  <c r="BC299" i="6"/>
  <c r="BC310" i="6"/>
  <c r="BC303" i="6"/>
  <c r="BC301" i="6"/>
  <c r="BC308" i="6"/>
  <c r="BC311" i="6"/>
  <c r="BC295" i="6"/>
  <c r="BC297" i="6"/>
  <c r="BG136" i="6"/>
  <c r="BG147" i="6"/>
  <c r="BG134" i="6"/>
  <c r="BG140" i="6"/>
  <c r="BG149" i="6"/>
  <c r="BG143" i="6"/>
  <c r="BG139" i="6"/>
  <c r="BG144" i="6"/>
  <c r="BG141" i="6"/>
  <c r="BG146" i="6"/>
  <c r="BG138" i="6"/>
  <c r="BG142" i="6"/>
  <c r="BG135" i="6"/>
  <c r="BG133" i="6"/>
  <c r="BG145" i="6"/>
  <c r="BG148" i="6"/>
  <c r="BG137" i="6"/>
  <c r="BC257" i="6"/>
  <c r="BC244" i="6"/>
  <c r="BC256" i="6"/>
  <c r="BC252" i="6"/>
  <c r="BC251" i="6"/>
  <c r="BC242" i="6"/>
  <c r="BC254" i="6"/>
  <c r="BC250" i="6"/>
  <c r="BC241" i="6"/>
  <c r="BC248" i="6"/>
  <c r="BC253" i="6"/>
  <c r="BC249" i="6"/>
  <c r="BC247" i="6"/>
  <c r="BC246" i="6"/>
  <c r="BC243" i="6"/>
  <c r="BC255" i="6"/>
  <c r="BC258" i="6"/>
  <c r="BC245" i="6"/>
  <c r="BB249" i="6"/>
  <c r="BB258" i="6"/>
  <c r="BB247" i="6"/>
  <c r="BB245" i="6"/>
  <c r="BB241" i="6"/>
  <c r="BB257" i="6"/>
  <c r="BB246" i="6"/>
  <c r="BB255" i="6"/>
  <c r="BB244" i="6"/>
  <c r="BB252" i="6"/>
  <c r="BB250" i="6"/>
  <c r="BB243" i="6"/>
  <c r="BB256" i="6"/>
  <c r="BB242" i="6"/>
  <c r="BB248" i="6"/>
  <c r="BB251" i="6"/>
  <c r="BB253" i="6"/>
  <c r="BB254" i="6"/>
  <c r="BF242" i="6"/>
  <c r="BF246" i="6"/>
  <c r="BF248" i="6"/>
  <c r="BF253" i="6"/>
  <c r="BF249" i="6"/>
  <c r="BF243" i="6"/>
  <c r="BF255" i="6"/>
  <c r="BF254" i="6"/>
  <c r="BF241" i="6"/>
  <c r="BF257" i="6"/>
  <c r="BF244" i="6"/>
  <c r="BF251" i="6"/>
  <c r="BF250" i="6"/>
  <c r="BF256" i="6"/>
  <c r="BF247" i="6"/>
  <c r="BF245" i="6"/>
  <c r="BF252" i="6"/>
  <c r="BF296" i="6"/>
  <c r="BF297" i="6"/>
  <c r="BF307" i="6"/>
  <c r="BF310" i="6"/>
  <c r="BF300" i="6"/>
  <c r="BF301" i="6"/>
  <c r="BF295" i="6"/>
  <c r="BF298" i="6"/>
  <c r="BF304" i="6"/>
  <c r="BF305" i="6"/>
  <c r="BF311" i="6"/>
  <c r="BF299" i="6"/>
  <c r="BF302" i="6"/>
  <c r="BF308" i="6"/>
  <c r="BF309" i="6"/>
  <c r="BF303" i="6"/>
  <c r="BF306" i="6"/>
  <c r="BF142" i="6"/>
  <c r="BF133" i="6"/>
  <c r="BF144" i="6"/>
  <c r="BF143" i="6"/>
  <c r="BF139" i="6"/>
  <c r="BF136" i="6"/>
  <c r="BF141" i="6"/>
  <c r="BF146" i="6"/>
  <c r="BF140" i="6"/>
  <c r="BF147" i="6"/>
  <c r="BF137" i="6"/>
  <c r="BF134" i="6"/>
  <c r="BF138" i="6"/>
  <c r="BF148" i="6"/>
  <c r="BF149" i="6"/>
  <c r="BF145" i="6"/>
  <c r="BF135" i="6"/>
  <c r="BB149" i="6"/>
  <c r="BB138" i="6"/>
  <c r="BB146" i="6"/>
  <c r="BB133" i="6"/>
  <c r="BB143" i="6"/>
  <c r="BB147" i="6"/>
  <c r="BB140" i="6"/>
  <c r="BB142" i="6"/>
  <c r="BB139" i="6"/>
  <c r="BB148" i="6"/>
  <c r="BB150" i="6"/>
  <c r="BB135" i="6"/>
  <c r="BB134" i="6"/>
  <c r="BB144" i="6"/>
  <c r="BB141" i="6"/>
  <c r="BB145" i="6"/>
  <c r="BB137" i="6"/>
  <c r="BB136" i="6"/>
  <c r="BG246" i="6"/>
  <c r="BG251" i="6"/>
  <c r="BG256" i="6"/>
  <c r="BG241" i="6"/>
  <c r="BG242" i="6"/>
  <c r="BG249" i="6"/>
  <c r="BG244" i="6"/>
  <c r="BG257" i="6"/>
  <c r="BG252" i="6"/>
  <c r="BG243" i="6"/>
  <c r="BG245" i="6"/>
  <c r="BG254" i="6"/>
  <c r="BG253" i="6"/>
  <c r="BG250" i="6"/>
  <c r="BG247" i="6"/>
  <c r="BG248" i="6"/>
  <c r="BG255" i="6"/>
  <c r="AY223" i="6"/>
  <c r="BG303" i="6"/>
  <c r="BG304" i="6"/>
  <c r="BG310" i="6"/>
  <c r="BG301" i="6"/>
  <c r="BG307" i="6"/>
  <c r="BG309" i="6"/>
  <c r="BG300" i="6"/>
  <c r="BG308" i="6"/>
  <c r="BG295" i="6"/>
  <c r="BG298" i="6"/>
  <c r="BG306" i="6"/>
  <c r="BG297" i="6"/>
  <c r="BG311" i="6"/>
  <c r="BG299" i="6"/>
  <c r="BG305" i="6"/>
  <c r="BG296" i="6"/>
  <c r="BG302" i="6"/>
  <c r="BB295" i="6"/>
  <c r="BB302" i="6"/>
  <c r="BB296" i="6"/>
  <c r="BB299" i="6"/>
  <c r="BB297" i="6"/>
  <c r="BB303" i="6"/>
  <c r="BB301" i="6"/>
  <c r="BB311" i="6"/>
  <c r="BB310" i="6"/>
  <c r="BB304" i="6"/>
  <c r="BB312" i="6"/>
  <c r="BB305" i="6"/>
  <c r="BB307" i="6"/>
  <c r="BB298" i="6"/>
  <c r="BB309" i="6"/>
  <c r="BB300" i="6"/>
  <c r="BB306" i="6"/>
  <c r="BB308" i="6"/>
  <c r="BC146" i="6"/>
  <c r="BC140" i="6"/>
  <c r="BC139" i="6"/>
  <c r="BC150" i="6"/>
  <c r="BC136" i="6"/>
  <c r="BC145" i="6"/>
  <c r="BC138" i="6"/>
  <c r="BC134" i="6"/>
  <c r="BC133" i="6"/>
  <c r="BC143" i="6"/>
  <c r="BC142" i="6"/>
  <c r="BC147" i="6"/>
  <c r="BC135" i="6"/>
  <c r="BC144" i="6"/>
  <c r="BC148" i="6"/>
  <c r="BC141" i="6"/>
  <c r="BC149" i="6"/>
  <c r="BC137" i="6"/>
  <c r="BB86" i="6"/>
  <c r="BB93" i="6"/>
  <c r="BB79" i="6"/>
  <c r="BB88" i="6"/>
  <c r="BB94" i="6"/>
  <c r="BB91" i="6"/>
  <c r="BB96" i="6"/>
  <c r="BB89" i="6"/>
  <c r="BB83" i="6"/>
  <c r="BB82" i="6"/>
  <c r="BB80" i="6"/>
  <c r="BB87" i="6"/>
  <c r="BB90" i="6"/>
  <c r="BB81" i="6"/>
  <c r="BB84" i="6"/>
  <c r="BB92" i="6"/>
  <c r="BB85" i="6"/>
  <c r="BB95" i="6"/>
  <c r="BG80" i="6"/>
  <c r="BG88" i="6"/>
  <c r="BG84" i="6"/>
  <c r="BG89" i="6"/>
  <c r="BG85" i="6"/>
  <c r="BG95" i="6"/>
  <c r="BG90" i="6"/>
  <c r="BG86" i="6"/>
  <c r="BG91" i="6"/>
  <c r="BG92" i="6"/>
  <c r="BG79" i="6"/>
  <c r="BG93" i="6"/>
  <c r="BG81" i="6"/>
  <c r="BG83" i="6"/>
  <c r="BG82" i="6"/>
  <c r="BG94" i="6"/>
  <c r="BG87" i="6"/>
  <c r="BB190" i="6"/>
  <c r="BB187" i="6"/>
  <c r="BB189" i="6"/>
  <c r="BB193" i="6"/>
  <c r="BB198" i="6"/>
  <c r="BB192" i="6"/>
  <c r="BB203" i="6"/>
  <c r="BB201" i="6"/>
  <c r="BB194" i="6"/>
  <c r="BB195" i="6"/>
  <c r="BB199" i="6"/>
  <c r="BB202" i="6"/>
  <c r="BB196" i="6"/>
  <c r="BB197" i="6"/>
  <c r="BB188" i="6"/>
  <c r="BB200" i="6"/>
  <c r="BB191" i="6"/>
  <c r="BB204" i="6"/>
  <c r="BC199" i="6"/>
  <c r="BC197" i="6"/>
  <c r="BC203" i="6"/>
  <c r="BC187" i="6"/>
  <c r="BC192" i="6"/>
  <c r="BC198" i="6"/>
  <c r="BC194" i="6"/>
  <c r="BC204" i="6"/>
  <c r="BC191" i="6"/>
  <c r="BC193" i="6"/>
  <c r="BC189" i="6"/>
  <c r="BC200" i="6"/>
  <c r="BC190" i="6"/>
  <c r="BC188" i="6"/>
  <c r="BC196" i="6"/>
  <c r="BC195" i="6"/>
  <c r="BC202" i="6"/>
  <c r="BC201" i="6"/>
  <c r="BG197" i="6"/>
  <c r="BG198" i="6"/>
  <c r="BG187" i="6"/>
  <c r="BG200" i="6"/>
  <c r="BG201" i="6"/>
  <c r="BG192" i="6"/>
  <c r="BG195" i="6"/>
  <c r="BG191" i="6"/>
  <c r="BG199" i="6"/>
  <c r="BG194" i="6"/>
  <c r="BG189" i="6"/>
  <c r="BG203" i="6"/>
  <c r="BG196" i="6"/>
  <c r="BG190" i="6"/>
  <c r="BG193" i="6"/>
  <c r="BG188" i="6"/>
  <c r="BG202" i="6"/>
  <c r="BF81" i="6"/>
  <c r="BF90" i="6"/>
  <c r="BF85" i="6"/>
  <c r="BF87" i="6"/>
  <c r="BF88" i="6"/>
  <c r="BF80" i="6"/>
  <c r="BF92" i="6"/>
  <c r="BF83" i="6"/>
  <c r="BF94" i="6"/>
  <c r="BF89" i="6"/>
  <c r="BF95" i="6"/>
  <c r="BF82" i="6"/>
  <c r="BF91" i="6"/>
  <c r="BF79" i="6"/>
  <c r="BF84" i="6"/>
  <c r="BF93" i="6"/>
  <c r="BF86" i="6"/>
  <c r="BC94" i="6"/>
  <c r="BC83" i="6"/>
  <c r="BC86" i="6"/>
  <c r="BC85" i="6"/>
  <c r="BC87" i="6"/>
  <c r="BC93" i="6"/>
  <c r="BC89" i="6"/>
  <c r="BC92" i="6"/>
  <c r="BC96" i="6"/>
  <c r="BC95" i="6"/>
  <c r="BC81" i="6"/>
  <c r="BC80" i="6"/>
  <c r="BC91" i="6"/>
  <c r="BC88" i="6"/>
  <c r="BC79" i="6"/>
  <c r="BC90" i="6"/>
  <c r="BC84" i="6"/>
  <c r="BC82" i="6"/>
  <c r="BF198" i="6"/>
  <c r="BF202" i="6"/>
  <c r="BF190" i="6"/>
  <c r="BF194" i="6"/>
  <c r="BF192" i="6"/>
  <c r="BF191" i="6"/>
  <c r="BF193" i="6"/>
  <c r="BF187" i="6"/>
  <c r="BF188" i="6"/>
  <c r="BF199" i="6"/>
  <c r="BF189" i="6"/>
  <c r="BF201" i="6"/>
  <c r="BF203" i="6"/>
  <c r="BF197" i="6"/>
  <c r="BF195" i="6"/>
  <c r="BF196" i="6"/>
  <c r="BF200" i="6"/>
  <c r="S292" i="6"/>
  <c r="AH339" i="6"/>
  <c r="AI320" i="6" s="1"/>
  <c r="AH335" i="6"/>
  <c r="AH331" i="6"/>
  <c r="AH325" i="6"/>
  <c r="AH323" i="6"/>
  <c r="AH321" i="6"/>
  <c r="AH341" i="6"/>
  <c r="AI322" i="6" s="1"/>
  <c r="AH337" i="6"/>
  <c r="AH340" i="6"/>
  <c r="AI321" i="6" s="1"/>
  <c r="AH336" i="6"/>
  <c r="AH330" i="6"/>
  <c r="AH327" i="6"/>
  <c r="AH324" i="6"/>
  <c r="AH319" i="6"/>
  <c r="AH342" i="6"/>
  <c r="AI323" i="6" s="1"/>
  <c r="AH328" i="6"/>
  <c r="AH322" i="6"/>
  <c r="AH338" i="6"/>
  <c r="AI319" i="6" s="1"/>
  <c r="AH329" i="6"/>
  <c r="AH320" i="6"/>
  <c r="AH334" i="6"/>
  <c r="AH332" i="6"/>
  <c r="AH333" i="6"/>
  <c r="AH326" i="6"/>
  <c r="AH68" i="6"/>
  <c r="AH70" i="6"/>
  <c r="AH72" i="6"/>
  <c r="AI53" i="6" s="1"/>
  <c r="AH53" i="6"/>
  <c r="AH56" i="6"/>
  <c r="AI56" i="6" s="1"/>
  <c r="AH57" i="6"/>
  <c r="AI57" i="6" s="1"/>
  <c r="AH62" i="6"/>
  <c r="AI62" i="6" s="1"/>
  <c r="AH64" i="6"/>
  <c r="AI64" i="6" s="1"/>
  <c r="AH65" i="6"/>
  <c r="AI65" i="6" s="1"/>
  <c r="AH66" i="6"/>
  <c r="AI66" i="6" s="1"/>
  <c r="AH52" i="6"/>
  <c r="AH69" i="6"/>
  <c r="AH71" i="6"/>
  <c r="AH60" i="6"/>
  <c r="AI60" i="6" s="1"/>
  <c r="AH67" i="6"/>
  <c r="AI67" i="6" s="1"/>
  <c r="AH49" i="6"/>
  <c r="AH50" i="6"/>
  <c r="AH51" i="6"/>
  <c r="AH54" i="6"/>
  <c r="AI54" i="6" s="1"/>
  <c r="AH58" i="6"/>
  <c r="AI58" i="6" s="1"/>
  <c r="AH59" i="6"/>
  <c r="AI59" i="6" s="1"/>
  <c r="AH63" i="6"/>
  <c r="AI63" i="6" s="1"/>
  <c r="AH55" i="6"/>
  <c r="AI55" i="6" s="1"/>
  <c r="AH61" i="6"/>
  <c r="AI61" i="6" s="1"/>
  <c r="D22" i="6"/>
  <c r="W207" i="6"/>
  <c r="S184" i="6"/>
  <c r="D207" i="6"/>
  <c r="AU26" i="6"/>
  <c r="AW26" i="6" s="1"/>
  <c r="AH25" i="6" s="1"/>
  <c r="AI25" i="6" s="1"/>
  <c r="W77" i="6"/>
  <c r="W99" i="6"/>
  <c r="D99" i="6"/>
  <c r="D153" i="6"/>
  <c r="W131" i="6"/>
  <c r="S158" i="6"/>
  <c r="W261" i="6"/>
  <c r="BH25" i="6"/>
  <c r="BH27" i="6"/>
  <c r="BH32" i="6"/>
  <c r="BH34" i="6"/>
  <c r="BH37" i="6"/>
  <c r="BH28" i="6"/>
  <c r="BH30" i="6"/>
  <c r="BH31" i="6"/>
  <c r="BH39" i="6"/>
  <c r="BH41" i="6"/>
  <c r="BH33" i="6"/>
  <c r="BH36" i="6"/>
  <c r="BH26" i="6"/>
  <c r="BH29" i="6"/>
  <c r="BH35" i="6"/>
  <c r="BH38" i="6"/>
  <c r="BH40" i="6"/>
  <c r="BG28" i="6"/>
  <c r="BG30" i="6"/>
  <c r="BG31" i="6"/>
  <c r="BG39" i="6"/>
  <c r="BG41" i="6"/>
  <c r="BG33" i="6"/>
  <c r="BG36" i="6"/>
  <c r="BG25" i="6"/>
  <c r="BG26" i="6"/>
  <c r="BG29" i="6"/>
  <c r="BG35" i="6"/>
  <c r="BG38" i="6"/>
  <c r="BG40" i="6"/>
  <c r="BG27" i="6"/>
  <c r="BG32" i="6"/>
  <c r="BG34" i="6"/>
  <c r="BG37" i="6"/>
  <c r="BD27" i="6"/>
  <c r="BE27" i="6" s="1"/>
  <c r="BD32" i="6"/>
  <c r="BE32" i="6" s="1"/>
  <c r="BD34" i="6"/>
  <c r="BE34" i="6" s="1"/>
  <c r="BD37" i="6"/>
  <c r="BE37" i="6" s="1"/>
  <c r="BD43" i="6"/>
  <c r="BE43" i="6" s="1"/>
  <c r="BD47" i="6"/>
  <c r="BE47" i="6" s="1"/>
  <c r="BD49" i="6"/>
  <c r="BE49" i="6" s="1"/>
  <c r="BD50" i="6"/>
  <c r="BE50" i="6" s="1"/>
  <c r="BD51" i="6"/>
  <c r="BE51" i="6" s="1"/>
  <c r="BD54" i="6"/>
  <c r="BE54" i="6" s="1"/>
  <c r="BD58" i="6"/>
  <c r="BE58" i="6" s="1"/>
  <c r="BD59" i="6"/>
  <c r="BE59" i="6" s="1"/>
  <c r="BD25" i="6"/>
  <c r="BE25" i="6" s="1"/>
  <c r="BD28" i="6"/>
  <c r="BE28" i="6" s="1"/>
  <c r="BD30" i="6"/>
  <c r="BE30" i="6" s="1"/>
  <c r="BD31" i="6"/>
  <c r="BE31" i="6" s="1"/>
  <c r="BD39" i="6"/>
  <c r="BE39" i="6" s="1"/>
  <c r="BD41" i="6"/>
  <c r="BE41" i="6" s="1"/>
  <c r="BD45" i="6"/>
  <c r="BE45" i="6" s="1"/>
  <c r="BD48" i="6"/>
  <c r="BE48" i="6" s="1"/>
  <c r="BD53" i="6"/>
  <c r="BE53" i="6" s="1"/>
  <c r="BD33" i="6"/>
  <c r="BE33" i="6" s="1"/>
  <c r="BD36" i="6"/>
  <c r="BE36" i="6" s="1"/>
  <c r="BD42" i="6"/>
  <c r="BE42" i="6" s="1"/>
  <c r="BD46" i="6"/>
  <c r="BE46" i="6" s="1"/>
  <c r="BD52" i="6"/>
  <c r="BE52" i="6" s="1"/>
  <c r="BD55" i="6"/>
  <c r="BE55" i="6" s="1"/>
  <c r="BD61" i="6"/>
  <c r="BE61" i="6" s="1"/>
  <c r="BD63" i="6"/>
  <c r="BE63" i="6" s="1"/>
  <c r="BD64" i="6"/>
  <c r="BE64" i="6" s="1"/>
  <c r="BD65" i="6"/>
  <c r="BE65" i="6" s="1"/>
  <c r="BD26" i="6"/>
  <c r="BE26" i="6" s="1"/>
  <c r="BD29" i="6"/>
  <c r="BE29" i="6" s="1"/>
  <c r="BD35" i="6"/>
  <c r="BE35" i="6" s="1"/>
  <c r="BD38" i="6"/>
  <c r="BE38" i="6" s="1"/>
  <c r="BD40" i="6"/>
  <c r="BE40" i="6" s="1"/>
  <c r="BD44" i="6"/>
  <c r="BE44" i="6" s="1"/>
  <c r="BD60" i="6"/>
  <c r="BE60" i="6" s="1"/>
  <c r="BD62" i="6"/>
  <c r="BE62" i="6" s="1"/>
  <c r="BD56" i="6"/>
  <c r="BE56" i="6" s="1"/>
  <c r="BD57" i="6"/>
  <c r="BE57" i="6" s="1"/>
  <c r="D320" i="6"/>
  <c r="D315" i="6"/>
  <c r="D293" i="6"/>
  <c r="D292" i="6"/>
  <c r="S50" i="6"/>
  <c r="D45" i="6"/>
  <c r="D185" i="6"/>
  <c r="S212" i="6"/>
  <c r="D104" i="6"/>
  <c r="S104" i="6"/>
  <c r="AH124" i="6"/>
  <c r="AI105" i="6" s="1"/>
  <c r="AH120" i="6"/>
  <c r="AH114" i="6"/>
  <c r="AH111" i="6"/>
  <c r="AH108" i="6"/>
  <c r="AH103" i="6"/>
  <c r="AH123" i="6"/>
  <c r="AI104" i="6" s="1"/>
  <c r="AH118" i="6"/>
  <c r="AH116" i="6"/>
  <c r="AH113" i="6"/>
  <c r="AH107" i="6"/>
  <c r="AH104" i="6"/>
  <c r="AH122" i="6"/>
  <c r="AI103" i="6" s="1"/>
  <c r="AH117" i="6"/>
  <c r="AH109" i="6"/>
  <c r="AH126" i="6"/>
  <c r="AI107" i="6" s="1"/>
  <c r="AH121" i="6"/>
  <c r="AH106" i="6"/>
  <c r="AH125" i="6"/>
  <c r="AI106" i="6" s="1"/>
  <c r="AH119" i="6"/>
  <c r="AH115" i="6"/>
  <c r="AH112" i="6"/>
  <c r="AH110" i="6"/>
  <c r="AH105" i="6"/>
  <c r="D131" i="6"/>
  <c r="S238" i="6"/>
  <c r="D261" i="6"/>
  <c r="W239" i="6"/>
  <c r="D238" i="6"/>
  <c r="BF25" i="6"/>
  <c r="BF33" i="6"/>
  <c r="BF36" i="6"/>
  <c r="BF26" i="6"/>
  <c r="BF29" i="6"/>
  <c r="BF35" i="6"/>
  <c r="BF38" i="6"/>
  <c r="BF40" i="6"/>
  <c r="BF27" i="6"/>
  <c r="BF32" i="6"/>
  <c r="BF34" i="6"/>
  <c r="BF37" i="6"/>
  <c r="BF28" i="6"/>
  <c r="BF30" i="6"/>
  <c r="BF31" i="6"/>
  <c r="BF39" i="6"/>
  <c r="BF41" i="6"/>
  <c r="BB33" i="6"/>
  <c r="BB36" i="6"/>
  <c r="BB42" i="6"/>
  <c r="BB25" i="6"/>
  <c r="BB26" i="6"/>
  <c r="BB29" i="6"/>
  <c r="BB35" i="6"/>
  <c r="BB38" i="6"/>
  <c r="BB40" i="6"/>
  <c r="BB27" i="6"/>
  <c r="BB32" i="6"/>
  <c r="BB34" i="6"/>
  <c r="BB37" i="6"/>
  <c r="BB28" i="6"/>
  <c r="BB30" i="6"/>
  <c r="BB31" i="6"/>
  <c r="BB39" i="6"/>
  <c r="BB41" i="6"/>
  <c r="AP134" i="6"/>
  <c r="AR134" i="6" s="1"/>
  <c r="AC55" i="6"/>
  <c r="AC217" i="6"/>
  <c r="AC325" i="6"/>
  <c r="AC271" i="6"/>
  <c r="AC163" i="6"/>
  <c r="AC109" i="6"/>
  <c r="W315" i="6"/>
  <c r="S320" i="6"/>
  <c r="D50" i="6"/>
  <c r="W23" i="6"/>
  <c r="W45" i="6"/>
  <c r="W185" i="6"/>
  <c r="D184" i="6"/>
  <c r="AH234" i="6"/>
  <c r="AI215" i="6" s="1"/>
  <c r="AH230" i="6"/>
  <c r="AI211" i="6" s="1"/>
  <c r="AH226" i="6"/>
  <c r="AH224" i="6"/>
  <c r="AH220" i="6"/>
  <c r="AH212" i="6"/>
  <c r="AH231" i="6"/>
  <c r="AI212" i="6" s="1"/>
  <c r="AH227" i="6"/>
  <c r="AH223" i="6"/>
  <c r="AH217" i="6"/>
  <c r="AH215" i="6"/>
  <c r="AH213" i="6"/>
  <c r="AH232" i="6"/>
  <c r="AI213" i="6" s="1"/>
  <c r="AH211" i="6"/>
  <c r="AH229" i="6"/>
  <c r="AH221" i="6"/>
  <c r="AH219" i="6"/>
  <c r="AH214" i="6"/>
  <c r="AH228" i="6"/>
  <c r="AH222" i="6"/>
  <c r="AH233" i="6"/>
  <c r="AI214" i="6" s="1"/>
  <c r="AH225" i="6"/>
  <c r="AH218" i="6"/>
  <c r="AH216" i="6"/>
  <c r="AP188" i="6"/>
  <c r="AR188" i="6" s="1"/>
  <c r="D76" i="6"/>
  <c r="D77" i="6"/>
  <c r="S130" i="6"/>
  <c r="W153" i="6"/>
  <c r="AH177" i="6"/>
  <c r="AI158" i="6" s="1"/>
  <c r="AH173" i="6"/>
  <c r="AH169" i="6"/>
  <c r="AH163" i="6"/>
  <c r="AH161" i="6"/>
  <c r="AH159" i="6"/>
  <c r="AH176" i="6"/>
  <c r="AI157" i="6" s="1"/>
  <c r="AH171" i="6"/>
  <c r="AH168" i="6"/>
  <c r="AH165" i="6"/>
  <c r="AH160" i="6"/>
  <c r="AH157" i="6"/>
  <c r="AH180" i="6"/>
  <c r="AI161" i="6" s="1"/>
  <c r="AH175" i="6"/>
  <c r="AH179" i="6"/>
  <c r="AI160" i="6" s="1"/>
  <c r="AH174" i="6"/>
  <c r="AH166" i="6"/>
  <c r="AH164" i="6"/>
  <c r="AH162" i="6"/>
  <c r="AH158" i="6"/>
  <c r="AH178" i="6"/>
  <c r="AI159" i="6" s="1"/>
  <c r="AH172" i="6"/>
  <c r="AH170" i="6"/>
  <c r="AH167" i="6"/>
  <c r="S266" i="6"/>
  <c r="BC28" i="6"/>
  <c r="AM30" i="6" s="1"/>
  <c r="AN30" i="6" s="1"/>
  <c r="AO30" i="6" s="1"/>
  <c r="BC30" i="6"/>
  <c r="BC31" i="6"/>
  <c r="BC39" i="6"/>
  <c r="BC41" i="6"/>
  <c r="BC33" i="6"/>
  <c r="BC36" i="6"/>
  <c r="AM38" i="6" s="1"/>
  <c r="AN38" i="6" s="1"/>
  <c r="AO38" i="6" s="1"/>
  <c r="BC42" i="6"/>
  <c r="BC26" i="6"/>
  <c r="AM28" i="6" s="1"/>
  <c r="AN28" i="6" s="1"/>
  <c r="AO28" i="6" s="1"/>
  <c r="BC29" i="6"/>
  <c r="AM31" i="6" s="1"/>
  <c r="AN31" i="6" s="1"/>
  <c r="AO31" i="6" s="1"/>
  <c r="BC35" i="6"/>
  <c r="AM37" i="6" s="1"/>
  <c r="AN37" i="6" s="1"/>
  <c r="AO37" i="6" s="1"/>
  <c r="BC38" i="6"/>
  <c r="BC40" i="6"/>
  <c r="BC25" i="6"/>
  <c r="AM27" i="6" s="1"/>
  <c r="AN27" i="6" s="1"/>
  <c r="AO27" i="6" s="1"/>
  <c r="BC27" i="6"/>
  <c r="AM29" i="6" s="1"/>
  <c r="AN29" i="6" s="1"/>
  <c r="AO29" i="6" s="1"/>
  <c r="BC32" i="6"/>
  <c r="BC34" i="6"/>
  <c r="BC37" i="6"/>
  <c r="W293" i="6"/>
  <c r="S22" i="6"/>
  <c r="D23" i="6"/>
  <c r="D212" i="6"/>
  <c r="S76" i="6"/>
  <c r="D130" i="6"/>
  <c r="D158" i="6"/>
  <c r="D239" i="6"/>
  <c r="D266" i="6"/>
  <c r="AH287" i="6"/>
  <c r="AI268" i="6" s="1"/>
  <c r="AH283" i="6"/>
  <c r="AH279" i="6"/>
  <c r="AH275" i="6"/>
  <c r="AH272" i="6"/>
  <c r="AH268" i="6"/>
  <c r="AH288" i="6"/>
  <c r="AI269" i="6" s="1"/>
  <c r="AH284" i="6"/>
  <c r="AI265" i="6" s="1"/>
  <c r="AH280" i="6"/>
  <c r="AH278" i="6"/>
  <c r="AH274" i="6"/>
  <c r="AH266" i="6"/>
  <c r="AH281" i="6"/>
  <c r="AH276" i="6"/>
  <c r="AH286" i="6"/>
  <c r="AI267" i="6" s="1"/>
  <c r="AH277" i="6"/>
  <c r="AH270" i="6"/>
  <c r="AH267" i="6"/>
  <c r="AH285" i="6"/>
  <c r="AI266" i="6" s="1"/>
  <c r="AH273" i="6"/>
  <c r="AH271" i="6"/>
  <c r="AH269" i="6"/>
  <c r="AH265" i="6"/>
  <c r="AH282" i="6"/>
  <c r="AP242" i="6"/>
  <c r="AR242" i="6" s="1"/>
  <c r="AP296" i="6"/>
  <c r="AR296" i="6" s="1"/>
  <c r="AP81" i="6" l="1" a="1"/>
  <c r="AP27" i="6" a="1"/>
  <c r="AM36" i="6"/>
  <c r="AN36" i="6" s="1"/>
  <c r="AO36" i="6" s="1"/>
  <c r="AI52" i="6"/>
  <c r="AM35" i="6" s="1"/>
  <c r="AN35" i="6" s="1"/>
  <c r="AO35" i="6" s="1"/>
  <c r="AI51" i="6"/>
  <c r="AM34" i="6" s="1"/>
  <c r="AN34" i="6" s="1"/>
  <c r="AO34" i="6" s="1"/>
  <c r="AI49" i="6"/>
  <c r="AM32" i="6" s="1"/>
  <c r="AN32" i="6" s="1"/>
  <c r="AO32" i="6" s="1"/>
  <c r="AI68" i="6"/>
  <c r="AI50" i="6"/>
  <c r="AM33" i="6" s="1"/>
  <c r="AN33" i="6" s="1"/>
  <c r="AO33" i="6" s="1"/>
  <c r="AS248" i="6"/>
  <c r="AT248" i="6" s="1"/>
  <c r="AG241" i="6"/>
  <c r="AS243" i="6"/>
  <c r="AS244" i="6"/>
  <c r="AS246" i="6"/>
  <c r="AT246" i="6" s="1"/>
  <c r="AS245" i="6"/>
  <c r="AS247" i="6"/>
  <c r="AT247" i="6" s="1"/>
  <c r="AG133" i="6"/>
  <c r="AS137" i="6"/>
  <c r="AS136" i="6"/>
  <c r="AS138" i="6"/>
  <c r="AT138" i="6" s="1"/>
  <c r="AS139" i="6"/>
  <c r="AT139" i="6" s="1"/>
  <c r="AS135" i="6"/>
  <c r="AS140" i="6"/>
  <c r="AT140" i="6" s="1"/>
  <c r="AJ25" i="6"/>
  <c r="AL25" i="6" s="1"/>
  <c r="AJ48" i="6"/>
  <c r="AG295" i="6"/>
  <c r="AS298" i="6"/>
  <c r="AS297" i="6"/>
  <c r="AS299" i="6"/>
  <c r="AS301" i="6"/>
  <c r="AT301" i="6" s="1"/>
  <c r="AS300" i="6"/>
  <c r="AT300" i="6" s="1"/>
  <c r="AS302" i="6"/>
  <c r="AT302" i="6" s="1"/>
  <c r="AS192" i="6"/>
  <c r="AT192" i="6" s="1"/>
  <c r="AS190" i="6"/>
  <c r="AS193" i="6"/>
  <c r="AT193" i="6" s="1"/>
  <c r="AS191" i="6"/>
  <c r="AS189" i="6"/>
  <c r="AS194" i="6"/>
  <c r="AT194" i="6" s="1"/>
  <c r="AG187" i="6"/>
  <c r="AP51" i="6" l="1"/>
  <c r="AQ51" i="6" s="1"/>
  <c r="AP39" i="6"/>
  <c r="AQ39" i="6" s="1"/>
  <c r="AP50" i="6"/>
  <c r="AQ50" i="6" s="1"/>
  <c r="AP45" i="6"/>
  <c r="AQ45" i="6" s="1"/>
  <c r="AP52" i="6"/>
  <c r="AQ52" i="6" s="1"/>
  <c r="AP42" i="6"/>
  <c r="AQ42" i="6" s="1"/>
  <c r="AP28" i="6"/>
  <c r="AQ28" i="6" s="1"/>
  <c r="AP49" i="6"/>
  <c r="AQ49" i="6" s="1"/>
  <c r="AP35" i="6"/>
  <c r="AQ35" i="6" s="1"/>
  <c r="AP46" i="6"/>
  <c r="AQ46" i="6" s="1"/>
  <c r="AP41" i="6"/>
  <c r="AQ41" i="6" s="1"/>
  <c r="AP48" i="6"/>
  <c r="AQ48" i="6" s="1"/>
  <c r="AP34" i="6"/>
  <c r="AQ34" i="6" s="1"/>
  <c r="AP47" i="6"/>
  <c r="AQ47" i="6" s="1"/>
  <c r="AP33" i="6"/>
  <c r="AQ33" i="6" s="1"/>
  <c r="AP40" i="6"/>
  <c r="AQ40" i="6" s="1"/>
  <c r="AP37" i="6"/>
  <c r="AQ37" i="6" s="1"/>
  <c r="AP38" i="6"/>
  <c r="AQ38" i="6" s="1"/>
  <c r="AP44" i="6"/>
  <c r="AQ44" i="6" s="1"/>
  <c r="AP27" i="6"/>
  <c r="AP43" i="6"/>
  <c r="AQ43" i="6" s="1"/>
  <c r="AP29" i="6"/>
  <c r="AQ29" i="6" s="1"/>
  <c r="AP32" i="6"/>
  <c r="AQ32" i="6" s="1"/>
  <c r="AP31" i="6"/>
  <c r="AQ31" i="6" s="1"/>
  <c r="AP30" i="6"/>
  <c r="AQ30" i="6" s="1"/>
  <c r="AP36" i="6"/>
  <c r="AQ36" i="6" s="1"/>
  <c r="AP102" i="6"/>
  <c r="AQ102" i="6" s="1"/>
  <c r="AP89" i="6"/>
  <c r="AQ89" i="6" s="1"/>
  <c r="AP92" i="6"/>
  <c r="AQ92" i="6" s="1"/>
  <c r="AP88" i="6"/>
  <c r="AQ88" i="6" s="1"/>
  <c r="AP85" i="6"/>
  <c r="AQ85" i="6" s="1"/>
  <c r="AP100" i="6"/>
  <c r="AQ100" i="6" s="1"/>
  <c r="AP84" i="6"/>
  <c r="AQ84" i="6" s="1"/>
  <c r="AP104" i="6"/>
  <c r="AQ104" i="6" s="1"/>
  <c r="AP83" i="6"/>
  <c r="AQ83" i="6" s="1"/>
  <c r="AP99" i="6"/>
  <c r="AQ99" i="6" s="1"/>
  <c r="AP95" i="6"/>
  <c r="AQ95" i="6" s="1"/>
  <c r="AP86" i="6"/>
  <c r="AQ86" i="6" s="1"/>
  <c r="AP81" i="6"/>
  <c r="AP98" i="6"/>
  <c r="AQ98" i="6" s="1"/>
  <c r="AP103" i="6"/>
  <c r="AQ103" i="6" s="1"/>
  <c r="AP97" i="6"/>
  <c r="AQ97" i="6" s="1"/>
  <c r="AP94" i="6"/>
  <c r="AQ94" i="6" s="1"/>
  <c r="AP106" i="6"/>
  <c r="AQ106" i="6" s="1"/>
  <c r="AP82" i="6"/>
  <c r="AQ82" i="6" s="1"/>
  <c r="AP96" i="6"/>
  <c r="AQ96" i="6" s="1"/>
  <c r="AP101" i="6"/>
  <c r="AQ101" i="6" s="1"/>
  <c r="AP87" i="6"/>
  <c r="AQ87" i="6" s="1"/>
  <c r="AP90" i="6"/>
  <c r="AQ90" i="6" s="1"/>
  <c r="AP105" i="6"/>
  <c r="AQ105" i="6" s="1"/>
  <c r="AP93" i="6"/>
  <c r="AQ93" i="6" s="1"/>
  <c r="AP91" i="6"/>
  <c r="AQ91" i="6" s="1"/>
  <c r="AT298" i="6"/>
  <c r="AU298" i="6"/>
  <c r="AU190" i="6"/>
  <c r="AT190" i="6"/>
  <c r="AT135" i="6"/>
  <c r="AU135" i="6"/>
  <c r="AU134" i="6" s="1"/>
  <c r="AW134" i="6" s="1"/>
  <c r="AH133" i="6" s="1"/>
  <c r="AI133" i="6" s="1"/>
  <c r="AU137" i="6"/>
  <c r="AT137" i="6"/>
  <c r="AU244" i="6"/>
  <c r="AT244" i="6"/>
  <c r="AU189" i="6"/>
  <c r="AU188" i="6" s="1"/>
  <c r="AW188" i="6" s="1"/>
  <c r="AH187" i="6" s="1"/>
  <c r="AI187" i="6" s="1"/>
  <c r="AT189" i="6"/>
  <c r="AU299" i="6"/>
  <c r="AT299" i="6"/>
  <c r="AT243" i="6"/>
  <c r="AU243" i="6"/>
  <c r="AU242" i="6" s="1"/>
  <c r="AW242" i="6" s="1"/>
  <c r="AH241" i="6" s="1"/>
  <c r="AI241" i="6" s="1"/>
  <c r="AT191" i="6"/>
  <c r="AU191" i="6"/>
  <c r="AU297" i="6"/>
  <c r="AU296" i="6" s="1"/>
  <c r="AW296" i="6" s="1"/>
  <c r="AH295" i="6" s="1"/>
  <c r="AI295" i="6" s="1"/>
  <c r="AT297" i="6"/>
  <c r="AT245" i="6"/>
  <c r="AU245" i="6"/>
  <c r="AT136" i="6"/>
  <c r="AU136" i="6"/>
  <c r="AQ27" i="6" l="1"/>
  <c r="AP26" i="6"/>
  <c r="AQ81" i="6"/>
  <c r="AP80" i="6"/>
  <c r="AR80" i="6" s="1"/>
  <c r="AS81" i="6" l="1"/>
  <c r="AS84" i="6"/>
  <c r="AT84" i="6" s="1"/>
  <c r="AS83" i="6"/>
  <c r="AS86" i="6"/>
  <c r="AT86" i="6" s="1"/>
  <c r="AS82" i="6"/>
  <c r="AG79" i="6"/>
  <c r="AS85" i="6"/>
  <c r="AT85" i="6" s="1"/>
  <c r="AT83" i="6" l="1"/>
  <c r="AU83" i="6"/>
  <c r="AU82" i="6"/>
  <c r="AT82" i="6"/>
  <c r="AT81" i="6"/>
  <c r="AU81" i="6"/>
  <c r="AU80" i="6" s="1"/>
  <c r="AW80" i="6" s="1"/>
  <c r="AH79" i="6" s="1"/>
  <c r="AI7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Paja</author>
  </authors>
  <commentList>
    <comment ref="BD22" authorId="0" shapeId="0" xr:uid="{00000000-0006-0000-0100-000001000000}">
      <text>
        <r>
          <rPr>
            <b/>
            <sz val="9"/>
            <color indexed="81"/>
            <rFont val="Tahoma"/>
            <family val="2"/>
            <charset val="238"/>
          </rPr>
          <t xml:space="preserve">Zjištění zda je závěs vložený, pak se vyhodí 1 jinak se vyhodí 2
</t>
        </r>
      </text>
    </comment>
    <comment ref="G44" authorId="1" shapeId="0" xr:uid="{00000000-0006-0000-0100-000002000000}">
      <text>
        <r>
          <rPr>
            <b/>
            <sz val="9"/>
            <color indexed="81"/>
            <rFont val="Tahoma"/>
            <family val="2"/>
            <charset val="238"/>
          </rPr>
          <t>Vyplňte pouze pokud nebude vrtání symetricky na střed</t>
        </r>
      </text>
    </comment>
    <comment ref="S44" authorId="1" shapeId="0" xr:uid="{00000000-0006-0000-0100-000003000000}">
      <text>
        <r>
          <rPr>
            <b/>
            <sz val="9"/>
            <color indexed="81"/>
            <rFont val="Tahoma"/>
            <family val="2"/>
            <charset val="238"/>
          </rPr>
          <t>Vyplňte pouze pokud nebude vrtání symetricky na střed</t>
        </r>
      </text>
    </comment>
    <comment ref="BD76" authorId="0" shapeId="0" xr:uid="{00000000-0006-0000-0100-000004000000}">
      <text>
        <r>
          <rPr>
            <b/>
            <sz val="9"/>
            <color indexed="81"/>
            <rFont val="Tahoma"/>
            <family val="2"/>
            <charset val="238"/>
          </rPr>
          <t xml:space="preserve">Zjištění zda je závěs vložený, pak se vyhodí 1 jinak se vyhodí 2
</t>
        </r>
      </text>
    </comment>
    <comment ref="BD130" authorId="0" shapeId="0" xr:uid="{00000000-0006-0000-0100-000005000000}">
      <text>
        <r>
          <rPr>
            <b/>
            <sz val="9"/>
            <color indexed="81"/>
            <rFont val="Tahoma"/>
            <family val="2"/>
            <charset val="238"/>
          </rPr>
          <t xml:space="preserve">Zjištění zda je závěs vložený, pak se vyhodí 1 jinak se vyhodí 2
</t>
        </r>
      </text>
    </comment>
    <comment ref="BD184" authorId="0" shapeId="0" xr:uid="{00000000-0006-0000-0100-000006000000}">
      <text>
        <r>
          <rPr>
            <b/>
            <sz val="9"/>
            <color indexed="81"/>
            <rFont val="Tahoma"/>
            <family val="2"/>
            <charset val="238"/>
          </rPr>
          <t xml:space="preserve">Zjištění zda je závěs vložený, pak se vyhodí 1 jinak se vyhodí 2
</t>
        </r>
      </text>
    </comment>
    <comment ref="BD238" authorId="0" shapeId="0" xr:uid="{00000000-0006-0000-0100-000007000000}">
      <text>
        <r>
          <rPr>
            <b/>
            <sz val="9"/>
            <color indexed="81"/>
            <rFont val="Tahoma"/>
            <family val="2"/>
            <charset val="238"/>
          </rPr>
          <t xml:space="preserve">Zjištění zda je závěs vložený, pak se vyhodí 1 jinak se vyhodí 2
</t>
        </r>
      </text>
    </comment>
    <comment ref="BD292" authorId="0" shapeId="0" xr:uid="{00000000-0006-0000-0100-000008000000}">
      <text>
        <r>
          <rPr>
            <b/>
            <sz val="9"/>
            <color indexed="81"/>
            <rFont val="Tahoma"/>
            <family val="2"/>
            <charset val="238"/>
          </rPr>
          <t xml:space="preserve">Zjištění zda je závěs vložený, pak se vyhodí 1 jinak se vyhodí 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Q5" authorId="0" shapeId="0" xr:uid="{00000000-0006-0000-0200-000001000000}">
      <text>
        <r>
          <rPr>
            <b/>
            <sz val="9"/>
            <color indexed="81"/>
            <rFont val="Tahoma"/>
            <family val="2"/>
            <charset val="238"/>
          </rPr>
          <t>Keller Tomáš:</t>
        </r>
        <r>
          <rPr>
            <sz val="9"/>
            <color indexed="81"/>
            <rFont val="Tahoma"/>
            <family val="2"/>
            <charset val="238"/>
          </rPr>
          <t xml:space="preserve">
1 - úzký rámeček
2 - šširoký rámeček</t>
        </r>
      </text>
    </comment>
    <comment ref="R5" authorId="0" shapeId="0" xr:uid="{00000000-0006-0000-0200-000002000000}">
      <text>
        <r>
          <rPr>
            <b/>
            <sz val="9"/>
            <color indexed="81"/>
            <rFont val="Tahoma"/>
            <family val="2"/>
            <charset val="238"/>
          </rPr>
          <t>Keller Tomáš:</t>
        </r>
        <r>
          <rPr>
            <sz val="9"/>
            <color indexed="81"/>
            <rFont val="Tahoma"/>
            <family val="2"/>
            <charset val="238"/>
          </rPr>
          <t xml:space="preserve">
1 - všechny skla
2 - skla které jsou lepit (ne průhledné)</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96DF10C3-00B2-4C99-BDB0-28A18F1D7FE5}">
      <text>
        <r>
          <rPr>
            <b/>
            <sz val="9"/>
            <color indexed="81"/>
            <rFont val="Tahoma"/>
            <family val="2"/>
            <charset val="238"/>
          </rPr>
          <t>Keller Tomáš:</t>
        </r>
        <r>
          <rPr>
            <sz val="9"/>
            <color indexed="81"/>
            <rFont val="Tahoma"/>
            <family val="2"/>
            <charset val="238"/>
          </rPr>
          <t xml:space="preserve">
1 - úzký rámeček
2 - šširoký rámeček</t>
        </r>
      </text>
    </comment>
    <comment ref="U5" authorId="0" shapeId="0" xr:uid="{8B3E8EE1-F399-4386-9419-EC5DFBF881B3}">
      <text>
        <r>
          <rPr>
            <b/>
            <sz val="9"/>
            <color indexed="81"/>
            <rFont val="Tahoma"/>
            <family val="2"/>
            <charset val="238"/>
          </rPr>
          <t>Keller Tomáš:</t>
        </r>
        <r>
          <rPr>
            <sz val="9"/>
            <color indexed="81"/>
            <rFont val="Tahoma"/>
            <family val="2"/>
            <charset val="238"/>
          </rPr>
          <t xml:space="preserve">
1 - všechny skla
2 - skla které jsou lepit (ne průhledné)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<sst xmlns="http://schemas.openxmlformats.org/spreadsheetml/2006/main" count="18561" uniqueCount="3523">
  <si>
    <t>1.</t>
  </si>
  <si>
    <t>2.</t>
  </si>
  <si>
    <t>3.</t>
  </si>
  <si>
    <t>4.</t>
  </si>
  <si>
    <t>5.</t>
  </si>
  <si>
    <t>6.</t>
  </si>
  <si>
    <t>Konstanta</t>
  </si>
  <si>
    <t>panty FGV</t>
  </si>
  <si>
    <t>podlož. doporučená</t>
  </si>
  <si>
    <t>panty Blum</t>
  </si>
  <si>
    <t>45° clip</t>
  </si>
  <si>
    <t>profily BRW1,BRW2,BRW3,BRW4,VERONA1,VERONA2,ROCCA 1,ROCCA 2</t>
  </si>
  <si>
    <t>profil SIENA1,MODENA1,AMBRA1,PALIO1,PISA1,IMOLA1</t>
  </si>
  <si>
    <t>FGV</t>
  </si>
  <si>
    <t>BLUM</t>
  </si>
  <si>
    <t xml:space="preserve">  °</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</si>
  <si>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</si>
  <si>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</si>
  <si>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</si>
  <si>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</si>
  <si>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</si>
  <si>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</si>
  <si>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</si>
  <si>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</si>
  <si>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</si>
  <si>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</si>
  <si>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</si>
  <si>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</si>
  <si>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</si>
  <si>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</si>
  <si>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</si>
  <si>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</si>
  <si>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</si>
  <si>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</si>
  <si>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</si>
  <si>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</si>
  <si>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</si>
  <si>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</si>
  <si>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</si>
  <si>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</si>
  <si>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</si>
  <si>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</si>
  <si>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</si>
  <si>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</si>
  <si>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</si>
  <si>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</si>
  <si>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</si>
  <si>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</si>
  <si>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</si>
  <si>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</si>
  <si>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</si>
  <si>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</si>
  <si>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</si>
  <si>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</si>
  <si>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</si>
  <si>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</si>
  <si>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</si>
  <si>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</si>
  <si>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</si>
  <si>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</si>
  <si>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</si>
  <si>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</si>
  <si>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</si>
  <si>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</si>
  <si>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</si>
  <si>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</si>
  <si>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</si>
  <si>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</si>
  <si>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</si>
  <si>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</si>
  <si>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</si>
  <si>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</si>
  <si>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</si>
  <si>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</si>
  <si>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</si>
  <si>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</si>
  <si>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</si>
  <si>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</si>
  <si>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</si>
  <si>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</si>
  <si>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</si>
  <si>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</si>
  <si>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</si>
  <si>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</si>
  <si>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</si>
  <si>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Úzký ALU</t>
  </si>
  <si>
    <t>Široký ALU</t>
  </si>
  <si>
    <t>Cena za bm profilu</t>
  </si>
  <si>
    <t>Cena prof/rámeček</t>
  </si>
  <si>
    <t>Cena profil celk.</t>
  </si>
  <si>
    <t>Konst. Celk.</t>
  </si>
  <si>
    <t>skla/m2</t>
  </si>
  <si>
    <t>Sklo celk.</t>
  </si>
  <si>
    <t>Sklo/rám.</t>
  </si>
  <si>
    <t>Cena za kompletní objednávku</t>
  </si>
  <si>
    <t>Typ kování</t>
  </si>
  <si>
    <t>Použité kování</t>
  </si>
  <si>
    <t>Spodní dvířko</t>
  </si>
  <si>
    <t>Horní dvířko</t>
  </si>
  <si>
    <t>Příplatek</t>
  </si>
  <si>
    <t>HF</t>
  </si>
  <si>
    <t>HK, HS,HL</t>
  </si>
  <si>
    <t>HKS</t>
  </si>
  <si>
    <t>AVENTOS HF</t>
  </si>
  <si>
    <t>AVENTOS HKS</t>
  </si>
  <si>
    <t>AVENTOS HL</t>
  </si>
  <si>
    <t>AVENTOS HS</t>
  </si>
  <si>
    <t>Příplatky úzký</t>
  </si>
  <si>
    <t>Příplatek široký</t>
  </si>
  <si>
    <t>Příplatek celk.</t>
  </si>
  <si>
    <t>STRONG</t>
  </si>
  <si>
    <t>panty Strong</t>
  </si>
  <si>
    <t>panty Strong s tlumením</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</si>
  <si>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</si>
  <si>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</si>
  <si>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</si>
  <si>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</si>
  <si>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</si>
  <si>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</si>
  <si>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</si>
  <si>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</si>
  <si>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</si>
  <si>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</si>
  <si>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</si>
  <si>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</si>
  <si>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</si>
  <si>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</si>
  <si>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</si>
  <si>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</si>
  <si>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</si>
  <si>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</si>
  <si>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</si>
  <si>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</si>
  <si>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</si>
  <si>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</si>
  <si>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</si>
  <si>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</si>
  <si>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</si>
  <si>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</si>
  <si>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</si>
  <si>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</si>
  <si>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</si>
  <si>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</si>
  <si>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</si>
  <si>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</si>
  <si>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</si>
  <si>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</si>
  <si>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</si>
  <si>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</si>
  <si>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</si>
  <si>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</si>
  <si>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</si>
  <si>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</si>
  <si>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</si>
  <si>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</si>
  <si>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</si>
  <si>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</si>
  <si>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</si>
  <si>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</si>
  <si>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</si>
  <si>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</si>
  <si>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</si>
  <si>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</si>
  <si>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</si>
  <si>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</si>
  <si>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</si>
  <si>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</si>
  <si>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</si>
  <si>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</si>
  <si>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</si>
  <si>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</si>
  <si>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</si>
  <si>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</si>
  <si>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</si>
  <si>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</si>
  <si>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</si>
  <si>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</si>
  <si>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</si>
  <si>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</si>
  <si>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</si>
  <si>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</si>
  <si>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</si>
  <si>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</si>
  <si>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</si>
  <si>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</si>
  <si>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</si>
  <si>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</si>
  <si>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</si>
  <si>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</si>
  <si>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</si>
  <si>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</si>
  <si>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</si>
  <si>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</si>
  <si>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</si>
  <si>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</si>
  <si>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</si>
  <si>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</si>
  <si>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</si>
  <si>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</si>
  <si>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</si>
  <si>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</si>
  <si>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</si>
  <si>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</si>
  <si>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</si>
  <si>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</si>
  <si>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</si>
  <si>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</si>
  <si>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</si>
  <si>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</si>
  <si>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</si>
  <si>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</si>
  <si>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</si>
  <si>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</si>
  <si>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</si>
  <si>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</si>
  <si>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</si>
  <si>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</si>
  <si>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</si>
  <si>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</si>
  <si>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</si>
  <si>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Cena za pant</t>
  </si>
  <si>
    <t>FGV-NALOŽENÝ NA VRUT 51MS150500C</t>
  </si>
  <si>
    <t>Výrobce závěsů</t>
  </si>
  <si>
    <t>Typ závěsů</t>
  </si>
  <si>
    <t>Typ Aventosu</t>
  </si>
  <si>
    <t>Typ podložky</t>
  </si>
  <si>
    <t>Cena za podložku</t>
  </si>
  <si>
    <t>Cena celkem za pant/podl.</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</si>
  <si>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</si>
  <si>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</si>
  <si>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</si>
  <si>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</si>
  <si>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</si>
  <si>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</si>
  <si>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</si>
  <si>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</si>
  <si>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</si>
  <si>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</si>
  <si>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</si>
  <si>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</si>
  <si>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</si>
  <si>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</si>
  <si>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</si>
  <si>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</si>
  <si>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</si>
  <si>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</si>
  <si>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</si>
  <si>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</si>
  <si>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</si>
  <si>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</si>
  <si>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</si>
  <si>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</si>
  <si>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</si>
  <si>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</si>
  <si>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</si>
  <si>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</si>
  <si>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</si>
  <si>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</si>
  <si>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</si>
  <si>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</si>
  <si>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</si>
  <si>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</si>
  <si>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</si>
  <si>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</si>
  <si>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</si>
  <si>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</si>
  <si>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</si>
  <si>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</si>
  <si>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</si>
  <si>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</si>
  <si>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</si>
  <si>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</si>
  <si>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</si>
  <si>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</si>
  <si>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</si>
  <si>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</si>
  <si>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</si>
  <si>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</si>
  <si>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</si>
  <si>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</si>
  <si>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</si>
  <si>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</si>
  <si>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</si>
  <si>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</si>
  <si>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</si>
  <si>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</si>
  <si>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</si>
  <si>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</si>
  <si>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</si>
  <si>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</si>
  <si>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</si>
  <si>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</si>
  <si>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</si>
  <si>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</si>
  <si>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</si>
  <si>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</si>
  <si>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</si>
  <si>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</si>
  <si>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</si>
  <si>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</si>
  <si>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</si>
  <si>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</si>
  <si>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</si>
  <si>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</si>
  <si>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</si>
  <si>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</si>
  <si>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</si>
  <si>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</si>
  <si>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</si>
  <si>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</si>
  <si>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</si>
  <si>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</si>
  <si>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</si>
  <si>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</si>
  <si>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</si>
  <si>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</si>
  <si>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</si>
  <si>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</si>
  <si>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</si>
  <si>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</si>
  <si>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</si>
  <si>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</si>
  <si>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</si>
  <si>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</si>
  <si>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</si>
  <si>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</si>
  <si>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</si>
  <si>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</si>
  <si>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</si>
  <si>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</si>
  <si>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</si>
  <si>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</si>
  <si>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</si>
  <si>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</si>
  <si>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</si>
  <si>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</si>
  <si>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</si>
  <si>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</si>
  <si>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</si>
  <si>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</si>
  <si>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</si>
  <si>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</si>
  <si>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</si>
  <si>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</si>
  <si>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</si>
  <si>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</si>
  <si>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</si>
  <si>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</si>
  <si>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</si>
  <si>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</si>
  <si>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</si>
  <si>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</si>
  <si>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</si>
  <si>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</si>
  <si>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</si>
  <si>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</si>
  <si>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</si>
  <si>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</si>
  <si>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</si>
  <si>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</si>
  <si>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</si>
  <si>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</si>
  <si>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</si>
  <si>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</si>
  <si>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</si>
  <si>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</si>
  <si>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</si>
  <si>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</si>
  <si>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</si>
  <si>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</si>
  <si>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</si>
  <si>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Cena píst komplet</t>
  </si>
  <si>
    <t>Provedení druhého dvířka</t>
  </si>
  <si>
    <t>Počet závěsu na 1 rámeček</t>
  </si>
  <si>
    <t>Vzdálenost závěsu od kraje</t>
  </si>
  <si>
    <t>Vyplňte pouze pokud nebude vrtání symetricky na střed</t>
  </si>
  <si>
    <t>Objednávkový formulář ALU rámečků</t>
  </si>
  <si>
    <t>rámeček</t>
  </si>
  <si>
    <t>IČ:</t>
  </si>
  <si>
    <t>Zákazník</t>
  </si>
  <si>
    <t>Adresa provozovny</t>
  </si>
  <si>
    <t>Kontaktní tel.</t>
  </si>
  <si>
    <t>Kontaktní e-mail</t>
  </si>
  <si>
    <t>Sleva na rámečky</t>
  </si>
  <si>
    <t>Sleva na kování</t>
  </si>
  <si>
    <t>barva</t>
  </si>
  <si>
    <t>REF 1603</t>
  </si>
  <si>
    <t>RAL 1015</t>
  </si>
  <si>
    <t>RAL 5002</t>
  </si>
  <si>
    <t>RAL 9010</t>
  </si>
  <si>
    <t>REF 1435</t>
  </si>
  <si>
    <t>REF 0667</t>
  </si>
  <si>
    <t>RAL 9003</t>
  </si>
  <si>
    <t>REF 1164</t>
  </si>
  <si>
    <t>RAL 9006</t>
  </si>
  <si>
    <t>RAL 2001</t>
  </si>
  <si>
    <t>RAL 3004</t>
  </si>
  <si>
    <t>RAL 9005</t>
  </si>
  <si>
    <t>RAL 4006</t>
  </si>
  <si>
    <t>REF 1586</t>
  </si>
  <si>
    <t>REF 0128</t>
  </si>
  <si>
    <t>REF 1236</t>
  </si>
  <si>
    <t>RAL 7035</t>
  </si>
  <si>
    <t>REF 0337</t>
  </si>
  <si>
    <t>REF 0627</t>
  </si>
  <si>
    <t>REF 1604</t>
  </si>
  <si>
    <t>RAL 8017</t>
  </si>
  <si>
    <t>RAL 1013</t>
  </si>
  <si>
    <t>RAL 1014</t>
  </si>
  <si>
    <t>REF 0327</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</si>
  <si>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</si>
  <si>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</si>
  <si>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</si>
  <si>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</si>
  <si>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</si>
  <si>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</si>
  <si>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</si>
  <si>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</si>
  <si>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</si>
  <si>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</si>
  <si>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</si>
  <si>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rámček</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</si>
  <si>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</si>
  <si>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</si>
  <si>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</si>
  <si>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</si>
  <si>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</si>
  <si>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</si>
  <si>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</si>
  <si>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</si>
  <si>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</si>
  <si>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</si>
  <si>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</si>
  <si>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</si>
  <si>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</si>
  <si>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</si>
  <si>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</si>
  <si>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</si>
  <si>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</si>
  <si>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</si>
  <si>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</si>
  <si>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</si>
  <si>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</si>
  <si>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</si>
  <si>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</si>
  <si>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</si>
  <si>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</si>
  <si>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</si>
  <si>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</si>
  <si>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</si>
  <si>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</si>
  <si>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</si>
  <si>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</si>
  <si>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</si>
  <si>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</si>
  <si>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</si>
  <si>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</si>
  <si>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</si>
  <si>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</si>
  <si>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</si>
  <si>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</si>
  <si>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</si>
  <si>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</si>
  <si>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</si>
  <si>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</si>
  <si>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</si>
  <si>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</si>
  <si>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</si>
  <si>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</si>
  <si>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</si>
  <si>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</si>
  <si>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</si>
  <si>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</si>
  <si>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</si>
  <si>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</si>
  <si>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</si>
  <si>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</si>
  <si>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</si>
  <si>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</si>
  <si>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</si>
  <si>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</si>
  <si>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</si>
  <si>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</si>
  <si>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</si>
  <si>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</si>
  <si>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</si>
  <si>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</si>
  <si>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</si>
  <si>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</si>
  <si>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</si>
  <si>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</si>
  <si>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</si>
  <si>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</si>
  <si>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</si>
  <si>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</si>
  <si>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</si>
  <si>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</si>
  <si>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</si>
  <si>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</si>
  <si>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</si>
  <si>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</si>
  <si>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</si>
  <si>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</si>
  <si>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</si>
  <si>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</si>
  <si>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</si>
  <si>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</si>
  <si>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</si>
  <si>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</si>
  <si>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</si>
  <si>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</si>
  <si>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</si>
  <si>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</si>
  <si>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</si>
  <si>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</si>
  <si>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</si>
  <si>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</si>
  <si>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</si>
  <si>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</si>
  <si>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</si>
  <si>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</si>
  <si>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</si>
  <si>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</si>
  <si>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</si>
  <si>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</si>
  <si>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</si>
  <si>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</si>
  <si>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</si>
  <si>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</si>
  <si>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</si>
  <si>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</si>
  <si>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</si>
  <si>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</si>
  <si>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</si>
  <si>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</si>
  <si>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</si>
  <si>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</si>
  <si>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</si>
  <si>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</si>
  <si>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</si>
  <si>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</si>
  <si>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</si>
  <si>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</si>
  <si>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</si>
  <si>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</si>
  <si>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</si>
  <si>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</si>
  <si>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</si>
  <si>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</si>
  <si>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</si>
  <si>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</si>
  <si>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</si>
  <si>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</si>
  <si>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</si>
  <si>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</si>
  <si>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</si>
  <si>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</si>
  <si>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</si>
  <si>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</si>
  <si>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</si>
  <si>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</si>
  <si>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</si>
  <si>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</si>
  <si>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</si>
  <si>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</si>
  <si>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</si>
  <si>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</si>
  <si>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</si>
  <si>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</si>
  <si>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</si>
  <si>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</si>
  <si>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</si>
  <si>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</si>
  <si>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</si>
  <si>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</si>
  <si>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</si>
  <si>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</si>
  <si>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</si>
  <si>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</si>
  <si>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</si>
  <si>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</si>
  <si>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</si>
  <si>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</si>
  <si>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</si>
  <si>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</si>
  <si>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</si>
  <si>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</si>
  <si>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</si>
  <si>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</si>
  <si>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</si>
  <si>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</si>
  <si>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</si>
  <si>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</si>
  <si>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</si>
  <si>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</si>
  <si>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</si>
  <si>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</si>
  <si>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</si>
  <si>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</si>
  <si>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</si>
  <si>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</si>
  <si>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</si>
  <si>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</si>
  <si>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</si>
  <si>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</si>
  <si>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</si>
  <si>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</si>
  <si>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</si>
  <si>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</si>
  <si>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</si>
  <si>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</si>
  <si>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</si>
  <si>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</si>
  <si>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</si>
  <si>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</si>
  <si>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</si>
  <si>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</si>
  <si>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</si>
  <si>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</si>
  <si>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</si>
  <si>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</si>
  <si>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</si>
  <si>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</si>
  <si>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</si>
  <si>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</si>
  <si>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</si>
  <si>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</si>
  <si>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</si>
  <si>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</si>
  <si>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</si>
  <si>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</si>
  <si>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</si>
  <si>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</si>
  <si>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</si>
  <si>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</si>
  <si>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</si>
  <si>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</si>
  <si>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</si>
  <si>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</si>
  <si>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</si>
  <si>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</si>
  <si>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</si>
  <si>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</si>
  <si>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</si>
  <si>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</si>
  <si>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</si>
  <si>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</si>
  <si>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</si>
  <si>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</si>
  <si>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</si>
  <si>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</si>
  <si>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</si>
  <si>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</si>
  <si>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</si>
  <si>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</si>
  <si>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</si>
  <si>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</si>
  <si>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</si>
  <si>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</si>
  <si>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</si>
  <si>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</si>
  <si>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</si>
  <si>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</si>
  <si>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</si>
  <si>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</si>
  <si>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</si>
  <si>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</si>
  <si>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</si>
  <si>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</si>
  <si>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</si>
  <si>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</si>
  <si>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</si>
  <si>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</si>
  <si>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</si>
  <si>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</si>
  <si>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</si>
  <si>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</si>
  <si>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</si>
  <si>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</si>
  <si>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</si>
  <si>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</si>
  <si>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</si>
  <si>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</si>
  <si>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Vzor</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</si>
  <si>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</si>
  <si>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</si>
  <si>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</si>
  <si>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</si>
  <si>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</si>
  <si>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</si>
  <si>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</si>
  <si>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</si>
  <si>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</si>
  <si>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</si>
  <si>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</si>
  <si>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</si>
  <si>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</si>
  <si>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</si>
  <si>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</si>
  <si>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</si>
  <si>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</si>
  <si>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</si>
  <si>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</si>
  <si>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</si>
  <si>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</si>
  <si>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</si>
  <si>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</si>
  <si>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</si>
  <si>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</si>
  <si>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</si>
  <si>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</si>
  <si>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</si>
  <si>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</si>
  <si>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</si>
  <si>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</si>
  <si>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Ambra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</si>
  <si>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</si>
  <si>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</si>
  <si>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</si>
  <si>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</si>
  <si>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</si>
  <si>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</si>
  <si>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</si>
  <si>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</si>
  <si>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</si>
  <si>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</si>
  <si>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</si>
  <si>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</si>
  <si>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</si>
  <si>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</si>
  <si>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</si>
  <si>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</si>
  <si>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</si>
  <si>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</si>
  <si>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</si>
  <si>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</si>
  <si>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</si>
  <si>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</si>
  <si>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</si>
  <si>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</si>
  <si>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</si>
  <si>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</si>
  <si>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</si>
  <si>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</si>
  <si>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</si>
  <si>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</si>
  <si>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</si>
  <si>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</si>
  <si>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</si>
  <si>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</si>
  <si>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</si>
  <si>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</si>
  <si>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</si>
  <si>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</si>
  <si>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</si>
  <si>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</si>
  <si>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</si>
  <si>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</si>
  <si>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</si>
  <si>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</si>
  <si>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</si>
  <si>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</si>
  <si>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</si>
  <si>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</si>
  <si>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</si>
  <si>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</si>
  <si>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</si>
  <si>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</si>
  <si>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</si>
  <si>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</si>
  <si>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</si>
  <si>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</si>
  <si>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</si>
  <si>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</si>
  <si>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</si>
  <si>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</si>
  <si>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</si>
  <si>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</si>
  <si>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</si>
  <si>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</si>
  <si>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</si>
  <si>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</si>
  <si>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</si>
  <si>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</si>
  <si>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</si>
  <si>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</si>
  <si>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</si>
  <si>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</si>
  <si>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</si>
  <si>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</si>
  <si>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</si>
  <si>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</si>
  <si>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</si>
  <si>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</si>
  <si>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</si>
  <si>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</si>
  <si>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</si>
  <si>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</si>
  <si>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</si>
  <si>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</si>
  <si>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</si>
  <si>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</si>
  <si>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</si>
  <si>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</si>
  <si>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</si>
  <si>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</si>
  <si>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</si>
  <si>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</si>
  <si>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</si>
  <si>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</si>
  <si>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</si>
  <si>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</si>
  <si>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</si>
  <si>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</si>
  <si>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</si>
  <si>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</si>
  <si>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</si>
  <si>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</si>
  <si>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</si>
  <si>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</si>
  <si>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</si>
  <si>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</si>
  <si>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</si>
  <si>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</si>
  <si>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</si>
  <si>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</si>
  <si>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www.demos-trade.com</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</si>
  <si>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</si>
  <si>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</si>
  <si>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</si>
  <si>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</si>
  <si>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</si>
  <si>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</si>
  <si>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</si>
  <si>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</si>
  <si>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</si>
  <si>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</si>
  <si>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</si>
  <si>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</si>
  <si>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</si>
  <si>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</si>
  <si>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</si>
  <si>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</si>
  <si>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</si>
  <si>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</si>
  <si>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</si>
  <si>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</si>
  <si>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</si>
  <si>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</si>
  <si>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 xml:space="preserve">Jedno vedeníí 3m </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</si>
  <si>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</si>
  <si>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</si>
  <si>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</si>
  <si>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</si>
  <si>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</si>
  <si>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</si>
  <si>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</si>
  <si>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</si>
  <si>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</si>
  <si>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</si>
  <si>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</si>
  <si>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</si>
  <si>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</si>
  <si>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</si>
  <si>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</si>
  <si>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</si>
  <si>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</si>
  <si>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</si>
  <si>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</si>
  <si>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</si>
  <si>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</si>
  <si>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</si>
  <si>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</si>
  <si>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</si>
  <si>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</si>
  <si>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</si>
  <si>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</si>
  <si>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</si>
  <si>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</si>
  <si>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</si>
  <si>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</si>
  <si>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</si>
  <si>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</si>
  <si>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</si>
  <si>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</si>
  <si>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</si>
  <si>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</si>
  <si>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</si>
  <si>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</si>
  <si>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</si>
  <si>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</si>
  <si>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</si>
  <si>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</si>
  <si>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</si>
  <si>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</si>
  <si>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</si>
  <si>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</si>
  <si>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</si>
  <si>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</si>
  <si>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</si>
  <si>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</si>
  <si>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</si>
  <si>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</si>
  <si>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</si>
  <si>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</si>
  <si>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</si>
  <si>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</si>
  <si>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</si>
  <si>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</si>
  <si>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</si>
  <si>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</si>
  <si>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</si>
  <si>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</si>
  <si>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</si>
  <si>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</si>
  <si>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</si>
  <si>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</si>
  <si>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</si>
  <si>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</si>
  <si>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</si>
  <si>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</si>
  <si>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</si>
  <si>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</si>
  <si>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</si>
  <si>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</si>
  <si>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</si>
  <si>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</si>
  <si>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</si>
  <si>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</si>
  <si>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</si>
  <si>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</si>
  <si>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</si>
  <si>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</si>
  <si>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</si>
  <si>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</si>
  <si>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</si>
  <si>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</si>
  <si>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</si>
  <si>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</si>
  <si>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</si>
  <si>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</si>
  <si>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</si>
  <si>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</si>
  <si>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</si>
  <si>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</si>
  <si>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</si>
  <si>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</si>
  <si>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</si>
  <si>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</si>
  <si>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</si>
  <si>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</si>
  <si>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</si>
  <si>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</si>
  <si>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</si>
  <si>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</si>
  <si>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</si>
  <si>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</si>
  <si>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</si>
  <si>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</si>
  <si>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</si>
  <si>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</si>
  <si>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</si>
  <si>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</si>
  <si>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</si>
  <si>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</si>
  <si>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</si>
  <si>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</si>
  <si>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</si>
  <si>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</si>
  <si>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</si>
  <si>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</si>
  <si>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</si>
  <si>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</si>
  <si>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</si>
  <si>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</si>
  <si>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</si>
  <si>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</si>
  <si>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</si>
  <si>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</si>
  <si>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</si>
  <si>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</si>
  <si>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</si>
  <si>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</si>
  <si>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</si>
  <si>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</si>
  <si>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</si>
  <si>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</si>
  <si>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</si>
  <si>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</si>
  <si>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</si>
  <si>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</si>
  <si>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</si>
  <si>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</si>
  <si>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</si>
  <si>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</si>
  <si>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</si>
  <si>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</si>
  <si>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</si>
  <si>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</si>
  <si>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</si>
  <si>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</si>
  <si>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</si>
  <si>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</si>
  <si>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</si>
  <si>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</si>
  <si>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</si>
  <si>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</si>
  <si>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</si>
  <si>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</si>
  <si>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</si>
  <si>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</si>
  <si>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</si>
  <si>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</si>
  <si>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</si>
  <si>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</si>
  <si>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</si>
  <si>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</si>
  <si>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</si>
  <si>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</si>
  <si>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</si>
  <si>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</si>
  <si>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</si>
  <si>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</si>
  <si>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</si>
  <si>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</si>
  <si>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</si>
  <si>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</si>
  <si>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</si>
  <si>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</si>
  <si>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</si>
  <si>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</si>
  <si>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</si>
  <si>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</si>
  <si>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</si>
  <si>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</si>
  <si>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</si>
  <si>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</si>
  <si>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</si>
  <si>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45° tlumený</t>
  </si>
  <si>
    <t>Sensys příložný tlumený</t>
  </si>
  <si>
    <t>Sensys 165° tlumený</t>
  </si>
  <si>
    <t>Sensys naložený netlumený</t>
  </si>
  <si>
    <t>Sensys 165° netlumený</t>
  </si>
  <si>
    <t>Sensys zalomený netlumený</t>
  </si>
  <si>
    <t>Intermat naložený</t>
  </si>
  <si>
    <t>Intermat naložený 125°</t>
  </si>
  <si>
    <t>Intermat polonaložený</t>
  </si>
  <si>
    <t>Intermat vložený</t>
  </si>
  <si>
    <t>Intermat 20°</t>
  </si>
  <si>
    <t>Intermat 30°</t>
  </si>
  <si>
    <t>Intermat 45°</t>
  </si>
  <si>
    <t>Intermat -30°</t>
  </si>
  <si>
    <t>Intermat -45°</t>
  </si>
  <si>
    <t>Intermat příložný</t>
  </si>
  <si>
    <t>Intermat 165°</t>
  </si>
  <si>
    <t>Intermat zalomený</t>
  </si>
  <si>
    <t>HETTICH ŠIROKY</t>
  </si>
  <si>
    <t>HETTICH ÚZKY</t>
  </si>
  <si>
    <t>HETTICH Závěsy</t>
  </si>
  <si>
    <t>Podlořžka na vrut</t>
  </si>
  <si>
    <t>podložka na Eurovrut</t>
  </si>
  <si>
    <t>podložka na rozpěrnou hmoždinku</t>
  </si>
  <si>
    <t>Umístění ramene</t>
  </si>
  <si>
    <t>AVENTOS HK-XS TIP-ON</t>
  </si>
  <si>
    <t>BLUM Závěsy</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</si>
  <si>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</si>
  <si>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</si>
  <si>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</si>
  <si>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</si>
  <si>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</si>
  <si>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</si>
  <si>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</si>
  <si>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</si>
  <si>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</si>
  <si>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 xml:space="preserve">Vložený clip </t>
  </si>
  <si>
    <t>naložený s tlumením clip 95°</t>
  </si>
  <si>
    <t>polonaložený s tlumením clip 95°</t>
  </si>
  <si>
    <t>vložený s tlumením clip 95°</t>
  </si>
  <si>
    <t>naložený TIP-ON clip 95°</t>
  </si>
  <si>
    <t>naložený TIP-ON clip 120°</t>
  </si>
  <si>
    <t>Sensys naložený bez tlumení</t>
  </si>
  <si>
    <t>Sensys vložený bez tlumení</t>
  </si>
  <si>
    <t>BLUM SIROKY</t>
  </si>
  <si>
    <t>BLUM UZKY</t>
  </si>
  <si>
    <t>podložky BLUM</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</si>
  <si>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</si>
  <si>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</si>
  <si>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</si>
  <si>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</si>
  <si>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</si>
  <si>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</si>
  <si>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</si>
  <si>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</si>
  <si>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</si>
  <si>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</si>
  <si>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</si>
  <si>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</si>
  <si>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</si>
  <si>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</si>
  <si>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</si>
  <si>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</si>
  <si>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</si>
  <si>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</si>
  <si>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</si>
  <si>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</si>
  <si>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</si>
  <si>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</si>
  <si>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</si>
  <si>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</si>
  <si>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</si>
  <si>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</si>
  <si>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</si>
  <si>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</si>
  <si>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</si>
  <si>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</si>
  <si>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</si>
  <si>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</si>
  <si>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</si>
  <si>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</si>
  <si>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</si>
  <si>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</si>
  <si>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</si>
  <si>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</si>
  <si>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</si>
  <si>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</si>
  <si>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</si>
  <si>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</si>
  <si>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</si>
  <si>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</si>
  <si>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</si>
  <si>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</si>
  <si>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</si>
  <si>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</si>
  <si>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</si>
  <si>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</si>
  <si>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</si>
  <si>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</si>
  <si>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</si>
  <si>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</si>
  <si>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</si>
  <si>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</si>
  <si>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</si>
  <si>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</si>
  <si>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</si>
  <si>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</si>
  <si>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</si>
  <si>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</si>
  <si>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</si>
  <si>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</si>
  <si>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</si>
  <si>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</si>
  <si>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</si>
  <si>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</si>
  <si>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</si>
  <si>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</si>
  <si>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</si>
  <si>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</si>
  <si>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</si>
  <si>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</si>
  <si>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</si>
  <si>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</si>
  <si>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</si>
  <si>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</si>
  <si>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</si>
  <si>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</si>
  <si>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</si>
  <si>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</si>
  <si>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</si>
  <si>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</si>
  <si>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RADEK_1_6</t>
  </si>
  <si>
    <t>naložený k nasunutí</t>
  </si>
  <si>
    <t>polonaložený k nasunutí</t>
  </si>
  <si>
    <t>vložený k nasunutí</t>
  </si>
  <si>
    <t>STRONG bez tlumení</t>
  </si>
  <si>
    <t>STRONG s tlumením</t>
  </si>
  <si>
    <t>RADEK_1_5</t>
  </si>
  <si>
    <t>1 . RAMEČEK</t>
  </si>
  <si>
    <t>2 . RAMEČEK</t>
  </si>
  <si>
    <t>3 . RAMEČEK</t>
  </si>
  <si>
    <t>4 . RAMEČEK</t>
  </si>
  <si>
    <t>Podložky 1</t>
  </si>
  <si>
    <t>Podložky 2</t>
  </si>
  <si>
    <t>Podložky 3</t>
  </si>
  <si>
    <t>Podložky 4</t>
  </si>
  <si>
    <t>Podložky 5</t>
  </si>
  <si>
    <t>Podložky 6</t>
  </si>
  <si>
    <t>k nasunutí na vrut H0</t>
  </si>
  <si>
    <t>k nasunutí EURO šroub H0</t>
  </si>
  <si>
    <t>k nasunutí na vrut H2</t>
  </si>
  <si>
    <t>k nasunutí EURO šroub H2</t>
  </si>
  <si>
    <t>92890T</t>
  </si>
  <si>
    <t>Clip vrut s excentrem H0</t>
  </si>
  <si>
    <t>podložka na vrut</t>
  </si>
  <si>
    <t>naložený clip</t>
  </si>
  <si>
    <t>polonaložený clip</t>
  </si>
  <si>
    <t>=SKLO_VYBER_T1</t>
  </si>
  <si>
    <t>=$AF$25:$AF$28</t>
  </si>
  <si>
    <t>=RADEK_1_5</t>
  </si>
  <si>
    <t>=RADEK_1_6</t>
  </si>
  <si>
    <t>Nápověda</t>
  </si>
  <si>
    <t>=T1_PODLOZKA_TYPY</t>
  </si>
  <si>
    <t>=AH34:AH37</t>
  </si>
  <si>
    <t xml:space="preserve">hodnota - </t>
  </si>
  <si>
    <t>=AG50:AG53</t>
  </si>
  <si>
    <t>=T1_VYKLOPY</t>
  </si>
  <si>
    <t>=UMISTENI_VYKLOP</t>
  </si>
  <si>
    <t>=RADEK_2_5</t>
  </si>
  <si>
    <t>=RADEK_2_6</t>
  </si>
  <si>
    <t>=RADEK_3_5</t>
  </si>
  <si>
    <t>=RADEK_3_6</t>
  </si>
  <si>
    <t>=RADEK_4_5</t>
  </si>
  <si>
    <t>=RADEK_4_6</t>
  </si>
  <si>
    <t>=RADEK_5_5</t>
  </si>
  <si>
    <t>=RADEK_5_6</t>
  </si>
  <si>
    <t>=RADEK_6_5</t>
  </si>
  <si>
    <t>=RADEK_6_6</t>
  </si>
  <si>
    <t>=T2_PODLOZKA_TYPY</t>
  </si>
  <si>
    <t>5. RAMEČEK</t>
  </si>
  <si>
    <t>6. RAMEČEK</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</si>
  <si>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</si>
  <si>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</si>
  <si>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</si>
  <si>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</si>
  <si>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</si>
  <si>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</si>
  <si>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</si>
  <si>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</si>
  <si>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</si>
  <si>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</si>
  <si>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</si>
  <si>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</si>
  <si>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</si>
  <si>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</si>
  <si>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</si>
  <si>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</si>
  <si>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</si>
  <si>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</si>
  <si>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</si>
  <si>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</si>
  <si>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</si>
  <si>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</si>
  <si>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</si>
  <si>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</si>
  <si>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</si>
  <si>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</si>
  <si>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</si>
  <si>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</si>
  <si>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</si>
  <si>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</si>
  <si>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</si>
  <si>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</si>
  <si>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</si>
  <si>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</si>
  <si>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</si>
  <si>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</si>
  <si>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</si>
  <si>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</si>
  <si>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</si>
  <si>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</si>
  <si>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</si>
  <si>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</si>
  <si>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</si>
  <si>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</si>
  <si>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</si>
  <si>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</si>
  <si>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</si>
  <si>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</si>
  <si>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</si>
  <si>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</si>
  <si>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</si>
  <si>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</si>
  <si>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</si>
  <si>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</si>
  <si>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</si>
  <si>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</si>
  <si>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</si>
  <si>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</si>
  <si>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</si>
  <si>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</si>
  <si>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</si>
  <si>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</si>
  <si>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</si>
  <si>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</si>
  <si>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</si>
  <si>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</si>
  <si>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</si>
  <si>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</si>
  <si>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</si>
  <si>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</si>
  <si>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</si>
  <si>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</si>
  <si>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</si>
  <si>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</si>
  <si>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</si>
  <si>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</si>
  <si>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</si>
  <si>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</si>
  <si>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</si>
  <si>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</si>
  <si>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</si>
  <si>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</si>
  <si>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</si>
  <si>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</si>
  <si>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</si>
  <si>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</si>
  <si>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</si>
  <si>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</si>
  <si>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</si>
  <si>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</si>
  <si>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</si>
  <si>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</si>
  <si>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</si>
  <si>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</si>
  <si>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</si>
  <si>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</si>
  <si>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</si>
  <si>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</si>
  <si>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</si>
  <si>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</si>
  <si>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</si>
  <si>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</si>
  <si>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</si>
  <si>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</si>
  <si>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</si>
  <si>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</si>
  <si>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</si>
  <si>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</si>
  <si>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</si>
  <si>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</si>
  <si>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</si>
  <si>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</si>
  <si>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</si>
  <si>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</si>
  <si>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</si>
  <si>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</si>
  <si>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</si>
  <si>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</si>
  <si>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</si>
  <si>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</si>
  <si>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</si>
  <si>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</si>
  <si>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</si>
  <si>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</si>
  <si>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</si>
  <si>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</si>
  <si>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</si>
  <si>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</si>
  <si>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</si>
  <si>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</si>
  <si>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</si>
  <si>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</si>
  <si>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</si>
  <si>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</si>
  <si>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</si>
  <si>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</si>
  <si>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</si>
  <si>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</si>
  <si>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</si>
  <si>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</si>
  <si>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</si>
  <si>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</si>
  <si>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</si>
  <si>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</si>
  <si>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</si>
  <si>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</si>
  <si>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</si>
  <si>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</si>
  <si>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</si>
  <si>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</si>
  <si>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</si>
  <si>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</si>
  <si>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</si>
  <si>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</si>
  <si>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</si>
  <si>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</si>
  <si>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</si>
  <si>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</si>
  <si>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</si>
  <si>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</si>
  <si>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typ profilu</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</si>
  <si>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</si>
  <si>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</si>
  <si>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</si>
  <si>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</si>
  <si>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</si>
  <si>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</si>
  <si>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</si>
  <si>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</si>
  <si>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</si>
  <si>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</si>
  <si>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</si>
  <si>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</si>
  <si>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</si>
  <si>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</si>
  <si>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</si>
  <si>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</si>
  <si>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</si>
  <si>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</si>
  <si>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</si>
  <si>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</si>
  <si>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</si>
  <si>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</si>
  <si>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</si>
  <si>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</si>
  <si>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</si>
  <si>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</si>
  <si>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</si>
  <si>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</si>
  <si>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STRONG Plus</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</si>
  <si>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</si>
  <si>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</si>
  <si>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</si>
  <si>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</si>
  <si>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</si>
  <si>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</si>
  <si>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</si>
  <si>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</si>
  <si>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</si>
  <si>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</si>
  <si>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</si>
  <si>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</si>
  <si>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</si>
  <si>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</si>
  <si>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</si>
  <si>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</si>
  <si>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</si>
  <si>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</si>
  <si>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</si>
  <si>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</si>
  <si>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</si>
  <si>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</si>
  <si>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</si>
  <si>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</si>
  <si>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</si>
  <si>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</si>
  <si>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</si>
  <si>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</si>
  <si>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</si>
  <si>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</si>
  <si>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</si>
  <si>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</si>
  <si>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</si>
  <si>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</si>
  <si>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</si>
  <si>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</si>
  <si>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</si>
  <si>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</si>
  <si>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</si>
  <si>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</si>
  <si>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</si>
  <si>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</si>
  <si>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</si>
  <si>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</si>
  <si>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</si>
  <si>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</si>
  <si>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</si>
  <si>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</si>
  <si>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</si>
  <si>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</si>
  <si>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</si>
  <si>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</si>
  <si>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</si>
  <si>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</si>
  <si>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STRONG plus závěs naložený na alu rámeček, s tlumením, klipový</t>
  </si>
  <si>
    <t>Podložka H0 klipová s excentrem, na vrut (315856)</t>
  </si>
  <si>
    <t>Podložka H2 klipová s excentrem, na vrut (350868)</t>
  </si>
  <si>
    <t>Srong bez tlumení</t>
  </si>
  <si>
    <t>STRONG plus závěs naložený na alu rámeček, bez pružiny, klipový</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</si>
  <si>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</si>
  <si>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</si>
  <si>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</si>
  <si>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</si>
  <si>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</si>
  <si>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</si>
  <si>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STRONG plus závěs naložený s tlumením, s excentrem, klipový</t>
  </si>
  <si>
    <t>STRONG plus závěs naložený, bez pružiny, klipový</t>
  </si>
  <si>
    <t>STRONG plus závěs polonaložený s tlumením, s excentrem, klipový</t>
  </si>
  <si>
    <t>STRONG plus závěs polonaložený, bez pružiny, klipový</t>
  </si>
  <si>
    <t>STRONG plus závěs vložený s tlumením, s excentrem,  klipový</t>
  </si>
  <si>
    <t>STRONG plus závěs vložený, bez pružiny, klipový</t>
  </si>
  <si>
    <t>STRONG plus závěs 30° s tlumením, klipový</t>
  </si>
  <si>
    <t>STRONG plus závěs 30° bez pružiny,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</si>
  <si>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</si>
  <si>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</si>
  <si>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</si>
  <si>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</si>
  <si>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</si>
  <si>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</si>
  <si>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</si>
  <si>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</si>
  <si>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</si>
  <si>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</si>
  <si>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</si>
  <si>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</si>
  <si>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</si>
  <si>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</si>
  <si>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</si>
  <si>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</si>
  <si>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</si>
  <si>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</si>
  <si>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</si>
  <si>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</si>
  <si>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</si>
  <si>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</si>
  <si>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</si>
  <si>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</si>
  <si>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</si>
  <si>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</si>
  <si>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</si>
  <si>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</si>
  <si>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</si>
  <si>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</si>
  <si>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</si>
  <si>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</si>
  <si>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</si>
  <si>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</si>
  <si>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</si>
  <si>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</si>
  <si>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RADEK_2_5</t>
  </si>
  <si>
    <t>RADEK_2_6</t>
  </si>
  <si>
    <t>=T3_PODLOZKA_TYPY</t>
  </si>
  <si>
    <t>=T3_VYKLOPY</t>
  </si>
  <si>
    <t>=T2_VYKLOPY</t>
  </si>
  <si>
    <t>=SKLO_VYBER_T3</t>
  </si>
  <si>
    <t>=SKLO_VYBER_T2</t>
  </si>
  <si>
    <t>RADEK_3_5</t>
  </si>
  <si>
    <t>RADEK_3_6</t>
  </si>
  <si>
    <t>RADEK_4_5</t>
  </si>
  <si>
    <t>RADEK_4_6</t>
  </si>
  <si>
    <t>RADEK_5_5</t>
  </si>
  <si>
    <t>RADEK_5_6</t>
  </si>
  <si>
    <t>RADEK_6_5</t>
  </si>
  <si>
    <t>RADEK_6_6</t>
  </si>
  <si>
    <t>=T5_PODLOZKA_TYPY</t>
  </si>
  <si>
    <t>=T5_VYKLOPY</t>
  </si>
  <si>
    <t>=SKLO_VYBER_T5</t>
  </si>
  <si>
    <t>=SKLO_VYBER_T4</t>
  </si>
  <si>
    <t>=T4_PODLOZKA_TYPY</t>
  </si>
  <si>
    <t>=T4_VYKLOPY</t>
  </si>
  <si>
    <t>=SKLO_VYBER_T6</t>
  </si>
  <si>
    <t>=T6_PODLOZKA_TYPY</t>
  </si>
  <si>
    <t>=T6_VYKLOPY</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</si>
  <si>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</si>
  <si>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</si>
  <si>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</si>
  <si>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</si>
  <si>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</si>
  <si>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</si>
  <si>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</si>
  <si>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</si>
  <si>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</si>
  <si>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</si>
  <si>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</si>
  <si>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</si>
  <si>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 xml:space="preserve">Strong Plus Naložený clip bez pružiny </t>
  </si>
  <si>
    <t>Strong Plus polonaložený clip bez pružiny</t>
  </si>
  <si>
    <t>Strong Plus polonaložený clip</t>
  </si>
  <si>
    <t>Strong Plus naložený clip</t>
  </si>
  <si>
    <t xml:space="preserve">Strong Plus nakładany clip bez sprężyny </t>
  </si>
  <si>
    <t>Strong Plus ráütődő klip rugó nélkül</t>
  </si>
  <si>
    <t>Strong Plus féligráütődő klip rugó nélkül</t>
  </si>
  <si>
    <t xml:space="preserve">Strong Plus półnakładany clip bez sprężyny </t>
  </si>
  <si>
    <t>Strong Plus nakładany Clip</t>
  </si>
  <si>
    <t>Strong Plus ráütődő klip</t>
  </si>
  <si>
    <t>Strong Plus półnakładany ¨clip</t>
  </si>
  <si>
    <t>Strong Plus féligráütődő klip</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</si>
  <si>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</si>
  <si>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</si>
  <si>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</si>
  <si>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</si>
  <si>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</si>
  <si>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</si>
  <si>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</si>
  <si>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</si>
  <si>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</si>
  <si>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</si>
  <si>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</si>
  <si>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</si>
  <si>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</si>
  <si>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</si>
  <si>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</si>
  <si>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</si>
  <si>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</si>
  <si>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</si>
  <si>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</si>
  <si>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</si>
  <si>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</si>
  <si>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Strong Plus vložený clip</t>
  </si>
  <si>
    <t>Strong Plus wpuszczany Clip</t>
  </si>
  <si>
    <t>Strong Plus közzézáródó klip</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</si>
  <si>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</si>
  <si>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</si>
  <si>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</si>
  <si>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</si>
  <si>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</si>
  <si>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</si>
  <si>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</si>
  <si>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</si>
  <si>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Storng Plus vložený clip bez pružiny</t>
  </si>
  <si>
    <t>Strong Plus vložený bez pružiny</t>
  </si>
  <si>
    <t xml:space="preserve">Strong Plus wpuszczany bez sprężyny </t>
  </si>
  <si>
    <t>Strong Plus közzézáródó rugó nélkül</t>
  </si>
  <si>
    <t>Strong Plus 30° clip bez pružiny</t>
  </si>
  <si>
    <t>Strong Plus 30° clip  bez pružiny</t>
  </si>
  <si>
    <t xml:space="preserve">Strong Plus 30° clip bez sprężyny </t>
  </si>
  <si>
    <t>Strong Plus 30° klip rugó nélkül</t>
  </si>
  <si>
    <t>Strong Plus 30°clip</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</si>
  <si>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</si>
  <si>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</si>
  <si>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</si>
  <si>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</si>
  <si>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</si>
  <si>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</si>
  <si>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</si>
  <si>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</si>
  <si>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</si>
  <si>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</si>
  <si>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</si>
  <si>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</si>
  <si>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</si>
  <si>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</si>
  <si>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</si>
  <si>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</si>
  <si>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</si>
  <si>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</si>
  <si>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</si>
  <si>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</si>
  <si>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</si>
  <si>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</si>
  <si>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</si>
  <si>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</si>
  <si>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</si>
  <si>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</si>
  <si>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</si>
  <si>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</si>
  <si>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</si>
  <si>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</si>
  <si>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</si>
  <si>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</si>
  <si>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</si>
  <si>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</si>
  <si>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</si>
  <si>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</si>
  <si>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</si>
  <si>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</si>
  <si>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</si>
  <si>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</si>
  <si>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</si>
  <si>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</si>
  <si>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</si>
  <si>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</si>
  <si>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</si>
  <si>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</si>
  <si>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</si>
  <si>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</si>
  <si>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</si>
  <si>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</si>
  <si>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</si>
  <si>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</si>
  <si>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</si>
  <si>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</si>
  <si>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</si>
  <si>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</si>
  <si>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</si>
  <si>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</si>
  <si>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</si>
  <si>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</si>
  <si>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</si>
  <si>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</si>
  <si>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</si>
  <si>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</si>
  <si>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</si>
  <si>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</si>
  <si>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</si>
  <si>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</si>
  <si>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</si>
  <si>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</si>
  <si>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</si>
  <si>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</si>
  <si>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</si>
  <si>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</si>
  <si>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</si>
  <si>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</si>
  <si>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</si>
  <si>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</si>
  <si>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</si>
  <si>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==$B$347:$B$390</t>
  </si>
  <si>
    <t>=$B$347:$B$390</t>
  </si>
  <si>
    <t>Zrcadlo hnědé</t>
  </si>
  <si>
    <t>Zrcadlo grafit</t>
  </si>
  <si>
    <t>Zrkadlo grafit</t>
  </si>
  <si>
    <t>Lustro grafit</t>
  </si>
  <si>
    <t>Tükör grafit</t>
  </si>
  <si>
    <t>Krizet</t>
  </si>
  <si>
    <t>Strong Plus naložený clip bez pružiny</t>
  </si>
  <si>
    <t>Strong Plus Clip na eurošroub H2</t>
  </si>
  <si>
    <t>Strong Plus Clip na euroskrutku H2</t>
  </si>
  <si>
    <t>Strong Plus Clip na wkręt euro H2</t>
  </si>
  <si>
    <t>Strong Plus Klip EURO csavarra H2</t>
  </si>
  <si>
    <t>Strong Plus Clip na skrutku H2</t>
  </si>
  <si>
    <t>Strong Plus Clip na vrut H2</t>
  </si>
  <si>
    <t>Strong plus Clip na wkręt H2</t>
  </si>
  <si>
    <t>Strong plus Klip csavarra H2</t>
  </si>
  <si>
    <t xml:space="preserve">Strong Plus Clip na eurošroub H0 </t>
  </si>
  <si>
    <t>Strong Plus Clip na vrut H0</t>
  </si>
  <si>
    <t>Strong Plus Clip na euroskrutku H0</t>
  </si>
  <si>
    <t>Strong Plus Clip na skrutku H0</t>
  </si>
  <si>
    <t xml:space="preserve">Strong Plus Clip na wkręt euro H0 </t>
  </si>
  <si>
    <t>Strong Plus Clip na wkręt H0</t>
  </si>
  <si>
    <t xml:space="preserve">Strong Plus Klip EURO csavarra H0 </t>
  </si>
  <si>
    <t>Strong Plus Klip csavarra H0</t>
  </si>
  <si>
    <t>Strong Plus Clip vrut s excentrem H0</t>
  </si>
  <si>
    <t>Strong Plus Clip vrut s excentrom H0</t>
  </si>
  <si>
    <t>Strong Plus Clip wkręt z mimośrodem H0</t>
  </si>
  <si>
    <t>Strong Plus Excentes klipes csavar H0</t>
  </si>
  <si>
    <t>Strong Plus Clip vrut s excentrem H2</t>
  </si>
  <si>
    <t>Strong Plus Clip vrut s excentrom H2</t>
  </si>
  <si>
    <t>Strong Plus Clip wkręt z mimośrodem H2</t>
  </si>
  <si>
    <t>Strong Plus Excentes klipes csavar H2</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</si>
  <si>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</si>
  <si>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</si>
  <si>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</si>
  <si>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</si>
  <si>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</si>
  <si>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</si>
  <si>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</si>
  <si>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</si>
  <si>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</si>
  <si>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</si>
  <si>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</si>
  <si>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</si>
  <si>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</si>
  <si>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</si>
  <si>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</si>
  <si>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</si>
  <si>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</si>
  <si>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</si>
  <si>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</si>
  <si>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</si>
  <si>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</si>
  <si>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</si>
  <si>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</si>
  <si>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</si>
  <si>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</si>
  <si>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</si>
  <si>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</si>
  <si>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</si>
  <si>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</si>
  <si>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</si>
  <si>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</si>
  <si>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</si>
  <si>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</si>
  <si>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</si>
  <si>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</si>
  <si>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</si>
  <si>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</si>
  <si>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</si>
  <si>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</si>
  <si>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</si>
  <si>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</si>
  <si>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</si>
  <si>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</si>
  <si>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</si>
  <si>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</si>
  <si>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</si>
  <si>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</si>
  <si>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</si>
  <si>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</si>
  <si>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</si>
  <si>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</si>
  <si>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</si>
  <si>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</si>
  <si>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</si>
  <si>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</si>
  <si>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</si>
  <si>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</si>
  <si>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</si>
  <si>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</si>
  <si>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</si>
  <si>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</si>
  <si>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</si>
  <si>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</si>
  <si>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</si>
  <si>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</si>
  <si>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</si>
  <si>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</si>
  <si>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</si>
  <si>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</si>
  <si>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</si>
  <si>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</si>
  <si>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</si>
  <si>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</si>
  <si>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</si>
  <si>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</si>
  <si>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</si>
  <si>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</si>
  <si>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</si>
  <si>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</si>
  <si>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</si>
  <si>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</si>
  <si>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</si>
  <si>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</si>
  <si>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</si>
  <si>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</si>
  <si>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</si>
  <si>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</si>
  <si>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</si>
  <si>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</si>
  <si>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</si>
  <si>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</si>
  <si>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</si>
  <si>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</si>
  <si>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</si>
  <si>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</si>
  <si>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</si>
  <si>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</si>
  <si>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</si>
  <si>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</si>
  <si>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</si>
  <si>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</si>
  <si>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</si>
  <si>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</si>
  <si>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</si>
  <si>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</si>
  <si>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</si>
  <si>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</si>
  <si>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</si>
  <si>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</si>
  <si>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</si>
  <si>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</si>
  <si>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</si>
  <si>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</si>
  <si>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</si>
  <si>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</si>
  <si>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</si>
  <si>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</si>
  <si>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</si>
  <si>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</si>
  <si>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</si>
  <si>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</si>
  <si>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</si>
  <si>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</si>
  <si>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</si>
  <si>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</si>
  <si>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</si>
  <si>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</si>
  <si>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</si>
  <si>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</si>
  <si>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</si>
  <si>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</si>
  <si>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</si>
  <si>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</si>
  <si>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</si>
  <si>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</si>
  <si>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</si>
  <si>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</si>
  <si>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</si>
  <si>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</si>
  <si>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</si>
  <si>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</si>
  <si>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</si>
  <si>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</si>
  <si>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</si>
  <si>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</si>
  <si>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</si>
  <si>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</si>
  <si>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</si>
  <si>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</si>
  <si>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</si>
  <si>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</si>
  <si>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</si>
  <si>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</si>
  <si>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</si>
  <si>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</si>
  <si>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</si>
  <si>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</si>
  <si>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</si>
  <si>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</si>
  <si>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</si>
  <si>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</si>
  <si>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</si>
  <si>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</si>
  <si>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</si>
  <si>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</si>
  <si>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</si>
  <si>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</si>
  <si>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</si>
  <si>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</si>
  <si>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</si>
  <si>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</si>
  <si>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</si>
  <si>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</si>
  <si>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</si>
  <si>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</si>
  <si>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</si>
  <si>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</si>
  <si>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</si>
  <si>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</si>
  <si>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</si>
  <si>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</si>
  <si>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</si>
  <si>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</si>
  <si>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</si>
  <si>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</si>
  <si>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</si>
  <si>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</si>
  <si>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</si>
  <si>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</si>
  <si>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</si>
  <si>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</si>
  <si>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</si>
  <si>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</si>
  <si>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</si>
  <si>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</si>
  <si>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</si>
  <si>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</si>
  <si>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</si>
  <si>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</si>
  <si>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</si>
  <si>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</si>
  <si>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</si>
  <si>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</si>
  <si>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</si>
  <si>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</si>
  <si>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</si>
  <si>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</si>
  <si>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</si>
  <si>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</si>
  <si>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</si>
  <si>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</si>
  <si>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</si>
  <si>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</si>
  <si>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</si>
  <si>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</si>
  <si>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</si>
  <si>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</si>
  <si>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</si>
  <si>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</si>
  <si>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</si>
  <si>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</si>
  <si>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</si>
  <si>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</si>
  <si>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</si>
  <si>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</si>
  <si>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</si>
  <si>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</si>
  <si>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</si>
  <si>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</si>
  <si>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</si>
  <si>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</si>
  <si>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</si>
  <si>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</si>
  <si>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</si>
  <si>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</si>
  <si>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</si>
  <si>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</si>
  <si>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</si>
  <si>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</si>
  <si>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</si>
  <si>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</si>
  <si>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</si>
  <si>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</si>
  <si>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</si>
  <si>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Strong Plus Clip  - euroscrew H0</t>
  </si>
  <si>
    <t>Strong Plus Clip  - screw H0</t>
  </si>
  <si>
    <t>Strong Plus Clip  - euroscrew H2</t>
  </si>
  <si>
    <t>Strong Plus Clip  - screw H2</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</si>
  <si>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</si>
  <si>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</si>
  <si>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</si>
  <si>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</si>
  <si>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</si>
  <si>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</si>
  <si>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</si>
  <si>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</si>
  <si>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</si>
  <si>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</si>
  <si>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</si>
  <si>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</si>
  <si>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</si>
  <si>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</si>
  <si>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</si>
  <si>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</si>
  <si>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</si>
  <si>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</si>
  <si>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</si>
  <si>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</si>
  <si>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</si>
  <si>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</si>
  <si>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</si>
  <si>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</si>
  <si>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</si>
  <si>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</si>
  <si>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</si>
  <si>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</si>
  <si>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</si>
  <si>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</si>
  <si>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</si>
  <si>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</si>
  <si>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</si>
  <si>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</si>
  <si>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</si>
  <si>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</si>
  <si>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</si>
  <si>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</si>
  <si>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</si>
  <si>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</si>
  <si>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</si>
  <si>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</si>
  <si>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</si>
  <si>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</si>
  <si>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</si>
  <si>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</si>
  <si>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</si>
  <si>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</si>
  <si>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</si>
  <si>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</si>
  <si>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</si>
  <si>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</si>
  <si>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</si>
  <si>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</si>
  <si>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</si>
  <si>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</si>
  <si>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</si>
  <si>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</si>
  <si>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</si>
  <si>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</si>
  <si>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</si>
  <si>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</si>
  <si>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</si>
  <si>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</si>
  <si>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</si>
  <si>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</si>
  <si>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</si>
  <si>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</si>
  <si>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</si>
  <si>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</si>
  <si>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</si>
  <si>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</si>
  <si>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Strong Plus full-overlay clip without spring</t>
  </si>
  <si>
    <t>Storng Plus inset clip without spring</t>
  </si>
  <si>
    <t>Strong Plus 30 ° clip without spring</t>
  </si>
  <si>
    <t>Strong Plus full-overlay clip</t>
  </si>
  <si>
    <t>Strong Plus semi-overlay clip</t>
  </si>
  <si>
    <t>Strong Plus inset clip</t>
  </si>
  <si>
    <t>Strong Plus 30 ° clip</t>
  </si>
  <si>
    <t>Strong Plus Clip screw with eccentric H0</t>
  </si>
  <si>
    <t>Strong Plus Clip screw with eccentric H2</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</si>
  <si>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</si>
  <si>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</si>
  <si>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</si>
  <si>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</si>
  <si>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</si>
  <si>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</si>
  <si>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</si>
  <si>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</si>
  <si>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</si>
  <si>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</si>
  <si>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</si>
  <si>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</si>
  <si>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</si>
  <si>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</si>
  <si>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</si>
  <si>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</si>
  <si>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</si>
  <si>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</si>
  <si>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</si>
  <si>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</si>
  <si>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</si>
  <si>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</si>
  <si>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</si>
  <si>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</si>
  <si>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</si>
  <si>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</si>
  <si>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</si>
  <si>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</si>
  <si>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</si>
  <si>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</si>
  <si>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</si>
  <si>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</si>
  <si>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</si>
  <si>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</si>
  <si>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</si>
  <si>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</si>
  <si>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</si>
  <si>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</si>
  <si>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</si>
  <si>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</si>
  <si>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</si>
  <si>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</si>
  <si>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</si>
  <si>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</si>
  <si>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</si>
  <si>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</si>
  <si>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</si>
  <si>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</si>
  <si>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</si>
  <si>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</si>
  <si>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</si>
  <si>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</si>
  <si>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</si>
  <si>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</si>
  <si>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</si>
  <si>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</si>
  <si>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</si>
  <si>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</si>
  <si>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</si>
  <si>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</si>
  <si>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</si>
  <si>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</si>
  <si>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</si>
  <si>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</si>
  <si>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</si>
  <si>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</si>
  <si>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</si>
  <si>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</si>
  <si>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</si>
  <si>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</si>
  <si>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Palio černá mat</t>
  </si>
  <si>
    <t>LiftMini</t>
  </si>
  <si>
    <t>Siena černá mat</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</si>
  <si>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</si>
  <si>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</si>
  <si>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</si>
  <si>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</si>
  <si>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</si>
  <si>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</si>
  <si>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</si>
  <si>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</si>
  <si>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</si>
  <si>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</si>
  <si>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</si>
  <si>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</si>
  <si>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</si>
  <si>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</si>
  <si>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</si>
  <si>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</si>
  <si>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</si>
  <si>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</si>
  <si>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</si>
  <si>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</si>
  <si>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</si>
  <si>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</si>
  <si>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</si>
  <si>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</si>
  <si>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</si>
  <si>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</si>
  <si>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</si>
  <si>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</si>
  <si>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</si>
  <si>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</si>
  <si>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</si>
  <si>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</si>
  <si>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</si>
  <si>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</si>
  <si>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</si>
  <si>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</si>
  <si>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</si>
  <si>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</si>
  <si>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</si>
  <si>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</si>
  <si>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</si>
  <si>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</si>
  <si>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</si>
  <si>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</si>
  <si>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</si>
  <si>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</si>
  <si>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</si>
  <si>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</si>
  <si>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</si>
  <si>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</si>
  <si>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</si>
  <si>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</si>
  <si>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</si>
  <si>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</si>
  <si>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</si>
  <si>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</si>
  <si>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</si>
  <si>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</si>
  <si>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</si>
  <si>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</si>
  <si>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</si>
  <si>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</si>
  <si>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</si>
  <si>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</si>
  <si>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</si>
  <si>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</si>
  <si>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</si>
  <si>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</si>
  <si>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</si>
  <si>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</si>
  <si>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</si>
  <si>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</si>
  <si>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</si>
  <si>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</si>
  <si>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</si>
  <si>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</si>
  <si>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</si>
  <si>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</si>
  <si>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</si>
  <si>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</si>
  <si>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</si>
  <si>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</si>
  <si>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</si>
  <si>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</si>
  <si>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</si>
  <si>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</si>
  <si>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</si>
  <si>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</si>
  <si>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</si>
  <si>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</si>
  <si>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</si>
  <si>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</si>
  <si>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</si>
  <si>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</si>
  <si>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</si>
  <si>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</si>
  <si>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</si>
  <si>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</si>
  <si>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</si>
  <si>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</si>
  <si>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</si>
  <si>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</si>
  <si>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</si>
  <si>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</si>
  <si>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</si>
  <si>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</si>
  <si>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</si>
  <si>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</si>
  <si>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</si>
  <si>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</si>
  <si>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</si>
  <si>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</si>
  <si>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</si>
  <si>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</si>
  <si>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</si>
  <si>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</si>
  <si>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</si>
  <si>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</si>
  <si>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</si>
  <si>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</si>
  <si>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</si>
  <si>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</si>
  <si>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</si>
  <si>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</si>
  <si>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</si>
  <si>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podl. křížová vrut</t>
  </si>
  <si>
    <t>podl. křížová euro</t>
  </si>
  <si>
    <t>podl. křížová hmoždinka</t>
  </si>
  <si>
    <t>podl. přímá vrut</t>
  </si>
  <si>
    <t>podl. přímá euro</t>
  </si>
  <si>
    <t>podl. přímá hmoždinka</t>
  </si>
  <si>
    <t>úzký</t>
  </si>
  <si>
    <t>závěs s pružinou a tlumením</t>
  </si>
  <si>
    <t>stříbrná</t>
  </si>
  <si>
    <t>-</t>
  </si>
  <si>
    <t>závěs s pružinou bez tlumení</t>
  </si>
  <si>
    <t>černá</t>
  </si>
  <si>
    <t>173H7100</t>
  </si>
  <si>
    <t>177H3100E</t>
  </si>
  <si>
    <t>tip-on závěs bez pružiny/tlumení</t>
  </si>
  <si>
    <t>92590T / 92594T</t>
  </si>
  <si>
    <t>STRONG PLUS</t>
  </si>
  <si>
    <t>92596 / 315856</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</si>
  <si>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</si>
  <si>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</si>
  <si>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</si>
  <si>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</si>
  <si>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</si>
  <si>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</si>
  <si>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</si>
  <si>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</si>
  <si>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</si>
  <si>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</si>
  <si>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</si>
  <si>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</si>
  <si>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</si>
  <si>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</si>
  <si>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</si>
  <si>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</si>
  <si>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</si>
  <si>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</si>
  <si>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</si>
  <si>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Varna (Vlevo a Vpravo) + Siena (Nahoře a dole)</t>
  </si>
  <si>
    <t>Siena (Vlevo a vpravo) + Varna (Nahoře a dole)</t>
  </si>
  <si>
    <t>Varna (Vlevo a Vpravo) + Palio (Nahoře a dole)</t>
  </si>
  <si>
    <t>Palio (Vlevo a vpravo) + Varna (Nahoře a dole)</t>
  </si>
  <si>
    <t>Varna (Vlevo a Vpravo) + Rocca (Nahoře a dole)</t>
  </si>
  <si>
    <t>Rocca (Vlevo a vpravo) + Varna (Nahoře a dole)</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</si>
  <si>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</si>
  <si>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</si>
  <si>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</si>
  <si>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</si>
  <si>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</si>
  <si>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</si>
  <si>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</si>
  <si>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</si>
  <si>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</si>
  <si>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</si>
  <si>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</si>
  <si>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</si>
  <si>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</si>
  <si>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</si>
  <si>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Závěsy k Výklopu</t>
  </si>
  <si>
    <t>Umiestnenie úchytky</t>
  </si>
  <si>
    <t>Fogantyú helyzete</t>
  </si>
  <si>
    <t>Rozteč</t>
  </si>
  <si>
    <t>Rozstaw</t>
  </si>
  <si>
    <t>Távolság</t>
  </si>
  <si>
    <t>W górę</t>
  </si>
  <si>
    <t>Fel</t>
  </si>
  <si>
    <t>Navrchu</t>
  </si>
  <si>
    <t>Le</t>
  </si>
  <si>
    <t>Vzdálenost od kraje</t>
  </si>
  <si>
    <t>Vzdialenosť od kraja</t>
  </si>
  <si>
    <t>Odległość od krawędzi</t>
  </si>
  <si>
    <t>A távolsága a peremtől</t>
  </si>
  <si>
    <t>Hartowane</t>
  </si>
  <si>
    <t>Edzett</t>
  </si>
  <si>
    <t>Módosítások nélkül</t>
  </si>
  <si>
    <t>Bez úprav</t>
  </si>
  <si>
    <t>Bez modyfikacji</t>
  </si>
  <si>
    <t>Folia</t>
  </si>
  <si>
    <t>Fólia</t>
  </si>
  <si>
    <t>Palio čierna matt</t>
  </si>
  <si>
    <t>Palio fekete matt</t>
  </si>
  <si>
    <t>Siena čierna mat</t>
  </si>
  <si>
    <t>Siena fekete matt</t>
  </si>
  <si>
    <t>Varna (Vľavo a Vpravo) + Siena (Hore a dole)</t>
  </si>
  <si>
    <t>Siena (Vľavo a vpravo) + Varna (Hore a dole)</t>
  </si>
  <si>
    <t>Varna (Vľavo a Vpravo) + Palio (Hore a dole)</t>
  </si>
  <si>
    <t>Palio (Vľavo a vpravo) + Varna (Hore a dole)</t>
  </si>
  <si>
    <t>Varna (Vľavo a Vpravo) + Rocca (Hore a dole)</t>
  </si>
  <si>
    <t>Rocca (Vľavo a vpravo) + Varna (Hore a dole)</t>
  </si>
  <si>
    <t>Warna (lewa i prawa) + Siena (góra i dół)</t>
  </si>
  <si>
    <t>Siena (lewa i prawa) + Warna (góra i dół)</t>
  </si>
  <si>
    <t>Warna (lewa i prawa) + Palio (góra i dół)</t>
  </si>
  <si>
    <t>Palio (lewy i prawy) + Warna (góra i dół)</t>
  </si>
  <si>
    <t>Warna (lewa i prawa) + Rocca (góra i dół)</t>
  </si>
  <si>
    <t>Rocca (lewa i prawa) + Varna (góra i dół)</t>
  </si>
  <si>
    <t>Várna (bal és jobb) + Siena (fent és alul)</t>
  </si>
  <si>
    <t>Siena (bal és jobb) + Várna (felső és alsó)</t>
  </si>
  <si>
    <t>Várna (bal és jobb) + Palio (felső és alsó)</t>
  </si>
  <si>
    <t>Palio (bal és jobb) + Várna (felső és alsó)</t>
  </si>
  <si>
    <t>Várna (bal és jobb) + Rocca (felső és alsó)</t>
  </si>
  <si>
    <t>Rocca (bal és jobb) + Várna (felső és alsó)</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</si>
  <si>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</si>
  <si>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</si>
  <si>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</si>
  <si>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</si>
  <si>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</si>
  <si>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</si>
  <si>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</si>
  <si>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</si>
  <si>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</si>
  <si>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</si>
  <si>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</si>
  <si>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</si>
  <si>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</si>
  <si>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</si>
  <si>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</si>
  <si>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</si>
  <si>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</si>
  <si>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</si>
  <si>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</si>
  <si>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</si>
  <si>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široký_STRONG PLUS_Nakładany</t>
  </si>
  <si>
    <t>široký_STRONG PLUS_Półnakładany</t>
  </si>
  <si>
    <t>široký_STRONG PLUS_Wpuszczany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</si>
  <si>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</si>
  <si>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</si>
  <si>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</si>
  <si>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</si>
  <si>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</si>
  <si>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</si>
  <si>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</si>
  <si>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</si>
  <si>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</si>
  <si>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</si>
  <si>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</si>
  <si>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</si>
  <si>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</si>
  <si>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</si>
  <si>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</si>
  <si>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</si>
  <si>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</si>
  <si>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široký_STRONG PLUS_Naložený</t>
  </si>
  <si>
    <t>široký_STRONG PLUS_Polonaložený</t>
  </si>
  <si>
    <t>široký_STRONG PLUS_Vložený</t>
  </si>
  <si>
    <t>Ano</t>
  </si>
  <si>
    <t>Ne</t>
  </si>
  <si>
    <t>Igen</t>
  </si>
  <si>
    <t>Nem</t>
  </si>
  <si>
    <t>Nie</t>
  </si>
  <si>
    <t>Tak</t>
  </si>
  <si>
    <t>Áno</t>
  </si>
  <si>
    <t>Horizontálně i Vertikálně</t>
  </si>
  <si>
    <t>horizontálne</t>
  </si>
  <si>
    <t>vertikálne</t>
  </si>
  <si>
    <t>Horizontálne aj Vertikálne</t>
  </si>
  <si>
    <t>Poziomo</t>
  </si>
  <si>
    <t>Pionowo</t>
  </si>
  <si>
    <t>Poziomo i pionowo</t>
  </si>
  <si>
    <t>Vízszintesen</t>
  </si>
  <si>
    <t>Függőlegesen</t>
  </si>
  <si>
    <t>Vízszintesen és függőlegesen</t>
  </si>
  <si>
    <t>Rámček zložený z dvoch rôznych profilov</t>
  </si>
  <si>
    <t>Két különböző profilból álló keret</t>
  </si>
  <si>
    <t>úzký_BLUM_Ráütődő</t>
  </si>
  <si>
    <t>úzký_BLUM_Féligráütődő</t>
  </si>
  <si>
    <t>úzký_BLUM_Közzézáródó</t>
  </si>
  <si>
    <t>úzký_HETTICH_Ráütődő</t>
  </si>
  <si>
    <t>úzký_HETTICH_Féligráütődő</t>
  </si>
  <si>
    <t>úzký_HETTICH_Közzézáródó</t>
  </si>
  <si>
    <t>úzký_STRONG_Ráütődő</t>
  </si>
  <si>
    <t>úzký_STRONG PLUS_Ráütődő</t>
  </si>
  <si>
    <t>široký_BLUM_Ráütődő</t>
  </si>
  <si>
    <t>široký_BLUM_Féligráütődő</t>
  </si>
  <si>
    <t>široký_BLUM_Közzézáródó</t>
  </si>
  <si>
    <t>široký_HETTICH_Ráütődő</t>
  </si>
  <si>
    <t>široký_HETTICH_Féligráütődő</t>
  </si>
  <si>
    <t>široký_HETTICH_Közzézáródó</t>
  </si>
  <si>
    <t>široký_STRONG_Ráütődő</t>
  </si>
  <si>
    <t>široký_STRONG_Féligráütődő</t>
  </si>
  <si>
    <t>široký_STRONG_Közzézáródó</t>
  </si>
  <si>
    <t>široký_STRONG PLUS_Ráütődő</t>
  </si>
  <si>
    <t>široký_STRONG PLUS_Féligráütődő</t>
  </si>
  <si>
    <t>široký_STRONG PLUS_Közzézáródó</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</si>
  <si>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</si>
  <si>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</si>
  <si>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</si>
  <si>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</si>
  <si>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</si>
  <si>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</si>
  <si>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</si>
  <si>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</si>
  <si>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</si>
  <si>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</si>
  <si>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</si>
  <si>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</si>
  <si>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</si>
  <si>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</si>
  <si>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</si>
  <si>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</si>
  <si>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</si>
  <si>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</si>
  <si>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</si>
  <si>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</si>
  <si>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</si>
  <si>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</si>
  <si>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</si>
  <si>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</si>
  <si>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</si>
  <si>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</si>
  <si>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</si>
  <si>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</si>
  <si>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</si>
  <si>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</si>
  <si>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</si>
  <si>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</si>
  <si>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</si>
  <si>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</si>
  <si>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</si>
  <si>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</si>
  <si>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</si>
  <si>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</si>
  <si>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</si>
  <si>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</si>
  <si>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</si>
  <si>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Pohled na předěly je jen ilustrativní a nezobrazuje zvolený počet ks. předělů horizontálně / vertikálně.</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</si>
  <si>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</si>
  <si>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</si>
  <si>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</si>
  <si>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Upozornění</t>
  </si>
  <si>
    <t>Upozornenie</t>
  </si>
  <si>
    <t>Értesítés</t>
  </si>
  <si>
    <t>Ogłoszenie</t>
  </si>
  <si>
    <t>Varna černá (Vlevo a Vpravo) + Siena černá (Nahoře a dole)</t>
  </si>
  <si>
    <t>Siena černá (Vlevo a vpravo) + Varna černá (Nahoře a dole)</t>
  </si>
  <si>
    <t>Varna čierna (Vľavo a Vpravo) + Siena čierna (Hore a dole)</t>
  </si>
  <si>
    <t>Siena čierna (Vľavo a vpravo) + Varna čierna (Hore a dole)</t>
  </si>
  <si>
    <t>Warna czarny (lewa i prawa) + Siena czarny (góra i dół)</t>
  </si>
  <si>
    <t>Siena czarny (lewa i prawa) + Warna czarny (góra i dół)</t>
  </si>
  <si>
    <t>Várna fekete (bal és jobb) + Siena fekete (fent és alul)</t>
  </si>
  <si>
    <t>Siena fekete (bal és jobb) + Várna fekete (felső és alsó)</t>
  </si>
  <si>
    <t>Warna</t>
  </si>
  <si>
    <t>Várna</t>
  </si>
  <si>
    <t>Rocca čierna</t>
  </si>
  <si>
    <t>Rocca czarny</t>
  </si>
  <si>
    <t>Rocca fekete</t>
  </si>
  <si>
    <t>Varna černá</t>
  </si>
  <si>
    <t>Varna čierna</t>
  </si>
  <si>
    <t>Warna czarny</t>
  </si>
  <si>
    <t>Várna fekete</t>
  </si>
  <si>
    <t>Varna černá (Vlevo a Vpravo) + Rocca černá (Nahoře a dole)</t>
  </si>
  <si>
    <t>Rocca černá (Vlevo a vpravo) + Varna černá (Nahoře a dole)</t>
  </si>
  <si>
    <t>Varna čierna (Vľavo a Vpravo) + Rocca čierna (Hore a dole)</t>
  </si>
  <si>
    <t>Rocca čierna (Vľavo a vpravo) + Varna čierna (Hore a dole)</t>
  </si>
  <si>
    <t>Warna czarny (lewa i prawa) + Rocca czarny (góra i dół)</t>
  </si>
  <si>
    <t>Rocca czarny (lewa i prawa) + Varna czarny (góra i dół)</t>
  </si>
  <si>
    <t>Várna fekete (bal és jobb) + Rocca fekete (felső és alsó)</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</si>
  <si>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</si>
  <si>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</si>
  <si>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</si>
  <si>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</si>
  <si>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</si>
  <si>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</si>
  <si>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</si>
  <si>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</si>
  <si>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</si>
  <si>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</si>
  <si>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</si>
  <si>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</si>
  <si>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</si>
  <si>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</si>
  <si>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</si>
  <si>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</si>
  <si>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</si>
  <si>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</si>
  <si>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</si>
  <si>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</si>
  <si>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</si>
  <si>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</si>
  <si>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</si>
  <si>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</si>
  <si>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</si>
  <si>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</si>
  <si>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</si>
  <si>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</si>
  <si>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</si>
  <si>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</si>
  <si>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</si>
  <si>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</si>
  <si>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</si>
  <si>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</si>
  <si>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</si>
  <si>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</si>
  <si>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</si>
  <si>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</si>
  <si>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</si>
  <si>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</si>
  <si>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</si>
  <si>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</si>
  <si>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</si>
  <si>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</si>
  <si>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</si>
  <si>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</si>
  <si>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</si>
  <si>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</si>
  <si>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</si>
  <si>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</si>
  <si>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</si>
  <si>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</si>
  <si>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</si>
  <si>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</si>
  <si>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</si>
  <si>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Strong Plus közézáródó rugó nélkül</t>
  </si>
  <si>
    <t>Strong Plus félig ráütődő klip</t>
  </si>
  <si>
    <t>Strong Plus közézáródó klip</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</si>
  <si>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</si>
  <si>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</si>
  <si>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</si>
  <si>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</si>
  <si>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</si>
  <si>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</si>
  <si>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</si>
  <si>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</si>
  <si>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</si>
  <si>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BRW bialy matowy</t>
  </si>
  <si>
    <t>BRW bialy połysk</t>
  </si>
  <si>
    <t>BRW szczotkowany</t>
  </si>
  <si>
    <t>BRW Czarny matowy</t>
  </si>
  <si>
    <t>BRW szampański</t>
  </si>
  <si>
    <t>BRW INOX (stal nierdzewna)</t>
  </si>
  <si>
    <t>Corleone czarny matowy</t>
  </si>
  <si>
    <t>Corleone szampański</t>
  </si>
  <si>
    <t>Imola Czarny matowy</t>
  </si>
  <si>
    <t>Imola bialy matowy</t>
  </si>
  <si>
    <t>Modena Czarny matowy</t>
  </si>
  <si>
    <t>Modena INOX (stal nierdzewna)</t>
  </si>
  <si>
    <t>Palio Czarny matowy</t>
  </si>
  <si>
    <t>Pisa Czarny matowy</t>
  </si>
  <si>
    <t>Siena czarny matowy</t>
  </si>
  <si>
    <t>Verona szczotkowany</t>
  </si>
  <si>
    <t>Verona czarny matowy</t>
  </si>
  <si>
    <t>Verona szampański</t>
  </si>
  <si>
    <t>Verona Inox szczotkowany</t>
  </si>
  <si>
    <t>Verona Inox Acier szczotkowany</t>
  </si>
  <si>
    <t>Vivaro czarny matowy</t>
  </si>
  <si>
    <t>Vivaro INOX (stal nierdzewna)</t>
  </si>
  <si>
    <t>Vivaro biały matowy</t>
  </si>
  <si>
    <t>Vivaro biały połysk</t>
  </si>
  <si>
    <t>Antisol brąz</t>
  </si>
  <si>
    <t>Lustro + folia bezpieczna</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</si>
  <si>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</si>
  <si>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</si>
  <si>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</si>
  <si>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</si>
  <si>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</si>
  <si>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</si>
  <si>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</si>
  <si>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</si>
  <si>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</si>
  <si>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</si>
  <si>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</si>
  <si>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</si>
  <si>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</si>
  <si>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Wypełnione zamówienie wyślij pod adres</t>
  </si>
  <si>
    <t>Do ramek ponadgabarytowych (ponad rozmiar 1200 x 800 mm) może być doliczana opłata za specjalne zapakowanie i transport (dodatkowe informacje w Biurze Obsługi Klienta)</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</si>
  <si>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</si>
  <si>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</si>
  <si>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</si>
  <si>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</si>
  <si>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</si>
  <si>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</si>
  <si>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</si>
  <si>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</si>
  <si>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</si>
  <si>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</si>
  <si>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</si>
  <si>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Již neměnit po tom co vyberete</t>
  </si>
  <si>
    <t>Už nemeniť po tom čo vyberiete</t>
  </si>
  <si>
    <t>Nie zmieniaj po wybraniu</t>
  </si>
  <si>
    <t>A kiválasztás után ne változtasson</t>
  </si>
  <si>
    <t>Zpět</t>
  </si>
  <si>
    <t>Vissza</t>
  </si>
  <si>
    <t>Powrót</t>
  </si>
  <si>
    <t>Späť</t>
  </si>
  <si>
    <t>Lamane?</t>
  </si>
  <si>
    <t>(spodního)</t>
  </si>
  <si>
    <t>(horního)</t>
  </si>
  <si>
    <t>(levého)</t>
  </si>
  <si>
    <t>(pravého)</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</si>
  <si>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</si>
  <si>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</si>
  <si>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</si>
  <si>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A zsanérok szabványos távolsága az éltől 100 mm (minimum 80 mm). Ha meg kell változtatni az egyes zsanérok közötti távolságot, kérjük, írja meg a megjegyzésben (mm-ben).</t>
  </si>
  <si>
    <t>_corleone</t>
  </si>
  <si>
    <t>Strong_horní</t>
  </si>
  <si>
    <t>Strong_spodní</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</si>
  <si>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</si>
  <si>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</si>
  <si>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</si>
  <si>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</si>
  <si>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</si>
  <si>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</si>
  <si>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</si>
  <si>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</si>
  <si>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</si>
  <si>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</si>
  <si>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</si>
  <si>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</si>
  <si>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</si>
  <si>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BRW Light Stainless Steel (ACIER GRATA)</t>
  </si>
  <si>
    <t>Varna (Left and Right) + Siena (Top and Bottom)</t>
  </si>
  <si>
    <t>Siena (Left and Right) + Varna (Top and Bottom)</t>
  </si>
  <si>
    <t>Black Varna (Left and Right) + Black Siena (Top and bottom)</t>
  </si>
  <si>
    <t>Siena black (Left and right) + Varna black (Top and bottom)</t>
  </si>
  <si>
    <t>Varna (Left and Right) + Palio (Top and Bottom)</t>
  </si>
  <si>
    <t>Palio (Left and Right) + Varna (Top and Bottom)</t>
  </si>
  <si>
    <t>Varna (Left and Right) + Rocca (Top and Bottom)</t>
  </si>
  <si>
    <t>Rocca (Left and Right) + Varna (Top and Bottom)</t>
  </si>
  <si>
    <t>Black Varna (Left and Right) + Black Rocca (Top and Bottom)</t>
  </si>
  <si>
    <t>Rocca black (Left and right) + Varna black (Top and bottom)</t>
  </si>
  <si>
    <t>Master  Lens</t>
  </si>
  <si>
    <t>Matelac mirror silver.</t>
  </si>
  <si>
    <t>Type of glass</t>
  </si>
  <si>
    <t>Top door</t>
  </si>
  <si>
    <t>Bottom door</t>
  </si>
  <si>
    <t>45°angle</t>
  </si>
  <si>
    <t>Select Frame Position</t>
  </si>
  <si>
    <t>Hinge manufacturer</t>
  </si>
  <si>
    <t>Number of hinges per frame</t>
  </si>
  <si>
    <t>Supply including specified fittings</t>
  </si>
  <si>
    <t>Piston placement</t>
  </si>
  <si>
    <t>Top</t>
  </si>
  <si>
    <t>Narrow ALU Frame</t>
  </si>
  <si>
    <t>Wide ALU Frame</t>
  </si>
  <si>
    <t>Hinge position</t>
  </si>
  <si>
    <t>Select from list</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</si>
  <si>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</si>
  <si>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</si>
  <si>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</si>
  <si>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</si>
  <si>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</si>
  <si>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</si>
  <si>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</si>
  <si>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</si>
  <si>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</si>
  <si>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</si>
  <si>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</si>
  <si>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</si>
  <si>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</si>
  <si>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</si>
  <si>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</si>
  <si>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</si>
  <si>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</si>
  <si>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</si>
  <si>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</si>
  <si>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</si>
  <si>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The height of the frame is, by default, 6 mm less than the stated internal height of the box.</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</si>
  <si>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</si>
  <si>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</si>
  <si>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</si>
  <si>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</si>
  <si>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</si>
  <si>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</si>
  <si>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</si>
  <si>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</si>
  <si>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</si>
  <si>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</si>
  <si>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</si>
  <si>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</si>
  <si>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</si>
  <si>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</si>
  <si>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</si>
  <si>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</si>
  <si>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</si>
  <si>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</si>
  <si>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</si>
  <si>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</si>
  <si>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</si>
  <si>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Vertical</t>
  </si>
  <si>
    <t>Horizontal and Vertical</t>
  </si>
  <si>
    <t>Transparent</t>
  </si>
  <si>
    <t>White</t>
  </si>
  <si>
    <t>Black</t>
  </si>
  <si>
    <t>Next</t>
  </si>
  <si>
    <t>Summary</t>
  </si>
  <si>
    <t>Warning</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</si>
  <si>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</si>
  <si>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</si>
  <si>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</si>
  <si>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</si>
  <si>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</si>
  <si>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</si>
  <si>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</si>
  <si>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</si>
  <si>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</si>
  <si>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Strong_plus</t>
  </si>
  <si>
    <t>Při použití pantů je doporučený rozměr 600 mm.</t>
  </si>
  <si>
    <t>W przypadku zawiasów zalecany rozmiar to 600 mm.</t>
  </si>
  <si>
    <t>Pri použití pántov je odporúčaný rozmer 600 mm.</t>
  </si>
  <si>
    <t>A zsanérok használata esetén az ajánlott méret 600 mm.</t>
  </si>
  <si>
    <t>When using hinges, the recommended size is 600 mm.</t>
  </si>
  <si>
    <t>VERONA</t>
  </si>
  <si>
    <t>ROCCA</t>
  </si>
  <si>
    <t>RAVENNA</t>
  </si>
  <si>
    <t>IMOLA</t>
  </si>
  <si>
    <t>PALIO</t>
  </si>
  <si>
    <t>MODENA</t>
  </si>
  <si>
    <t>SIENA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</si>
  <si>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</si>
  <si>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</si>
  <si>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</si>
  <si>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</si>
  <si>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</si>
  <si>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</si>
  <si>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</si>
  <si>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</si>
  <si>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Rocca čierna dĺžka max. 2150 mm / Varny čierna dĺžka max. 1200</t>
  </si>
  <si>
    <t>Varna černá výrobce doporučuje délku max. 1200 mm</t>
  </si>
  <si>
    <t>Varna čierna výrobca odporúča dĺžku max. 1200 mm</t>
  </si>
  <si>
    <t>Varna czarna - producent zaleca długość max. 1200 mm</t>
  </si>
  <si>
    <t>Rocca czarny - długość max. 2150 mm / Varna czarna - długość max. 1200</t>
  </si>
  <si>
    <t>Varna fekete - a gyártó max. 1200 mm</t>
  </si>
  <si>
    <t>Rocca fekete - a gyártó max. 2150 mm / Varna fekete - a gyártó max. 1200 mm</t>
  </si>
  <si>
    <t>Varna black - the manufacturer recommends a length of max. 1200 mm</t>
  </si>
  <si>
    <t>Rocca black length max. 2150 mm /Varna black length max. 1200 mm</t>
  </si>
  <si>
    <t>VarnA čierna výrobca odporúča dĺžku max. 1200 mm</t>
  </si>
  <si>
    <t>Rocca černá délka max. 2150 mm/ Varna černá délka max. 1200 mm</t>
  </si>
  <si>
    <t>Objednávka skla</t>
  </si>
  <si>
    <t>Zamówienie szkła</t>
  </si>
  <si>
    <t>Üvegrendelés</t>
  </si>
  <si>
    <t>Glass order</t>
  </si>
  <si>
    <t>Broušení hran</t>
  </si>
  <si>
    <t>BRW dark stainless steel</t>
  </si>
  <si>
    <t>Palio black matt</t>
  </si>
  <si>
    <t>Siena black matt</t>
  </si>
  <si>
    <t>Vivaro dark stainless steel</t>
  </si>
  <si>
    <t>Rocca black</t>
  </si>
  <si>
    <t>Varna black</t>
  </si>
  <si>
    <t>harded</t>
  </si>
  <si>
    <t>Foil</t>
  </si>
  <si>
    <t>Not treated</t>
  </si>
  <si>
    <t>Transparent harded</t>
  </si>
  <si>
    <t>Satinato harded (delivery 3 weeks)</t>
  </si>
  <si>
    <t>Lacomatt</t>
  </si>
  <si>
    <t>Mirror black</t>
  </si>
  <si>
    <t>Mirror + Safety foil</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</si>
  <si>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</si>
  <si>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</si>
  <si>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</si>
  <si>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</si>
  <si>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</si>
  <si>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</si>
  <si>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</si>
  <si>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</si>
  <si>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</si>
  <si>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</si>
  <si>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</si>
  <si>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</si>
  <si>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</si>
  <si>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</si>
  <si>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</si>
  <si>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</si>
  <si>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</si>
  <si>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</si>
  <si>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</si>
  <si>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</si>
  <si>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</si>
  <si>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</si>
  <si>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</si>
  <si>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</si>
  <si>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</si>
  <si>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</si>
  <si>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</si>
  <si>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</si>
  <si>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</si>
  <si>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</si>
  <si>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</si>
  <si>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</si>
  <si>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</si>
  <si>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</si>
  <si>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</si>
  <si>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</si>
  <si>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</si>
  <si>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</si>
  <si>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</si>
  <si>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</si>
  <si>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</si>
  <si>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</si>
  <si>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</si>
  <si>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</si>
  <si>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</si>
  <si>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</si>
  <si>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</si>
  <si>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</si>
  <si>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</si>
  <si>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</si>
  <si>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</si>
  <si>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</si>
  <si>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</si>
  <si>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</si>
  <si>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</si>
  <si>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</si>
  <si>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</si>
  <si>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</si>
  <si>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</si>
  <si>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</si>
  <si>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</si>
  <si>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</si>
  <si>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</si>
  <si>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</si>
  <si>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</si>
  <si>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</si>
  <si>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</si>
  <si>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The maximum recommended frame size is 2000 x 600 mm (1800 x 600 mm in the case of glued glass frames)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</si>
  <si>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</si>
  <si>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</si>
  <si>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</si>
  <si>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</si>
  <si>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</si>
  <si>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</si>
  <si>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</si>
  <si>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</si>
  <si>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Strong Plus clip-on on Euro Screw H0</t>
  </si>
  <si>
    <t>Strong Plus clip-on to vrut H0</t>
  </si>
  <si>
    <t>Strong Plus clip-on to H2 Euro Screw</t>
  </si>
  <si>
    <t>Strong Plus clip-on to vrut H2</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</si>
  <si>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</si>
  <si>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</si>
  <si>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</si>
  <si>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</si>
  <si>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</si>
  <si>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</si>
  <si>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</si>
  <si>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</si>
  <si>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</si>
  <si>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</si>
  <si>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</si>
  <si>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</si>
  <si>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</si>
  <si>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</si>
  <si>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</si>
  <si>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</si>
  <si>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</si>
  <si>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</si>
  <si>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</si>
  <si>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</si>
  <si>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</si>
  <si>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</si>
  <si>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</si>
  <si>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</si>
  <si>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</si>
  <si>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</si>
  <si>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</si>
  <si>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</si>
  <si>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</si>
  <si>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</si>
  <si>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</si>
  <si>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</si>
  <si>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</si>
  <si>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</si>
  <si>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</si>
  <si>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</si>
  <si>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</si>
  <si>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</si>
  <si>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</si>
  <si>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</si>
  <si>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</si>
  <si>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</si>
  <si>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</si>
  <si>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</si>
  <si>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</si>
  <si>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</si>
  <si>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</si>
  <si>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</si>
  <si>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</si>
  <si>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</si>
  <si>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</si>
  <si>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</si>
  <si>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</si>
  <si>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</si>
  <si>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</si>
  <si>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</si>
  <si>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Strong Plus Overlay clip-on without spring</t>
  </si>
  <si>
    <t>Storng Plus inserted clip-on without spring</t>
  </si>
  <si>
    <t>Strong Plus 30° clip-on without spring</t>
  </si>
  <si>
    <t>Strong Plus Overlay clip-on</t>
  </si>
  <si>
    <t>Strong Plus Half-Overlay clip-on</t>
  </si>
  <si>
    <t>Strong Plus Inset clip-on</t>
  </si>
  <si>
    <t>Strong Plus 30°clip-on</t>
  </si>
  <si>
    <t>Strong Plus Clip-on H0 for screw with excenter</t>
  </si>
  <si>
    <t>Strong Plus Clip-on H2 for screw with excenter</t>
  </si>
  <si>
    <t>The maximum possible dimension of Corleone frame is 1500x600mm</t>
  </si>
  <si>
    <t>Combination of 2 Profiles</t>
  </si>
  <si>
    <t>Hinges for lift-up mechanisms</t>
  </si>
  <si>
    <t>Lifts</t>
  </si>
  <si>
    <t>Horizontal</t>
  </si>
  <si>
    <t>Frame composed of two different profiles</t>
  </si>
  <si>
    <t>Type of foil</t>
  </si>
  <si>
    <t>The view of the dividers is only illustrative and does not show the selected number of dividers horizontally/vertically.</t>
  </si>
  <si>
    <t>Do not change after you make a choice</t>
  </si>
  <si>
    <t>Default distance from the edge is set at 100mm (minimum 80mm). In case of different distances between hinges, please make a note (in mm).</t>
  </si>
  <si>
    <t>black black brushed</t>
  </si>
  <si>
    <t>Modena dark stainless steel brushed</t>
  </si>
  <si>
    <t>Verona brushed aluminium</t>
  </si>
  <si>
    <t>Verona dark stainless steel brushed</t>
  </si>
  <si>
    <t>EN</t>
  </si>
  <si>
    <t>úzký_BLUM_Overlay</t>
  </si>
  <si>
    <t>úzký_HETTICH_Overlay</t>
  </si>
  <si>
    <t>úzký_STRONG_Overlay</t>
  </si>
  <si>
    <t>úzký_STRONG PLUS_Overlay</t>
  </si>
  <si>
    <t>široký_BLUM_Overlay</t>
  </si>
  <si>
    <t>široký_HETTICH_Overlay</t>
  </si>
  <si>
    <t>široký_STRONG_Overlay</t>
  </si>
  <si>
    <t>široký_STRONG PLUS_Overlay</t>
  </si>
  <si>
    <t>úzký_BLUM_Half-overlay</t>
  </si>
  <si>
    <t>úzký_HETTICH_Half-overlay</t>
  </si>
  <si>
    <t>široký_BLUM_Half-overlay</t>
  </si>
  <si>
    <t>široký_HETTICH_Half-overlay</t>
  </si>
  <si>
    <t>široký_STRONG_Half-overlay</t>
  </si>
  <si>
    <t>široký_STRONG PLUS_Half-overlay</t>
  </si>
  <si>
    <t>úzký_BLUM_Inset</t>
  </si>
  <si>
    <t>úzký_HETTICH_Inset</t>
  </si>
  <si>
    <t>široký_BLUM_Inset</t>
  </si>
  <si>
    <t>široký_HETTICH_Inset</t>
  </si>
  <si>
    <t>široký_STRONG_Inset</t>
  </si>
  <si>
    <t>široký_STRONG PLUS_Inset</t>
  </si>
  <si>
    <t>Overlay</t>
  </si>
  <si>
    <t>záves s pružinou a tlmením</t>
  </si>
  <si>
    <t>záves s pružinou bez tlmenia</t>
  </si>
  <si>
    <t>tip-on záves bez pružiny / tlmenia</t>
  </si>
  <si>
    <t>hinge - with spring and damping</t>
  </si>
  <si>
    <t>hinge - without damping</t>
  </si>
  <si>
    <t>hinge - tip-on without spring / damping</t>
  </si>
  <si>
    <t>ezüst</t>
  </si>
  <si>
    <t>fekete</t>
  </si>
  <si>
    <t>silver</t>
  </si>
  <si>
    <t>black</t>
  </si>
  <si>
    <t>strieborná</t>
  </si>
  <si>
    <t>srebro</t>
  </si>
  <si>
    <t>czarny</t>
  </si>
  <si>
    <t>BRW zlatá</t>
  </si>
  <si>
    <t>BRW złota</t>
  </si>
  <si>
    <t>BRW arany</t>
  </si>
  <si>
    <t>BRW gold</t>
  </si>
  <si>
    <t>Verona zlatá</t>
  </si>
  <si>
    <t>Verona złota</t>
  </si>
  <si>
    <t>Verona arany</t>
  </si>
  <si>
    <t>Verona gold</t>
  </si>
  <si>
    <t>Vivaro zlatá</t>
  </si>
  <si>
    <t>Vivaro złota</t>
  </si>
  <si>
    <t>Vivaro arany</t>
  </si>
  <si>
    <t>Vivaro gold</t>
  </si>
  <si>
    <t>Imola zlatá</t>
  </si>
  <si>
    <t>Imola złota</t>
  </si>
  <si>
    <t>Imola arany</t>
  </si>
  <si>
    <t>Imola gold</t>
  </si>
  <si>
    <t>Pisa zlatá</t>
  </si>
  <si>
    <t>Pisa złota</t>
  </si>
  <si>
    <t>Pisa arany</t>
  </si>
  <si>
    <t>Pisa gold</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</si>
  <si>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</si>
  <si>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</si>
  <si>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</si>
  <si>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</si>
  <si>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</si>
  <si>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</si>
  <si>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</si>
  <si>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</si>
  <si>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</si>
  <si>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</si>
  <si>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</si>
  <si>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</si>
  <si>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</si>
  <si>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</si>
  <si>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</si>
  <si>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</si>
  <si>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zawias ze sprężyną z tłumieniem</t>
  </si>
  <si>
    <t>zawias ze sprężyną bez tłumienia</t>
  </si>
  <si>
    <t>tip-on zawias bez sprężyny/tłumienie</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</si>
  <si>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</si>
  <si>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</si>
  <si>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</si>
  <si>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</si>
  <si>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</si>
  <si>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</si>
  <si>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</si>
  <si>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</si>
  <si>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</si>
  <si>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</si>
  <si>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</si>
  <si>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</si>
  <si>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</si>
  <si>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</si>
  <si>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</si>
  <si>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</si>
  <si>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</si>
  <si>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</si>
  <si>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</si>
  <si>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</si>
  <si>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</si>
  <si>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</si>
  <si>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</si>
  <si>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</si>
  <si>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</si>
  <si>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</si>
  <si>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</si>
  <si>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</si>
  <si>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</si>
  <si>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</si>
  <si>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</si>
  <si>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</si>
  <si>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</si>
  <si>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</si>
  <si>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</si>
  <si>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</si>
  <si>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</si>
  <si>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</si>
  <si>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</si>
  <si>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</si>
  <si>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300285 - tip-on závěs bez pružiny/tlumení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</si>
  <si>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</si>
  <si>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</si>
  <si>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</si>
  <si>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</si>
  <si>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</si>
  <si>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</si>
  <si>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</si>
  <si>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</si>
  <si>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</si>
  <si>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</si>
  <si>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</si>
  <si>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</si>
  <si>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</si>
  <si>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</si>
  <si>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</si>
  <si>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</si>
  <si>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</si>
  <si>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</si>
  <si>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</si>
  <si>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</si>
  <si>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</si>
  <si>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</si>
  <si>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</si>
  <si>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</si>
  <si>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</si>
  <si>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</si>
  <si>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</si>
  <si>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</si>
  <si>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</si>
  <si>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</si>
  <si>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</si>
  <si>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</si>
  <si>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</si>
  <si>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300285 - tip-on záves bez pružiny /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</si>
  <si>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</si>
  <si>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</si>
  <si>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</si>
  <si>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</si>
  <si>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</si>
  <si>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</si>
  <si>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</si>
  <si>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</si>
  <si>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</si>
  <si>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</si>
  <si>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</si>
  <si>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</si>
  <si>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</si>
  <si>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</si>
  <si>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</si>
  <si>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</si>
  <si>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</si>
  <si>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</si>
  <si>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</si>
  <si>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</si>
  <si>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</si>
  <si>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</si>
  <si>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</si>
  <si>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</si>
  <si>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</si>
  <si>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</si>
  <si>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</si>
  <si>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</si>
  <si>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</si>
  <si>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</si>
  <si>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</si>
  <si>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</si>
  <si>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</si>
  <si>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</si>
  <si>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</si>
  <si>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</si>
  <si>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</si>
  <si>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</si>
  <si>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</si>
  <si>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</si>
  <si>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</si>
  <si>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</si>
  <si>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</si>
  <si>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</si>
  <si>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</si>
  <si>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</si>
  <si>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</si>
  <si>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</si>
  <si>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</si>
  <si>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</si>
  <si>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</si>
  <si>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</si>
  <si>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</si>
  <si>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</si>
  <si>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</si>
  <si>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</si>
  <si>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</si>
  <si>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</si>
  <si>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</si>
  <si>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</si>
  <si>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</si>
  <si>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300285 - tip-on zawias bez sprężyny/tłumienie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</si>
  <si>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</si>
  <si>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</si>
  <si>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</si>
  <si>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</si>
  <si>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</si>
  <si>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</si>
  <si>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</si>
  <si>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</si>
  <si>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</si>
  <si>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</si>
  <si>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</si>
  <si>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</si>
  <si>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</si>
  <si>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</si>
  <si>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</si>
  <si>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</si>
  <si>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</si>
  <si>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</si>
  <si>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</si>
  <si>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</si>
  <si>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</si>
  <si>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</si>
  <si>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</si>
  <si>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</si>
  <si>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</si>
  <si>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</si>
  <si>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</si>
  <si>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</si>
  <si>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</si>
  <si>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</si>
  <si>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</si>
  <si>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</si>
  <si>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</si>
  <si>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</si>
  <si>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</si>
  <si>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</si>
  <si>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</si>
  <si>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</si>
  <si>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</si>
  <si>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</si>
  <si>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</si>
  <si>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</si>
  <si>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</si>
  <si>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</si>
  <si>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</si>
  <si>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</si>
  <si>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</si>
  <si>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</si>
  <si>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</si>
  <si>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</si>
  <si>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</si>
  <si>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</si>
  <si>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</si>
  <si>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</si>
  <si>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</si>
  <si>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</si>
  <si>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</si>
  <si>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</si>
  <si>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</si>
  <si>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</si>
  <si>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</si>
  <si>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</si>
  <si>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</si>
  <si>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</si>
  <si>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</si>
  <si>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</si>
  <si>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</si>
  <si>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</si>
  <si>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</si>
  <si>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</si>
  <si>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</si>
  <si>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</si>
  <si>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</si>
  <si>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</si>
  <si>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</si>
  <si>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</si>
  <si>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</si>
  <si>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</si>
  <si>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</si>
  <si>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</si>
  <si>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</si>
  <si>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</si>
  <si>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</si>
  <si>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</si>
  <si>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</si>
  <si>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</si>
  <si>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</si>
  <si>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</si>
  <si>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</si>
  <si>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</si>
  <si>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</si>
  <si>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</si>
  <si>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</si>
  <si>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</si>
  <si>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</si>
  <si>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</si>
  <si>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</si>
  <si>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</si>
  <si>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</si>
  <si>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</si>
  <si>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</si>
  <si>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</si>
  <si>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</si>
  <si>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</si>
  <si>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</si>
  <si>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</si>
  <si>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</si>
  <si>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</si>
  <si>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</si>
  <si>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</si>
  <si>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</si>
  <si>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</si>
  <si>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</si>
  <si>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</si>
  <si>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</si>
  <si>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</si>
  <si>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</si>
  <si>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</si>
  <si>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</si>
  <si>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</si>
  <si>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</si>
  <si>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</si>
  <si>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</si>
  <si>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</si>
  <si>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</si>
  <si>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</si>
  <si>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</si>
  <si>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</si>
  <si>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</si>
  <si>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</si>
  <si>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</si>
  <si>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</si>
  <si>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</si>
  <si>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</si>
  <si>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</si>
  <si>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</si>
  <si>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</si>
  <si>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</si>
  <si>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</si>
  <si>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</si>
  <si>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</si>
  <si>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</si>
  <si>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</si>
  <si>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</si>
  <si>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</si>
  <si>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</si>
  <si>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</si>
  <si>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</si>
  <si>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</si>
  <si>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</si>
  <si>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</si>
  <si>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</si>
  <si>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</si>
  <si>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</si>
  <si>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</si>
  <si>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</si>
  <si>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</si>
  <si>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</si>
  <si>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</si>
  <si>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</si>
  <si>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</si>
  <si>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</si>
  <si>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</si>
  <si>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</si>
  <si>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</si>
  <si>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</si>
  <si>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</si>
  <si>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</si>
  <si>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</si>
  <si>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</si>
  <si>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</si>
  <si>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</si>
  <si>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</si>
  <si>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</si>
  <si>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</si>
  <si>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</si>
  <si>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</si>
  <si>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Pisa bílá lesk</t>
  </si>
  <si>
    <t>Pisa biela lesk</t>
  </si>
  <si>
    <t>Pisa biały połysk</t>
  </si>
  <si>
    <t>Pisa fehér fényes</t>
  </si>
  <si>
    <t>Pisa white gloss</t>
  </si>
  <si>
    <t>Kalení cena</t>
  </si>
  <si>
    <t>Folie cena</t>
  </si>
  <si>
    <t>Lesk</t>
  </si>
  <si>
    <t>Mat</t>
  </si>
  <si>
    <t>Gloss</t>
  </si>
  <si>
    <t>Matt</t>
  </si>
  <si>
    <t>Połysk</t>
  </si>
  <si>
    <t>Fényes</t>
  </si>
  <si>
    <t>Matowy</t>
  </si>
  <si>
    <r>
      <t>Varna (</t>
    </r>
    <r>
      <rPr>
        <sz val="8"/>
        <color rgb="FFFF0000"/>
        <rFont val="Calibri"/>
        <family val="2"/>
        <charset val="238"/>
      </rPr>
      <t>elox</t>
    </r>
    <r>
      <rPr>
        <sz val="8"/>
        <rFont val="Calibri"/>
        <family val="2"/>
        <charset val="238"/>
      </rPr>
      <t>.)</t>
    </r>
  </si>
  <si>
    <r>
      <t>Rocca (</t>
    </r>
    <r>
      <rPr>
        <sz val="8"/>
        <color rgb="FFFF0000"/>
        <rFont val="Calibri"/>
        <family val="2"/>
        <charset val="238"/>
      </rPr>
      <t>elox</t>
    </r>
    <r>
      <rPr>
        <sz val="8"/>
        <rFont val="Calibri"/>
        <family val="2"/>
        <charset val="238"/>
      </rPr>
      <t>.)</t>
    </r>
  </si>
  <si>
    <r>
      <t xml:space="preserve">Rocca černá </t>
    </r>
    <r>
      <rPr>
        <sz val="8"/>
        <color rgb="FFFF0000"/>
        <rFont val="Calibri"/>
        <family val="2"/>
        <charset val="238"/>
      </rPr>
      <t>mat</t>
    </r>
  </si>
  <si>
    <t>Optiwhite</t>
  </si>
  <si>
    <t>X = Wiercenie uchwytu na srod</t>
  </si>
  <si>
    <t xml:space="preserve">Do zelených buniek uveďte vzdialenosť vŕtania úchytky od kraja rámčeka._x000D_
Ak požadujete vŕtanie úchytky na stred rámčeka a do stredu profilu, vpíšte prosím do zelených buniek " x ". </t>
  </si>
  <si>
    <t>„W zielonych komórkach określ odległość wiercenia uchwytu od krawędzi ramy.
Jeśli chcesz przewiercić uchwyt w środku ościeżnicy i na środku profilu, w zielonych polach wpisz „x”.</t>
  </si>
  <si>
    <t>"A zöld cellákban adja meg a fogantyú fúrási távolságát a keret szélétől.
Ha meg akarja fúrni a fogantyút a keret közepén és a profil közepén, kérjük, írja be az "" x "-t a zöld cellákba."</t>
  </si>
  <si>
    <t>(Spodného)</t>
  </si>
  <si>
    <t>(Ľavého)</t>
  </si>
  <si>
    <t>(Horného)</t>
  </si>
  <si>
    <t>(Pravého)</t>
  </si>
  <si>
    <t>(alsó)</t>
  </si>
  <si>
    <t>(bal)</t>
  </si>
  <si>
    <t>(felső)</t>
  </si>
  <si>
    <t>(jobb)</t>
  </si>
  <si>
    <t>(bottom)</t>
  </si>
  <si>
    <t>(left)</t>
  </si>
  <si>
    <t>(upper)</t>
  </si>
  <si>
    <t>(right)</t>
  </si>
  <si>
    <t>(dolnej)</t>
  </si>
  <si>
    <t>(lewej)</t>
  </si>
  <si>
    <t>(górnej)</t>
  </si>
  <si>
    <t>(prawej)</t>
  </si>
  <si>
    <t>Čiré / Optiwhite</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</si>
  <si>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</si>
  <si>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</si>
  <si>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</si>
  <si>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</si>
  <si>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</si>
  <si>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</si>
  <si>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</si>
  <si>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</si>
  <si>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</si>
  <si>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</si>
  <si>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</si>
  <si>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</si>
  <si>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</si>
  <si>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</si>
  <si>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</si>
  <si>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</si>
  <si>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</si>
  <si>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</si>
  <si>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</si>
  <si>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</si>
  <si>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</si>
  <si>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</si>
  <si>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</si>
  <si>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</si>
  <si>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</si>
  <si>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</si>
  <si>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</si>
  <si>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</si>
  <si>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</si>
  <si>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</si>
  <si>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</si>
  <si>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</si>
  <si>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</si>
  <si>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</si>
  <si>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</si>
  <si>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</si>
  <si>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</si>
  <si>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</si>
  <si>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</si>
  <si>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</si>
  <si>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</si>
  <si>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</si>
  <si>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</si>
  <si>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</si>
  <si>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</si>
  <si>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</si>
  <si>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</si>
  <si>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</si>
  <si>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</si>
  <si>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</si>
  <si>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</si>
  <si>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</si>
  <si>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</si>
  <si>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</si>
  <si>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</si>
  <si>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</si>
  <si>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</si>
  <si>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</si>
  <si>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</si>
  <si>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</si>
  <si>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</si>
  <si>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</si>
  <si>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</si>
  <si>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</si>
  <si>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</si>
  <si>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</si>
  <si>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</si>
  <si>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</si>
  <si>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</si>
  <si>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</si>
  <si>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</si>
  <si>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</si>
  <si>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</si>
  <si>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</si>
  <si>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</si>
  <si>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</si>
  <si>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</si>
  <si>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</si>
  <si>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</si>
  <si>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</si>
  <si>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</si>
  <si>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</si>
  <si>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</si>
  <si>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</si>
  <si>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</si>
  <si>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</si>
  <si>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</si>
  <si>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</si>
  <si>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</si>
  <si>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</si>
  <si>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</si>
  <si>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 spodní 80N šedá</t>
  </si>
  <si>
    <t>275689-spodná 80N sivá</t>
  </si>
  <si>
    <t>275689-barkowy 80N szary</t>
  </si>
  <si>
    <t>275689-alsó 80N szürke</t>
  </si>
  <si>
    <t>275689 - bottom, 80N grey</t>
  </si>
  <si>
    <t>248167- spodní 80N bílá</t>
  </si>
  <si>
    <t>248167-spodná 80N biela</t>
  </si>
  <si>
    <t>248167-barkowy 80N biały</t>
  </si>
  <si>
    <t>248167-alsó 80N fehér</t>
  </si>
  <si>
    <t>248167 - bottom, 80N white</t>
  </si>
  <si>
    <t>197608-20L3200.06-výška skříňky=300 – 349 mm</t>
  </si>
  <si>
    <t>197608-20L3200.06-výška skrinky=300 – 349 mm</t>
  </si>
  <si>
    <t>197608-20L3200.06-wysokość szafy=300 – 349 mm</t>
  </si>
  <si>
    <t>197608-20L3200.06-szekrény magassága=300 – 349 mm</t>
  </si>
  <si>
    <t>197608-20L3200.06-cabinet height=300 – 349 mm</t>
  </si>
  <si>
    <t>197609-20L3500.06-výška skříňky=350 – 399 mm</t>
  </si>
  <si>
    <t>197609-20L3500.06-výška skrinky=350 – 399 mm</t>
  </si>
  <si>
    <t>197609-20L3500.06-wysokość szafy=350 – 399 mm</t>
  </si>
  <si>
    <t>197609-20L3500.06-szekrény magassága=350 – 399 mm</t>
  </si>
  <si>
    <t>197609-20L3500.06-cabinet height=350 – 399 mm</t>
  </si>
  <si>
    <t>197610-20L3800.06-výška skříňky=400 – 550 mm</t>
  </si>
  <si>
    <t>197610-20L3800.06-výška skrinky=400 – 550 mm</t>
  </si>
  <si>
    <t>197610-20L3800.06-wysokość szafy=400 – 550 mm</t>
  </si>
  <si>
    <t>197610-20L3800.06-szekrény magassága=400 – 550 mm</t>
  </si>
  <si>
    <t>197610-20L3800.06-cabinet height=400 – 550 mm</t>
  </si>
  <si>
    <t>197611-20L3900.06-výška skříňky=450 – 580 mm</t>
  </si>
  <si>
    <t>197611-20L3900.06-výška skrinky=450 – 580 mm</t>
  </si>
  <si>
    <t>197611-20L3900.06-wysokość szafy=450 – 580 mm</t>
  </si>
  <si>
    <t>197611-20L3900.06-szekrény magassága=450 – 580 mm</t>
  </si>
  <si>
    <t>197611-20L3900.06-cabinet height=450 – 580 mm</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</si>
  <si>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</si>
  <si>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</si>
  <si>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</si>
  <si>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</si>
  <si>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</si>
  <si>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</si>
  <si>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</si>
  <si>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</si>
  <si>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</si>
  <si>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</si>
  <si>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</si>
  <si>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</si>
  <si>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</si>
  <si>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</si>
  <si>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</si>
  <si>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</si>
  <si>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</si>
  <si>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</si>
  <si>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</si>
  <si>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</si>
  <si>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</si>
  <si>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Ceny jsou platné od 25.1.2021/Verze 3.01</t>
  </si>
  <si>
    <t>Ceny sú platné od 25.1.2021/Verzia 3.01</t>
  </si>
  <si>
    <t>Ceny obowiązują od 25.1.2021/Wersja 3.01</t>
  </si>
  <si>
    <t>Az árak érvényesek 2021.1.25 -től/3.01 - es változat</t>
  </si>
  <si>
    <t>Prices are valid from 25.1.2021/Version 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</si>
</sst>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Kč&quot;_-;\-* #,##0.00\ &quot;Kč&quot;_-;_-* &quot;-&quot;??\ &quot;Kč&quot;_-;_-@_-"/>
    <numFmt numFmtId="164" formatCode="&quot;&lt;— &quot;#####&quot; mm —&gt;&quot;"/>
    <numFmt numFmtId="165" formatCode="#####&quot; mm&quot;"/>
    <numFmt numFmtId="166" formatCode="#####&quot; ks&quot;"/>
    <numFmt numFmtId="167" formatCode="[$-1010405]###\ ###\ ###\ ###\ ###\ ##0.0000"/>
    <numFmt numFmtId="168" formatCode="_-* #,##0.00\ [$€-1]_-;\-* #,##0.00\ [$€-1]_-;_-* &quot;-&quot;??\ [$€-1]_-;_-@_-"/>
    <numFmt numFmtId="169" formatCode="&quot;&lt;— &quot;#####&quot;&quot;"/>
  </numFmts>
  <fonts count="94" x14ac:knownFonts="1">
    <font>
      <sz val="11"/>
      <color theme="1"/>
      <name val="Calibri"/>
      <family val="2"/>
      <charset val="238"/>
      <scheme val="minor"/>
    </font>
    <font>
      <sz val="10"/>
      <name val="Arial"/>
      <family val="2"/>
      <charset val="238"/>
    </font>
    <font>
      <sz val="11"/>
      <color indexed="8"/>
      <name val="Calibri"/>
      <family val="2"/>
      <charset val="238"/>
    </font>
    <font>
      <b/>
      <sz val="10"/>
      <color indexed="8"/>
      <name val="Arial"/>
      <family val="2"/>
      <charset val="238"/>
    </font>
    <font>
      <sz val="8"/>
      <name val="Calibri"/>
      <family val="2"/>
      <charset val="238"/>
    </font>
    <font>
      <b/>
      <sz val="9"/>
      <color indexed="81"/>
      <name val="Tahoma"/>
      <family val="2"/>
      <charset val="238"/>
    </font>
    <font>
      <sz val="9"/>
      <color indexed="81"/>
      <name val="Tahoma"/>
      <family val="2"/>
      <charset val="238"/>
    </font>
    <font>
      <b/>
      <sz val="11"/>
      <color theme="1"/>
      <name val="Calibri"/>
      <family val="2"/>
      <charset val="238"/>
      <scheme val="minor"/>
    </font>
    <font>
      <u/>
      <sz val="9.35"/>
      <color theme="10"/>
      <name val="Calibri"/>
      <family val="2"/>
      <charset val="238"/>
    </font>
    <font>
      <sz val="11"/>
      <color theme="1"/>
      <name val="Calibri"/>
      <family val="2"/>
      <scheme val="minor"/>
    </font>
    <font>
      <sz val="11"/>
      <color rgb="FFFF0000"/>
      <name val="Calibri"/>
      <family val="2"/>
      <charset val="238"/>
      <scheme val="minor"/>
    </font>
    <font>
      <sz val="20"/>
      <color theme="1"/>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b/>
      <sz val="20"/>
      <color rgb="FFFF0000"/>
      <name val="Calibri"/>
      <family val="2"/>
      <charset val="238"/>
      <scheme val="minor"/>
    </font>
    <font>
      <b/>
      <sz val="20"/>
      <color theme="1"/>
      <name val="Calibri"/>
      <family val="2"/>
      <charset val="238"/>
      <scheme val="minor"/>
    </font>
    <font>
      <sz val="11"/>
      <color theme="0" tint="-0.14999847407452621"/>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sz val="26"/>
      <color theme="1"/>
      <name val="Calibri"/>
      <family val="2"/>
      <charset val="238"/>
      <scheme val="minor"/>
    </font>
    <font>
      <u/>
      <sz val="48"/>
      <name val="Calibri"/>
      <family val="2"/>
      <charset val="238"/>
      <scheme val="minor"/>
    </font>
    <font>
      <sz val="16"/>
      <color theme="1"/>
      <name val="Calibri"/>
      <family val="2"/>
      <charset val="238"/>
      <scheme val="minor"/>
    </font>
    <font>
      <sz val="9"/>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8"/>
      <color rgb="FFFF0000"/>
      <name val="Calibri"/>
      <family val="2"/>
      <charset val="238"/>
      <scheme val="minor"/>
    </font>
    <font>
      <sz val="18"/>
      <color theme="1"/>
      <name val="Calibri"/>
      <family val="2"/>
      <charset val="238"/>
      <scheme val="minor"/>
    </font>
    <font>
      <sz val="10"/>
      <name val="Calibri"/>
      <family val="2"/>
      <charset val="238"/>
      <scheme val="minor"/>
    </font>
    <font>
      <sz val="14"/>
      <color rgb="FFFF0000"/>
      <name val="Calibri"/>
      <family val="2"/>
      <charset val="238"/>
      <scheme val="minor"/>
    </font>
    <font>
      <sz val="16"/>
      <color rgb="FFFF0000"/>
      <name val="Calibri"/>
      <family val="2"/>
      <charset val="238"/>
      <scheme val="minor"/>
    </font>
    <font>
      <sz val="10"/>
      <color rgb="FFFF0000"/>
      <name val="Calibri"/>
      <family val="2"/>
      <charset val="238"/>
      <scheme val="minor"/>
    </font>
    <font>
      <b/>
      <sz val="14"/>
      <color rgb="FFFF0000"/>
      <name val="Calibri"/>
      <family val="2"/>
      <charset val="238"/>
      <scheme val="minor"/>
    </font>
    <font>
      <b/>
      <sz val="12"/>
      <color rgb="FFFF0000"/>
      <name val="Calibri"/>
      <family val="2"/>
      <charset val="238"/>
      <scheme val="minor"/>
    </font>
    <font>
      <sz val="12"/>
      <color rgb="FFFF0000"/>
      <name val="Calibri"/>
      <family val="2"/>
      <charset val="238"/>
      <scheme val="minor"/>
    </font>
    <font>
      <sz val="14"/>
      <color theme="1"/>
      <name val="Calibri"/>
      <family val="2"/>
      <charset val="238"/>
      <scheme val="minor"/>
    </font>
    <font>
      <u/>
      <sz val="12"/>
      <color theme="10"/>
      <name val="Calibri"/>
      <family val="2"/>
      <charset val="238"/>
    </font>
    <font>
      <b/>
      <sz val="11"/>
      <color theme="0"/>
      <name val="Calibri"/>
      <family val="2"/>
      <charset val="238"/>
      <scheme val="minor"/>
    </font>
    <font>
      <b/>
      <sz val="11"/>
      <color rgb="FF002060"/>
      <name val="Calibri"/>
      <family val="2"/>
      <charset val="238"/>
      <scheme val="minor"/>
    </font>
    <font>
      <b/>
      <sz val="16"/>
      <color rgb="FFFFFF00"/>
      <name val="Calibri"/>
      <family val="2"/>
      <charset val="238"/>
      <scheme val="minor"/>
    </font>
    <font>
      <b/>
      <sz val="16"/>
      <color theme="1"/>
      <name val="Calibri"/>
      <family val="2"/>
      <charset val="238"/>
      <scheme val="minor"/>
    </font>
    <font>
      <b/>
      <sz val="20"/>
      <color theme="0"/>
      <name val="Calibri"/>
      <family val="2"/>
      <charset val="238"/>
      <scheme val="minor"/>
    </font>
    <font>
      <b/>
      <sz val="26"/>
      <color theme="0"/>
      <name val="Calibri"/>
      <family val="2"/>
      <charset val="238"/>
      <scheme val="minor"/>
    </font>
    <font>
      <b/>
      <sz val="11"/>
      <color rgb="FFFF0000"/>
      <name val="Calibri"/>
      <family val="2"/>
      <charset val="238"/>
      <scheme val="minor"/>
    </font>
    <font>
      <sz val="22"/>
      <color theme="1"/>
      <name val="Calibri"/>
      <family val="2"/>
      <charset val="238"/>
      <scheme val="minor"/>
    </font>
    <font>
      <b/>
      <sz val="18"/>
      <color rgb="FFFF0000"/>
      <name val="Calibri"/>
      <family val="2"/>
      <charset val="238"/>
      <scheme val="minor"/>
    </font>
    <font>
      <sz val="11"/>
      <color theme="1"/>
      <name val="Calibri"/>
      <family val="2"/>
      <charset val="238"/>
      <scheme val="minor"/>
    </font>
    <font>
      <sz val="9"/>
      <color theme="1"/>
      <name val="Arial"/>
      <family val="2"/>
      <charset val="238"/>
    </font>
    <font>
      <u/>
      <sz val="9"/>
      <color theme="10"/>
      <name val="Arial"/>
      <family val="2"/>
      <charset val="238"/>
    </font>
    <font>
      <b/>
      <sz val="10"/>
      <color theme="0"/>
      <name val="Arial"/>
      <family val="2"/>
      <charset val="238"/>
    </font>
    <font>
      <sz val="8"/>
      <color theme="1"/>
      <name val="Arial"/>
      <family val="2"/>
      <charset val="238"/>
    </font>
    <font>
      <sz val="7"/>
      <color theme="1"/>
      <name val="Arial"/>
      <family val="2"/>
      <charset val="238"/>
    </font>
    <font>
      <sz val="12"/>
      <color rgb="FF004984"/>
      <name val="Arial"/>
      <family val="2"/>
      <charset val="238"/>
    </font>
    <font>
      <sz val="14"/>
      <color rgb="FF004984"/>
      <name val="Arial"/>
      <family val="2"/>
      <charset val="238"/>
    </font>
    <font>
      <b/>
      <sz val="9"/>
      <color theme="0"/>
      <name val="Arial"/>
      <family val="2"/>
      <charset val="238"/>
    </font>
    <font>
      <sz val="14"/>
      <color theme="0"/>
      <name val="Calibri"/>
      <family val="2"/>
      <charset val="238"/>
      <scheme val="minor"/>
    </font>
    <font>
      <b/>
      <sz val="12"/>
      <color theme="0"/>
      <name val="Calibri"/>
      <family val="2"/>
      <charset val="238"/>
      <scheme val="minor"/>
    </font>
    <font>
      <sz val="11"/>
      <color theme="0"/>
      <name val="Calibri"/>
      <family val="2"/>
      <charset val="238"/>
      <scheme val="minor"/>
    </font>
    <font>
      <sz val="10"/>
      <color theme="0"/>
      <name val="Calibri"/>
      <family val="2"/>
      <charset val="238"/>
      <scheme val="minor"/>
    </font>
    <font>
      <b/>
      <sz val="12"/>
      <color theme="0"/>
      <name val="Calibri"/>
      <family val="2"/>
      <charset val="238"/>
    </font>
    <font>
      <b/>
      <sz val="16"/>
      <color theme="0"/>
      <name val="Calibri"/>
      <family val="2"/>
      <charset val="238"/>
      <scheme val="minor"/>
    </font>
    <font>
      <sz val="9"/>
      <color theme="0"/>
      <name val="Calibri"/>
      <family val="2"/>
      <charset val="238"/>
      <scheme val="minor"/>
    </font>
    <font>
      <b/>
      <sz val="16"/>
      <color theme="0"/>
      <name val="Calibri"/>
      <family val="2"/>
      <charset val="238"/>
    </font>
    <font>
      <b/>
      <sz val="14"/>
      <color theme="0"/>
      <name val="Calibri"/>
      <family val="2"/>
      <charset val="238"/>
    </font>
    <font>
      <b/>
      <sz val="72"/>
      <color theme="1"/>
      <name val="Calibri"/>
      <family val="2"/>
      <charset val="238"/>
      <scheme val="minor"/>
    </font>
    <font>
      <sz val="72"/>
      <color theme="1"/>
      <name val="Calibri"/>
      <family val="2"/>
      <charset val="238"/>
      <scheme val="minor"/>
    </font>
    <font>
      <sz val="9"/>
      <color theme="0"/>
      <name val="Arial"/>
      <family val="2"/>
      <charset val="238"/>
    </font>
    <font>
      <b/>
      <sz val="14"/>
      <color theme="0"/>
      <name val="Calibri"/>
      <family val="2"/>
      <charset val="238"/>
      <scheme val="minor"/>
    </font>
    <font>
      <b/>
      <sz val="10"/>
      <color theme="0"/>
      <name val="Calibri"/>
      <family val="2"/>
      <charset val="238"/>
      <scheme val="minor"/>
    </font>
    <font>
      <sz val="16"/>
      <color theme="0"/>
      <name val="Arial"/>
      <family val="2"/>
      <charset val="238"/>
    </font>
    <font>
      <sz val="8"/>
      <color theme="0"/>
      <name val="Calibri"/>
      <family val="2"/>
      <charset val="238"/>
      <scheme val="minor"/>
    </font>
    <font>
      <sz val="9"/>
      <color theme="1" tint="0.499984740745262"/>
      <name val="Arial"/>
      <family val="2"/>
      <charset val="238"/>
    </font>
    <font>
      <sz val="11"/>
      <color theme="1" tint="0.499984740745262"/>
      <name val="Calibri"/>
      <family val="2"/>
      <charset val="238"/>
      <scheme val="minor"/>
    </font>
    <font>
      <sz val="18"/>
      <color rgb="FF004984"/>
      <name val="Arial"/>
      <family val="2"/>
      <charset val="238"/>
    </font>
    <font>
      <sz val="18"/>
      <color theme="0"/>
      <name val="Arial"/>
      <family val="2"/>
      <charset val="238"/>
    </font>
    <font>
      <sz val="11"/>
      <color theme="0" tint="-0.499984740745262"/>
      <name val="Calibri"/>
      <family val="2"/>
      <charset val="238"/>
      <scheme val="minor"/>
    </font>
    <font>
      <sz val="12"/>
      <color theme="0"/>
      <name val="Calibri"/>
      <family val="2"/>
      <charset val="238"/>
      <scheme val="minor"/>
    </font>
    <font>
      <b/>
      <sz val="12"/>
      <color theme="0"/>
      <name val="Arial"/>
      <family val="2"/>
      <charset val="238"/>
    </font>
    <font>
      <sz val="9"/>
      <color rgb="FFFF0000"/>
      <name val="Arial"/>
      <family val="2"/>
      <charset val="238"/>
    </font>
    <font>
      <b/>
      <sz val="11"/>
      <color theme="0"/>
      <name val="Arial"/>
      <family val="2"/>
      <charset val="238"/>
    </font>
    <font>
      <sz val="11"/>
      <color theme="1"/>
      <name val="Arial"/>
      <family val="2"/>
      <charset val="238"/>
    </font>
    <font>
      <b/>
      <sz val="8"/>
      <color theme="1"/>
      <name val="Calibri"/>
      <family val="2"/>
      <charset val="238"/>
      <scheme val="minor"/>
    </font>
    <font>
      <b/>
      <sz val="8"/>
      <color theme="0"/>
      <name val="Calibri"/>
      <family val="2"/>
      <charset val="238"/>
      <scheme val="minor"/>
    </font>
    <font>
      <b/>
      <sz val="11"/>
      <color theme="0"/>
      <name val="Calibri"/>
      <family val="2"/>
      <charset val="238"/>
    </font>
    <font>
      <b/>
      <sz val="18"/>
      <color theme="0"/>
      <name val="Calibri"/>
      <family val="2"/>
      <charset val="238"/>
      <scheme val="minor"/>
    </font>
    <font>
      <sz val="28"/>
      <color theme="1"/>
      <name val="Calibri"/>
      <family val="2"/>
      <charset val="238"/>
      <scheme val="minor"/>
    </font>
    <font>
      <sz val="8"/>
      <color rgb="FFFF0000"/>
      <name val="Calibri"/>
      <family val="2"/>
      <charset val="238"/>
    </font>
    <font>
      <b/>
      <sz val="16"/>
      <color rgb="FFFF0000"/>
      <name val="Calibri"/>
      <family val="2"/>
      <charset val="238"/>
      <scheme val="minor"/>
    </font>
  </fonts>
  <fills count="38">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bgColor indexed="64"/>
      </patternFill>
    </fill>
    <fill>
      <patternFill patternType="solid">
        <fgColor theme="4" tint="0.59999389629810485"/>
        <bgColor indexed="64"/>
      </patternFill>
    </fill>
    <fill>
      <patternFill patternType="solid">
        <fgColor rgb="FFE0E0E0"/>
        <bgColor indexed="64"/>
      </patternFill>
    </fill>
    <fill>
      <patternFill patternType="solid">
        <fgColor rgb="FFE6E6E6"/>
        <bgColor indexed="64"/>
      </patternFill>
    </fill>
    <fill>
      <patternFill patternType="solid">
        <fgColor rgb="FFCDDAFF"/>
        <bgColor indexed="64"/>
      </patternFill>
    </fill>
    <fill>
      <patternFill patternType="solid">
        <fgColor theme="7" tint="0.79998168889431442"/>
        <bgColor indexed="64"/>
      </patternFill>
    </fill>
    <fill>
      <patternFill patternType="solid">
        <fgColor theme="1"/>
        <bgColor indexed="64"/>
      </patternFill>
    </fill>
    <fill>
      <patternFill patternType="solid">
        <fgColor theme="9" tint="0.79998168889431442"/>
        <bgColor indexed="64"/>
      </patternFill>
    </fill>
    <fill>
      <patternFill patternType="solid">
        <fgColor rgb="FF00B050"/>
        <bgColor indexed="64"/>
      </patternFill>
    </fill>
    <fill>
      <patternFill patternType="solid">
        <fgColor rgb="FF92D050"/>
        <bgColor indexed="64"/>
      </patternFill>
    </fill>
    <fill>
      <patternFill patternType="solid">
        <fgColor rgb="FF002060"/>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0"/>
        <bgColor indexed="64"/>
      </patternFill>
    </fill>
    <fill>
      <patternFill patternType="solid">
        <fgColor rgb="FF004984"/>
        <bgColor indexed="64"/>
      </patternFill>
    </fill>
    <fill>
      <patternFill patternType="solid">
        <fgColor rgb="FF009EE0"/>
        <bgColor indexed="64"/>
      </patternFill>
    </fill>
    <fill>
      <patternFill patternType="solid">
        <fgColor theme="0" tint="-0.249977111117893"/>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59999389629810485"/>
        <bgColor indexed="64"/>
      </patternFill>
    </fill>
    <fill>
      <patternFill patternType="solid">
        <fgColor rgb="FF00B0F0"/>
        <bgColor indexed="64"/>
      </patternFill>
    </fill>
    <fill>
      <patternFill patternType="lightUp">
        <bgColor theme="0" tint="-0.14996795556505021"/>
      </patternFill>
    </fill>
    <fill>
      <patternFill patternType="solid">
        <fgColor theme="5" tint="0.39997558519241921"/>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FF00"/>
        <bgColor rgb="FF000000"/>
      </patternFill>
    </fill>
  </fills>
  <borders count="14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thin">
        <color indexed="64"/>
      </top>
      <bottom style="hair">
        <color indexed="64"/>
      </bottom>
      <diagonal/>
    </border>
    <border>
      <left/>
      <right/>
      <top style="hair">
        <color indexed="64"/>
      </top>
      <bottom style="medium">
        <color indexed="64"/>
      </bottom>
      <diagonal/>
    </border>
    <border>
      <left style="thin">
        <color theme="0"/>
      </left>
      <right/>
      <top/>
      <bottom/>
      <diagonal/>
    </border>
    <border>
      <left/>
      <right/>
      <top/>
      <bottom style="dotted">
        <color rgb="FF004984"/>
      </bottom>
      <diagonal/>
    </border>
    <border>
      <left/>
      <right/>
      <top/>
      <bottom style="thick">
        <color rgb="FF004984"/>
      </bottom>
      <diagonal/>
    </border>
    <border>
      <left/>
      <right/>
      <top/>
      <bottom style="thick">
        <color auto="1"/>
      </bottom>
      <diagonal/>
    </border>
    <border>
      <left/>
      <right/>
      <top/>
      <bottom style="dotted">
        <color auto="1"/>
      </bottom>
      <diagonal/>
    </border>
    <border>
      <left/>
      <right/>
      <top style="dotted">
        <color rgb="FF004984"/>
      </top>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medium">
        <color rgb="FF004984"/>
      </left>
      <right/>
      <top/>
      <bottom/>
      <diagonal/>
    </border>
    <border>
      <left/>
      <right style="medium">
        <color rgb="FF004984"/>
      </right>
      <top/>
      <bottom/>
      <diagonal/>
    </border>
    <border>
      <left style="medium">
        <color rgb="FF004984"/>
      </left>
      <right/>
      <top/>
      <bottom style="dotted">
        <color auto="1"/>
      </bottom>
      <diagonal/>
    </border>
    <border>
      <left/>
      <right style="medium">
        <color rgb="FF004984"/>
      </right>
      <top/>
      <bottom style="dotted">
        <color auto="1"/>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otted">
        <color auto="1"/>
      </top>
      <bottom style="dotted">
        <color auto="1"/>
      </bottom>
      <diagonal/>
    </border>
    <border>
      <left/>
      <right/>
      <top style="thin">
        <color theme="0"/>
      </top>
      <bottom style="thin">
        <color theme="0"/>
      </bottom>
      <diagonal/>
    </border>
    <border>
      <left/>
      <right style="dashed">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style="medium">
        <color indexed="64"/>
      </left>
      <right/>
      <top style="thin">
        <color theme="0"/>
      </top>
      <bottom style="thin">
        <color theme="0"/>
      </bottom>
      <diagonal/>
    </border>
    <border>
      <left/>
      <right style="medium">
        <color indexed="64"/>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top style="dotted">
        <color rgb="FF004984"/>
      </top>
      <bottom/>
      <diagonal/>
    </border>
    <border>
      <left/>
      <right style="medium">
        <color indexed="64"/>
      </right>
      <top style="dotted">
        <color auto="1"/>
      </top>
      <bottom/>
      <diagonal/>
    </border>
    <border>
      <left/>
      <right/>
      <top style="thick">
        <color rgb="FF004984"/>
      </top>
      <bottom/>
      <diagonal/>
    </border>
    <border>
      <left/>
      <right style="thin">
        <color theme="0"/>
      </right>
      <top/>
      <bottom/>
      <diagonal/>
    </border>
    <border>
      <left/>
      <right style="thin">
        <color theme="0"/>
      </right>
      <top/>
      <bottom style="medium">
        <color indexed="64"/>
      </bottom>
      <diagonal/>
    </border>
    <border>
      <left style="thin">
        <color theme="0"/>
      </left>
      <right/>
      <top style="thin">
        <color theme="0"/>
      </top>
      <bottom style="thin">
        <color theme="0"/>
      </bottom>
      <diagonal/>
    </border>
    <border>
      <left style="thin">
        <color theme="0"/>
      </left>
      <right/>
      <top/>
      <bottom style="medium">
        <color indexed="64"/>
      </bottom>
      <diagonal/>
    </border>
    <border>
      <left/>
      <right style="medium">
        <color indexed="64"/>
      </right>
      <top style="medium">
        <color indexed="64"/>
      </top>
      <bottom style="medium">
        <color indexed="64"/>
      </bottom>
      <diagonal/>
    </border>
    <border>
      <left style="medium">
        <color indexed="64"/>
      </left>
      <right style="dotted">
        <color auto="1"/>
      </right>
      <top style="medium">
        <color indexed="64"/>
      </top>
      <bottom/>
      <diagonal/>
    </border>
    <border>
      <left/>
      <right style="thin">
        <color indexed="64"/>
      </right>
      <top style="medium">
        <color indexed="64"/>
      </top>
      <bottom style="thin">
        <color indexed="64"/>
      </bottom>
      <diagonal/>
    </border>
    <border>
      <left/>
      <right style="hair">
        <color indexed="64"/>
      </right>
      <top style="dotted">
        <color indexed="64"/>
      </top>
      <bottom style="dotted">
        <color indexed="64"/>
      </bottom>
      <diagonal/>
    </border>
    <border>
      <left style="medium">
        <color indexed="64"/>
      </left>
      <right style="hair">
        <color indexed="64"/>
      </right>
      <top style="medium">
        <color indexed="64"/>
      </top>
      <bottom style="medium">
        <color indexed="64"/>
      </bottom>
      <diagonal/>
    </border>
  </borders>
  <cellStyleXfs count="19">
    <xf numFmtId="0" fontId="0" fillId="0" borderId="0"/>
    <xf numFmtId="0" fontId="8" fillId="0" borderId="0" applyNumberFormat="0" applyFill="0" applyBorder="0" applyAlignment="0" applyProtection="0">
      <alignment vertical="top"/>
      <protection locked="0"/>
    </xf>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44" fontId="52" fillId="0" borderId="0" applyFont="0" applyFill="0" applyBorder="0" applyAlignment="0" applyProtection="0"/>
    <xf numFmtId="0" fontId="53" fillId="0" borderId="0"/>
    <xf numFmtId="0" fontId="54" fillId="0" borderId="0" applyNumberFormat="0" applyFill="0" applyBorder="0" applyAlignment="0" applyProtection="0">
      <alignment vertical="top"/>
      <protection locked="0"/>
    </xf>
    <xf numFmtId="0" fontId="53" fillId="0" borderId="0"/>
    <xf numFmtId="44" fontId="52" fillId="0" borderId="0" applyFont="0" applyFill="0" applyBorder="0" applyAlignment="0" applyProtection="0"/>
  </cellStyleXfs>
  <cellXfs count="1257">
    <xf numFmtId="0" fontId="0" fillId="0" borderId="0" xfId="0"/>
    <xf numFmtId="0" fontId="0" fillId="0" borderId="0" xfId="0" applyProtection="1">
      <protection hidden="1"/>
    </xf>
    <xf numFmtId="0" fontId="0" fillId="0" borderId="0" xfId="0" applyFill="1" applyBorder="1" applyProtection="1">
      <protection hidden="1"/>
    </xf>
    <xf numFmtId="0" fontId="11" fillId="0" borderId="0" xfId="0" applyFont="1" applyBorder="1" applyAlignment="1" applyProtection="1">
      <alignment horizontal="center" wrapText="1"/>
      <protection hidden="1"/>
    </xf>
    <xf numFmtId="0" fontId="0" fillId="0" borderId="0" xfId="0" applyFont="1" applyBorder="1" applyProtection="1">
      <protection hidden="1"/>
    </xf>
    <xf numFmtId="0" fontId="0" fillId="0" borderId="0" xfId="0" applyFont="1" applyFill="1" applyBorder="1" applyProtection="1">
      <protection hidden="1"/>
    </xf>
    <xf numFmtId="0" fontId="12" fillId="0" borderId="0" xfId="0" applyFont="1" applyFill="1"/>
    <xf numFmtId="0" fontId="12" fillId="2" borderId="1" xfId="0" applyFont="1" applyFill="1" applyBorder="1"/>
    <xf numFmtId="0" fontId="12" fillId="2" borderId="2" xfId="0" applyFont="1" applyFill="1" applyBorder="1"/>
    <xf numFmtId="0" fontId="12" fillId="3" borderId="3" xfId="0" applyFont="1" applyFill="1" applyBorder="1"/>
    <xf numFmtId="0" fontId="13" fillId="4" borderId="4" xfId="9" applyFont="1" applyFill="1" applyBorder="1"/>
    <xf numFmtId="0" fontId="0" fillId="0" borderId="0" xfId="0" applyAlignment="1"/>
    <xf numFmtId="0" fontId="13" fillId="0" borderId="5" xfId="9" applyFont="1" applyFill="1" applyBorder="1" applyAlignment="1">
      <alignment horizontal="left"/>
    </xf>
    <xf numFmtId="0" fontId="13" fillId="0" borderId="6" xfId="9" applyFont="1" applyFill="1" applyBorder="1" applyAlignment="1">
      <alignment horizontal="left"/>
    </xf>
    <xf numFmtId="0" fontId="13" fillId="0" borderId="5" xfId="5" applyFont="1" applyFill="1" applyBorder="1" applyAlignment="1">
      <alignment horizontal="left"/>
    </xf>
    <xf numFmtId="0" fontId="13" fillId="0" borderId="6" xfId="5" applyFont="1" applyFill="1" applyBorder="1" applyAlignment="1">
      <alignment horizontal="left"/>
    </xf>
    <xf numFmtId="0" fontId="13" fillId="0" borderId="7" xfId="5" applyFont="1" applyFill="1" applyBorder="1" applyAlignment="1">
      <alignment horizontal="left"/>
    </xf>
    <xf numFmtId="0" fontId="0" fillId="0" borderId="0" xfId="0" applyAlignment="1">
      <alignment horizontal="left"/>
    </xf>
    <xf numFmtId="0" fontId="13" fillId="0" borderId="0" xfId="5" applyFont="1" applyFill="1" applyBorder="1" applyAlignment="1">
      <alignment horizontal="left"/>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1" fontId="12" fillId="0" borderId="0" xfId="0" applyNumberFormat="1" applyFont="1" applyFill="1" applyBorder="1" applyAlignment="1">
      <alignment horizontal="center"/>
    </xf>
    <xf numFmtId="0" fontId="14" fillId="0" borderId="3" xfId="0" applyFont="1" applyFill="1" applyBorder="1"/>
    <xf numFmtId="0" fontId="14" fillId="0" borderId="3" xfId="0" applyFont="1" applyBorder="1" applyAlignment="1"/>
    <xf numFmtId="0" fontId="12" fillId="0" borderId="3" xfId="0" applyFont="1" applyFill="1" applyBorder="1" applyAlignment="1"/>
    <xf numFmtId="49" fontId="12" fillId="0" borderId="3" xfId="0" applyNumberFormat="1" applyFont="1" applyFill="1" applyBorder="1" applyAlignment="1"/>
    <xf numFmtId="0" fontId="13" fillId="0" borderId="3" xfId="0" applyFont="1" applyFill="1" applyBorder="1" applyAlignment="1">
      <alignment horizontal="center"/>
    </xf>
    <xf numFmtId="0" fontId="15" fillId="0" borderId="3" xfId="0" applyFont="1" applyFill="1" applyBorder="1" applyAlignment="1"/>
    <xf numFmtId="167" fontId="15" fillId="0" borderId="3" xfId="0" applyNumberFormat="1" applyFont="1" applyFill="1" applyBorder="1" applyAlignment="1"/>
    <xf numFmtId="0" fontId="13" fillId="0" borderId="3" xfId="0" applyFont="1" applyFill="1" applyBorder="1" applyAlignment="1"/>
    <xf numFmtId="0" fontId="15" fillId="0" borderId="3" xfId="0" applyNumberFormat="1" applyFont="1" applyFill="1" applyBorder="1" applyAlignment="1"/>
    <xf numFmtId="0" fontId="12" fillId="0" borderId="3" xfId="0" applyNumberFormat="1" applyFont="1" applyFill="1" applyBorder="1" applyAlignment="1"/>
    <xf numFmtId="0" fontId="12" fillId="0" borderId="0" xfId="0" applyNumberFormat="1" applyFont="1" applyFill="1" applyBorder="1" applyAlignment="1"/>
    <xf numFmtId="49" fontId="12" fillId="0" borderId="0" xfId="0" applyNumberFormat="1" applyFont="1" applyFill="1" applyBorder="1" applyAlignment="1"/>
    <xf numFmtId="0" fontId="15" fillId="0" borderId="0" xfId="0" applyFont="1" applyFill="1" applyBorder="1" applyAlignment="1"/>
    <xf numFmtId="0" fontId="12" fillId="0" borderId="0" xfId="0" applyFont="1" applyFill="1" applyBorder="1" applyAlignment="1"/>
    <xf numFmtId="0" fontId="9" fillId="0" borderId="0" xfId="2" applyNumberFormat="1"/>
    <xf numFmtId="0" fontId="9" fillId="0" borderId="0" xfId="3"/>
    <xf numFmtId="49" fontId="9" fillId="0" borderId="0" xfId="3" applyNumberFormat="1"/>
    <xf numFmtId="49" fontId="9" fillId="0" borderId="0" xfId="4" applyNumberFormat="1"/>
    <xf numFmtId="0" fontId="7" fillId="0" borderId="0" xfId="0" applyFont="1" applyBorder="1" applyProtection="1">
      <protection hidden="1"/>
    </xf>
    <xf numFmtId="0" fontId="14" fillId="0" borderId="3" xfId="0" applyFont="1" applyBorder="1"/>
    <xf numFmtId="0" fontId="14" fillId="0" borderId="3" xfId="0" applyFont="1" applyBorder="1" applyAlignment="1">
      <alignment wrapText="1"/>
    </xf>
    <xf numFmtId="0" fontId="0" fillId="0" borderId="0" xfId="0" applyBorder="1" applyProtection="1">
      <protection hidden="1"/>
    </xf>
    <xf numFmtId="0" fontId="16" fillId="5" borderId="0" xfId="0" applyFont="1" applyFill="1" applyBorder="1" applyAlignment="1" applyProtection="1">
      <alignment horizontal="left"/>
      <protection hidden="1"/>
    </xf>
    <xf numFmtId="0" fontId="17" fillId="5" borderId="8" xfId="0" applyFont="1" applyFill="1" applyBorder="1" applyAlignment="1" applyProtection="1">
      <alignment horizontal="left"/>
      <protection hidden="1"/>
    </xf>
    <xf numFmtId="0" fontId="16" fillId="5" borderId="0" xfId="0" applyFont="1" applyFill="1" applyBorder="1" applyAlignment="1" applyProtection="1">
      <alignment horizontal="left" vertical="center"/>
      <protection hidden="1"/>
    </xf>
    <xf numFmtId="0" fontId="17" fillId="5" borderId="9" xfId="0" applyFont="1" applyFill="1" applyBorder="1" applyAlignment="1" applyProtection="1">
      <alignment horizontal="left"/>
      <protection hidden="1"/>
    </xf>
    <xf numFmtId="0" fontId="17" fillId="5" borderId="0" xfId="0" applyFont="1" applyFill="1" applyBorder="1" applyAlignment="1" applyProtection="1">
      <alignment horizontal="left"/>
      <protection hidden="1"/>
    </xf>
    <xf numFmtId="0" fontId="18" fillId="6" borderId="10" xfId="0" applyFont="1" applyFill="1" applyBorder="1" applyAlignment="1" applyProtection="1">
      <protection hidden="1"/>
    </xf>
    <xf numFmtId="0" fontId="18" fillId="6" borderId="11" xfId="0" applyFont="1" applyFill="1" applyBorder="1" applyAlignment="1" applyProtection="1">
      <protection hidden="1"/>
    </xf>
    <xf numFmtId="0" fontId="18" fillId="6" borderId="12" xfId="0" applyFont="1" applyFill="1" applyBorder="1" applyAlignment="1" applyProtection="1">
      <protection hidden="1"/>
    </xf>
    <xf numFmtId="0" fontId="0" fillId="0" borderId="0" xfId="0" applyFont="1" applyProtection="1">
      <protection hidden="1"/>
    </xf>
    <xf numFmtId="0" fontId="0" fillId="0" borderId="0" xfId="0" applyFont="1" applyBorder="1" applyAlignment="1" applyProtection="1">
      <protection hidden="1"/>
    </xf>
    <xf numFmtId="0" fontId="0" fillId="0" borderId="0" xfId="0" applyFont="1" applyBorder="1" applyAlignment="1" applyProtection="1">
      <alignment wrapText="1"/>
      <protection hidden="1"/>
    </xf>
    <xf numFmtId="0" fontId="0" fillId="5" borderId="13" xfId="0" applyFont="1" applyFill="1" applyBorder="1" applyAlignment="1" applyProtection="1">
      <protection hidden="1"/>
    </xf>
    <xf numFmtId="0" fontId="0" fillId="5" borderId="11" xfId="0" applyFont="1" applyFill="1" applyBorder="1" applyAlignment="1" applyProtection="1">
      <protection hidden="1"/>
    </xf>
    <xf numFmtId="0" fontId="0" fillId="5" borderId="14" xfId="0" applyFont="1" applyFill="1" applyBorder="1" applyAlignment="1" applyProtection="1">
      <protection hidden="1"/>
    </xf>
    <xf numFmtId="0" fontId="0" fillId="5" borderId="15" xfId="0" applyFont="1" applyFill="1" applyBorder="1" applyAlignment="1" applyProtection="1">
      <protection hidden="1"/>
    </xf>
    <xf numFmtId="0" fontId="0" fillId="5" borderId="0" xfId="0" applyFont="1" applyFill="1" applyBorder="1" applyAlignment="1" applyProtection="1">
      <protection hidden="1"/>
    </xf>
    <xf numFmtId="0" fontId="0" fillId="5" borderId="8" xfId="0" applyFont="1" applyFill="1" applyBorder="1" applyAlignment="1" applyProtection="1">
      <protection hidden="1"/>
    </xf>
    <xf numFmtId="0" fontId="0" fillId="0" borderId="16" xfId="0" applyFont="1" applyBorder="1" applyProtection="1">
      <protection hidden="1"/>
    </xf>
    <xf numFmtId="0" fontId="0" fillId="0" borderId="10" xfId="0" applyFont="1" applyBorder="1" applyProtection="1">
      <protection hidden="1"/>
    </xf>
    <xf numFmtId="0" fontId="0" fillId="5" borderId="0" xfId="0" applyFont="1" applyFill="1" applyBorder="1" applyAlignment="1" applyProtection="1">
      <alignment horizontal="center"/>
      <protection hidden="1"/>
    </xf>
    <xf numFmtId="165" fontId="12" fillId="5" borderId="17" xfId="0" applyNumberFormat="1" applyFont="1" applyFill="1" applyBorder="1" applyAlignment="1" applyProtection="1">
      <alignment vertical="center" textRotation="90"/>
      <protection hidden="1"/>
    </xf>
    <xf numFmtId="165" fontId="12" fillId="5" borderId="0" xfId="0" applyNumberFormat="1" applyFont="1" applyFill="1" applyBorder="1" applyAlignment="1" applyProtection="1">
      <alignment horizontal="center" vertical="center" textRotation="90"/>
      <protection hidden="1"/>
    </xf>
    <xf numFmtId="0" fontId="0" fillId="0" borderId="18" xfId="0" applyFont="1" applyBorder="1" applyProtection="1">
      <protection hidden="1"/>
    </xf>
    <xf numFmtId="0" fontId="0" fillId="5" borderId="0" xfId="0" applyFont="1" applyFill="1" applyBorder="1" applyProtection="1">
      <protection hidden="1"/>
    </xf>
    <xf numFmtId="0" fontId="19" fillId="0" borderId="19" xfId="0" applyFont="1" applyFill="1" applyBorder="1" applyAlignment="1" applyProtection="1">
      <alignment vertical="center" textRotation="90"/>
      <protection hidden="1"/>
    </xf>
    <xf numFmtId="165" fontId="12" fillId="5" borderId="0" xfId="0" applyNumberFormat="1" applyFont="1" applyFill="1" applyBorder="1" applyAlignment="1" applyProtection="1">
      <alignment horizontal="center" textRotation="90"/>
      <protection hidden="1"/>
    </xf>
    <xf numFmtId="0" fontId="19" fillId="0" borderId="0" xfId="0" applyFont="1" applyFill="1" applyBorder="1" applyAlignment="1" applyProtection="1">
      <alignment vertical="center" textRotation="90"/>
      <protection hidden="1"/>
    </xf>
    <xf numFmtId="0" fontId="20" fillId="5" borderId="0" xfId="0" applyFont="1" applyFill="1" applyBorder="1" applyAlignment="1" applyProtection="1">
      <alignment horizontal="center" vertical="center"/>
      <protection hidden="1"/>
    </xf>
    <xf numFmtId="0" fontId="20" fillId="5" borderId="0" xfId="0" applyFont="1" applyFill="1" applyBorder="1" applyAlignment="1" applyProtection="1">
      <alignment vertical="center" textRotation="90"/>
      <protection hidden="1"/>
    </xf>
    <xf numFmtId="0" fontId="20" fillId="5" borderId="0" xfId="0" applyFont="1" applyFill="1" applyBorder="1" applyAlignment="1" applyProtection="1">
      <alignment horizontal="center" vertical="center" textRotation="90"/>
      <protection hidden="1"/>
    </xf>
    <xf numFmtId="0" fontId="0" fillId="5" borderId="20" xfId="0" applyFont="1" applyFill="1" applyBorder="1" applyAlignment="1" applyProtection="1">
      <protection hidden="1"/>
    </xf>
    <xf numFmtId="0" fontId="0" fillId="5" borderId="9" xfId="0" applyFont="1" applyFill="1" applyBorder="1" applyAlignment="1" applyProtection="1">
      <protection hidden="1"/>
    </xf>
    <xf numFmtId="0" fontId="0" fillId="5" borderId="21" xfId="0" applyFont="1" applyFill="1" applyBorder="1" applyAlignment="1" applyProtection="1">
      <protection hidden="1"/>
    </xf>
    <xf numFmtId="0" fontId="19" fillId="0" borderId="0" xfId="0" applyFont="1" applyFill="1" applyBorder="1" applyAlignment="1" applyProtection="1">
      <alignment horizontal="left" vertical="center" wrapText="1"/>
      <protection hidden="1"/>
    </xf>
    <xf numFmtId="0" fontId="21" fillId="0" borderId="0" xfId="0" applyNumberFormat="1" applyFont="1" applyFill="1" applyBorder="1" applyAlignment="1" applyProtection="1">
      <alignment vertical="center"/>
      <protection hidden="1"/>
    </xf>
    <xf numFmtId="165" fontId="19" fillId="0" borderId="0" xfId="0" applyNumberFormat="1" applyFont="1" applyFill="1" applyBorder="1" applyAlignment="1" applyProtection="1">
      <alignment horizontal="center" vertical="center"/>
      <protection hidden="1"/>
    </xf>
    <xf numFmtId="0" fontId="0" fillId="0" borderId="0" xfId="0" applyFont="1"/>
    <xf numFmtId="0" fontId="0" fillId="7" borderId="0" xfId="0" applyFont="1" applyFill="1" applyBorder="1" applyProtection="1">
      <protection hidden="1"/>
    </xf>
    <xf numFmtId="0" fontId="22" fillId="0" borderId="3" xfId="0" applyFont="1" applyBorder="1" applyAlignment="1">
      <alignment horizontal="right"/>
    </xf>
    <xf numFmtId="0" fontId="20" fillId="0" borderId="3" xfId="0" applyFont="1" applyBorder="1"/>
    <xf numFmtId="0" fontId="0" fillId="0" borderId="0" xfId="0" applyFont="1" applyBorder="1" applyAlignment="1" applyProtection="1">
      <alignment horizontal="right"/>
      <protection hidden="1"/>
    </xf>
    <xf numFmtId="0" fontId="22" fillId="0" borderId="3" xfId="0" applyFont="1" applyFill="1" applyBorder="1" applyAlignment="1">
      <alignment horizontal="right"/>
    </xf>
    <xf numFmtId="0" fontId="23" fillId="0" borderId="22" xfId="0" applyFont="1" applyBorder="1" applyAlignment="1"/>
    <xf numFmtId="0" fontId="23" fillId="0" borderId="23" xfId="0" applyFont="1" applyBorder="1" applyAlignment="1"/>
    <xf numFmtId="0" fontId="23" fillId="0" borderId="24" xfId="0" applyFont="1" applyBorder="1" applyAlignment="1"/>
    <xf numFmtId="0" fontId="0" fillId="0" borderId="3" xfId="0" applyFont="1" applyBorder="1"/>
    <xf numFmtId="0" fontId="22" fillId="0" borderId="22" xfId="0" applyFont="1" applyBorder="1" applyAlignment="1"/>
    <xf numFmtId="0" fontId="22" fillId="0" borderId="23" xfId="0" applyFont="1" applyBorder="1" applyAlignment="1"/>
    <xf numFmtId="0" fontId="22" fillId="0" borderId="24" xfId="0" applyFont="1" applyBorder="1" applyAlignment="1"/>
    <xf numFmtId="0" fontId="0" fillId="0" borderId="25" xfId="0" applyFont="1" applyBorder="1" applyAlignment="1" applyProtection="1">
      <protection hidden="1"/>
    </xf>
    <xf numFmtId="0" fontId="23" fillId="0" borderId="25" xfId="0" applyFont="1" applyBorder="1" applyAlignment="1" applyProtection="1">
      <alignment vertical="top" wrapText="1"/>
      <protection hidden="1"/>
    </xf>
    <xf numFmtId="0" fontId="17" fillId="0" borderId="19" xfId="0" applyFont="1" applyFill="1" applyBorder="1" applyAlignment="1" applyProtection="1">
      <alignment horizontal="center" vertical="center"/>
      <protection hidden="1"/>
    </xf>
    <xf numFmtId="0" fontId="0" fillId="0" borderId="26" xfId="0" applyFont="1" applyBorder="1" applyAlignment="1" applyProtection="1">
      <alignment horizontal="left"/>
      <protection hidden="1"/>
    </xf>
    <xf numFmtId="0" fontId="0" fillId="0" borderId="26" xfId="0" applyFont="1" applyBorder="1" applyProtection="1">
      <protection hidden="1"/>
    </xf>
    <xf numFmtId="0" fontId="0" fillId="0" borderId="25" xfId="0" applyFont="1" applyBorder="1" applyProtection="1">
      <protection hidden="1"/>
    </xf>
    <xf numFmtId="0" fontId="0" fillId="0" borderId="27" xfId="0" applyFont="1" applyBorder="1" applyProtection="1">
      <protection hidden="1"/>
    </xf>
    <xf numFmtId="0" fontId="0" fillId="0" borderId="17" xfId="0" applyFont="1" applyBorder="1" applyProtection="1">
      <protection hidden="1"/>
    </xf>
    <xf numFmtId="0" fontId="7" fillId="0" borderId="17" xfId="0" applyFont="1" applyFill="1" applyBorder="1" applyProtection="1">
      <protection hidden="1"/>
    </xf>
    <xf numFmtId="0" fontId="0" fillId="0" borderId="17" xfId="0" applyFont="1" applyFill="1" applyBorder="1" applyProtection="1">
      <protection hidden="1"/>
    </xf>
    <xf numFmtId="0" fontId="0" fillId="0" borderId="28" xfId="0" applyFont="1" applyBorder="1" applyProtection="1">
      <protection hidden="1"/>
    </xf>
    <xf numFmtId="0" fontId="25" fillId="0" borderId="0" xfId="1" applyFont="1" applyFill="1" applyBorder="1" applyAlignment="1" applyProtection="1">
      <protection hidden="1"/>
    </xf>
    <xf numFmtId="0" fontId="17" fillId="0" borderId="2" xfId="0" applyFont="1" applyFill="1" applyBorder="1" applyAlignment="1" applyProtection="1">
      <alignment horizontal="center" vertical="center"/>
      <protection hidden="1"/>
    </xf>
    <xf numFmtId="0" fontId="0" fillId="0" borderId="0" xfId="0" applyFont="1" applyBorder="1" applyProtection="1">
      <protection locked="0" hidden="1"/>
    </xf>
    <xf numFmtId="0" fontId="0" fillId="0" borderId="0" xfId="0" applyFont="1" applyBorder="1" applyAlignment="1" applyProtection="1">
      <alignment horizontal="center" vertical="top"/>
      <protection locked="0" hidden="1"/>
    </xf>
    <xf numFmtId="0" fontId="23" fillId="0" borderId="27" xfId="0" applyFont="1" applyBorder="1" applyAlignment="1" applyProtection="1">
      <alignment vertical="top" wrapText="1"/>
      <protection hidden="1"/>
    </xf>
    <xf numFmtId="0" fontId="23" fillId="0" borderId="17" xfId="0" applyFont="1" applyBorder="1" applyAlignment="1" applyProtection="1">
      <alignment vertical="top" wrapText="1"/>
      <protection hidden="1"/>
    </xf>
    <xf numFmtId="0" fontId="23" fillId="0" borderId="28" xfId="0" applyFont="1" applyBorder="1" applyAlignment="1" applyProtection="1">
      <alignment vertical="top" wrapText="1"/>
      <protection hidden="1"/>
    </xf>
    <xf numFmtId="0" fontId="26" fillId="0" borderId="22" xfId="0" applyFont="1" applyFill="1" applyBorder="1" applyAlignment="1" applyProtection="1">
      <alignment horizontal="center" vertical="top"/>
      <protection hidden="1"/>
    </xf>
    <xf numFmtId="0" fontId="26" fillId="0" borderId="23" xfId="0" applyFont="1" applyFill="1" applyBorder="1" applyAlignment="1" applyProtection="1">
      <alignment horizontal="center" vertical="top"/>
      <protection hidden="1"/>
    </xf>
    <xf numFmtId="0" fontId="26" fillId="0" borderId="24" xfId="0" applyFont="1" applyFill="1" applyBorder="1" applyAlignment="1" applyProtection="1">
      <alignment horizontal="center" vertical="top"/>
      <protection hidden="1"/>
    </xf>
    <xf numFmtId="0" fontId="23" fillId="0" borderId="3" xfId="0" applyFont="1" applyBorder="1"/>
    <xf numFmtId="0" fontId="23" fillId="0" borderId="26" xfId="0" applyFont="1" applyBorder="1" applyAlignment="1" applyProtection="1">
      <alignment horizontal="left" vertical="top" wrapText="1"/>
      <protection hidden="1"/>
    </xf>
    <xf numFmtId="0" fontId="23" fillId="0" borderId="0" xfId="0" applyFont="1" applyBorder="1" applyAlignment="1" applyProtection="1">
      <alignment horizontal="left" vertical="top" wrapText="1"/>
      <protection hidden="1"/>
    </xf>
    <xf numFmtId="0" fontId="23" fillId="0" borderId="25" xfId="0" applyFont="1" applyBorder="1" applyAlignment="1" applyProtection="1">
      <alignment horizontal="left" vertical="top" wrapText="1"/>
      <protection hidden="1"/>
    </xf>
    <xf numFmtId="0" fontId="13" fillId="0" borderId="31" xfId="9" applyFont="1" applyFill="1" applyBorder="1" applyAlignment="1">
      <alignment horizontal="left"/>
    </xf>
    <xf numFmtId="0" fontId="13" fillId="0" borderId="29" xfId="9" applyFont="1" applyFill="1" applyBorder="1" applyAlignment="1">
      <alignment horizontal="left"/>
    </xf>
    <xf numFmtId="0" fontId="13" fillId="0" borderId="32" xfId="9" applyFont="1" applyFill="1" applyBorder="1" applyAlignment="1">
      <alignment horizontal="left"/>
    </xf>
    <xf numFmtId="0" fontId="13" fillId="0" borderId="33" xfId="9" applyFont="1" applyFill="1" applyBorder="1" applyAlignment="1">
      <alignment horizontal="left"/>
    </xf>
    <xf numFmtId="0" fontId="13" fillId="0" borderId="34" xfId="9" applyFont="1" applyFill="1" applyBorder="1" applyAlignment="1">
      <alignment horizontal="left"/>
    </xf>
    <xf numFmtId="0" fontId="13" fillId="0" borderId="31" xfId="5" applyFont="1" applyFill="1" applyBorder="1" applyAlignment="1">
      <alignment horizontal="left"/>
    </xf>
    <xf numFmtId="0" fontId="13" fillId="0" borderId="29" xfId="5" applyFont="1" applyFill="1" applyBorder="1" applyAlignment="1">
      <alignment horizontal="left"/>
    </xf>
    <xf numFmtId="0" fontId="13" fillId="0" borderId="35" xfId="5" applyFont="1" applyFill="1" applyBorder="1" applyAlignment="1">
      <alignment horizontal="left"/>
    </xf>
    <xf numFmtId="0" fontId="13" fillId="0" borderId="30" xfId="5" applyFont="1" applyFill="1" applyBorder="1" applyAlignment="1">
      <alignment horizontal="left"/>
    </xf>
    <xf numFmtId="165" fontId="20" fillId="8" borderId="3" xfId="0" applyNumberFormat="1" applyFont="1" applyFill="1" applyBorder="1" applyAlignment="1" applyProtection="1">
      <alignment horizontal="center" vertical="center"/>
      <protection locked="0" hidden="1"/>
    </xf>
    <xf numFmtId="0" fontId="13" fillId="0" borderId="36" xfId="9" applyFont="1" applyFill="1" applyBorder="1" applyAlignment="1">
      <alignment horizontal="left"/>
    </xf>
    <xf numFmtId="0" fontId="13" fillId="0" borderId="37" xfId="9" applyFont="1" applyFill="1" applyBorder="1" applyAlignment="1">
      <alignment horizontal="left"/>
    </xf>
    <xf numFmtId="0" fontId="13" fillId="0" borderId="3" xfId="9" applyFont="1" applyFill="1" applyBorder="1" applyAlignment="1">
      <alignment horizontal="left" vertical="center"/>
    </xf>
    <xf numFmtId="0" fontId="13" fillId="0" borderId="3" xfId="9" applyFont="1" applyFill="1" applyBorder="1" applyAlignment="1">
      <alignment horizontal="left"/>
    </xf>
    <xf numFmtId="0" fontId="13" fillId="0" borderId="38" xfId="9" applyFont="1" applyFill="1" applyBorder="1" applyAlignment="1">
      <alignment horizontal="left"/>
    </xf>
    <xf numFmtId="0" fontId="13" fillId="0" borderId="32" xfId="5" applyFont="1" applyFill="1" applyBorder="1" applyAlignment="1">
      <alignment horizontal="left"/>
    </xf>
    <xf numFmtId="0" fontId="13" fillId="0" borderId="33" xfId="5" applyFont="1" applyFill="1" applyBorder="1" applyAlignment="1">
      <alignment horizontal="left"/>
    </xf>
    <xf numFmtId="0" fontId="13" fillId="0" borderId="34" xfId="5" applyFont="1" applyFill="1" applyBorder="1" applyAlignment="1">
      <alignment horizontal="left"/>
    </xf>
    <xf numFmtId="9" fontId="0" fillId="0" borderId="0" xfId="0" applyNumberFormat="1" applyFont="1" applyBorder="1" applyProtection="1">
      <protection hidden="1"/>
    </xf>
    <xf numFmtId="0" fontId="0" fillId="0" borderId="0" xfId="0"/>
    <xf numFmtId="49" fontId="0" fillId="0" borderId="0" xfId="0" applyNumberFormat="1"/>
    <xf numFmtId="49" fontId="0" fillId="0" borderId="3" xfId="0" applyNumberFormat="1" applyBorder="1"/>
    <xf numFmtId="0" fontId="0" fillId="0" borderId="3" xfId="0" applyBorder="1"/>
    <xf numFmtId="0" fontId="17" fillId="10" borderId="1" xfId="0" applyFont="1" applyFill="1" applyBorder="1" applyAlignment="1" applyProtection="1">
      <alignment horizontal="center" vertical="center"/>
      <protection hidden="1"/>
    </xf>
    <xf numFmtId="0" fontId="13" fillId="4" borderId="39" xfId="9" applyFont="1" applyFill="1" applyBorder="1" applyAlignment="1">
      <alignment vertical="center"/>
    </xf>
    <xf numFmtId="0" fontId="12" fillId="4" borderId="40" xfId="0" applyFont="1" applyFill="1" applyBorder="1" applyAlignment="1">
      <alignment horizontal="center"/>
    </xf>
    <xf numFmtId="0" fontId="12" fillId="4" borderId="41" xfId="0" applyFont="1" applyFill="1" applyBorder="1" applyAlignment="1">
      <alignment horizontal="center"/>
    </xf>
    <xf numFmtId="0" fontId="13" fillId="0" borderId="3" xfId="9" applyFont="1" applyFill="1" applyBorder="1" applyAlignment="1">
      <alignment vertical="center"/>
    </xf>
    <xf numFmtId="0" fontId="13" fillId="0" borderId="3" xfId="0" applyFont="1" applyFill="1" applyBorder="1"/>
    <xf numFmtId="2" fontId="13" fillId="0" borderId="3" xfId="0" applyNumberFormat="1" applyFont="1" applyFill="1" applyBorder="1"/>
    <xf numFmtId="1" fontId="13" fillId="0" borderId="3" xfId="0" applyNumberFormat="1" applyFont="1" applyFill="1" applyBorder="1"/>
    <xf numFmtId="0" fontId="13" fillId="0" borderId="3" xfId="9" applyFont="1" applyFill="1" applyBorder="1"/>
    <xf numFmtId="0" fontId="28" fillId="0" borderId="3" xfId="0" applyFont="1" applyFill="1" applyBorder="1"/>
    <xf numFmtId="0" fontId="29" fillId="0" borderId="3" xfId="0" applyFont="1" applyBorder="1" applyAlignment="1">
      <alignment horizontal="right"/>
    </xf>
    <xf numFmtId="0" fontId="29" fillId="0" borderId="3" xfId="0" applyFont="1" applyFill="1" applyBorder="1" applyAlignment="1">
      <alignment horizontal="right"/>
    </xf>
    <xf numFmtId="0" fontId="14" fillId="0" borderId="3" xfId="0" applyFont="1" applyBorder="1"/>
    <xf numFmtId="0" fontId="24" fillId="0" borderId="1" xfId="0" applyFont="1" applyBorder="1" applyAlignment="1" applyProtection="1">
      <alignment horizontal="center" vertical="center"/>
      <protection hidden="1"/>
    </xf>
    <xf numFmtId="0" fontId="24" fillId="0" borderId="19" xfId="0" applyFont="1" applyBorder="1" applyAlignment="1" applyProtection="1">
      <alignment horizontal="center" vertical="center"/>
      <protection hidden="1"/>
    </xf>
    <xf numFmtId="0" fontId="13" fillId="0" borderId="3" xfId="5" applyFont="1" applyFill="1" applyBorder="1" applyAlignment="1">
      <alignment horizontal="left"/>
    </xf>
    <xf numFmtId="0" fontId="13" fillId="3" borderId="3" xfId="5" applyFont="1" applyFill="1" applyBorder="1" applyAlignment="1">
      <alignment horizontal="left"/>
    </xf>
    <xf numFmtId="0" fontId="0" fillId="0" borderId="3" xfId="0" applyBorder="1" applyAlignment="1">
      <alignment horizontal="left"/>
    </xf>
    <xf numFmtId="0" fontId="0" fillId="0" borderId="3" xfId="0" applyBorder="1" applyAlignment="1" applyProtection="1">
      <protection hidden="1"/>
    </xf>
    <xf numFmtId="0" fontId="30" fillId="0" borderId="3" xfId="0" applyFont="1" applyBorder="1"/>
    <xf numFmtId="0" fontId="0" fillId="0" borderId="3" xfId="0" applyFont="1" applyBorder="1" applyProtection="1">
      <protection hidden="1"/>
    </xf>
    <xf numFmtId="0" fontId="31" fillId="0" borderId="3" xfId="0" applyFont="1" applyBorder="1"/>
    <xf numFmtId="0" fontId="32" fillId="0" borderId="3" xfId="5" applyFont="1" applyFill="1" applyBorder="1" applyAlignment="1">
      <alignment horizontal="left"/>
    </xf>
    <xf numFmtId="0" fontId="10" fillId="0" borderId="0" xfId="0" applyFont="1"/>
    <xf numFmtId="0" fontId="0" fillId="0" borderId="0" xfId="0" applyBorder="1" applyAlignment="1">
      <alignment horizontal="left"/>
    </xf>
    <xf numFmtId="0" fontId="0" fillId="0" borderId="0" xfId="0" applyBorder="1"/>
    <xf numFmtId="0" fontId="7" fillId="0" borderId="0" xfId="0" applyFont="1" applyBorder="1" applyAlignment="1" applyProtection="1">
      <alignment horizontal="left" vertical="top" wrapText="1"/>
      <protection hidden="1"/>
    </xf>
    <xf numFmtId="0" fontId="7" fillId="0" borderId="0" xfId="0" applyFont="1" applyFill="1" applyBorder="1" applyAlignment="1" applyProtection="1">
      <alignment vertical="top" wrapText="1"/>
      <protection hidden="1"/>
    </xf>
    <xf numFmtId="0" fontId="7" fillId="0" borderId="0" xfId="0" applyFont="1" applyBorder="1" applyAlignment="1" applyProtection="1">
      <alignment vertical="top" wrapText="1"/>
      <protection hidden="1"/>
    </xf>
    <xf numFmtId="0" fontId="8" fillId="0" borderId="0" xfId="1" applyBorder="1" applyAlignment="1" applyProtection="1"/>
    <xf numFmtId="0" fontId="8" fillId="0" borderId="0" xfId="1" applyBorder="1" applyAlignment="1" applyProtection="1">
      <alignment horizontal="left"/>
    </xf>
    <xf numFmtId="165" fontId="0" fillId="0" borderId="0" xfId="0" applyNumberFormat="1" applyBorder="1" applyAlignment="1" applyProtection="1">
      <protection hidden="1"/>
    </xf>
    <xf numFmtId="0" fontId="0" fillId="0" borderId="3" xfId="0" applyBorder="1" applyProtection="1">
      <protection hidden="1"/>
    </xf>
    <xf numFmtId="0" fontId="0" fillId="0" borderId="0" xfId="0" applyFill="1" applyBorder="1" applyAlignment="1" applyProtection="1">
      <protection hidden="1"/>
    </xf>
    <xf numFmtId="0" fontId="34" fillId="0" borderId="0" xfId="5" applyFont="1" applyFill="1" applyBorder="1" applyAlignment="1" applyProtection="1">
      <protection hidden="1"/>
    </xf>
    <xf numFmtId="0" fontId="0" fillId="0" borderId="26" xfId="0" applyBorder="1" applyProtection="1">
      <protection hidden="1"/>
    </xf>
    <xf numFmtId="0" fontId="0" fillId="0" borderId="25" xfId="0" applyBorder="1" applyProtection="1">
      <protection hidden="1"/>
    </xf>
    <xf numFmtId="0" fontId="0" fillId="0" borderId="0" xfId="0" applyFont="1" applyProtection="1">
      <protection hidden="1"/>
    </xf>
    <xf numFmtId="0" fontId="0" fillId="0" borderId="0" xfId="0" applyFill="1" applyBorder="1" applyAlignment="1" applyProtection="1">
      <alignment vertical="center"/>
      <protection hidden="1"/>
    </xf>
    <xf numFmtId="0" fontId="0" fillId="0" borderId="0" xfId="0" applyProtection="1">
      <protection locked="0" hidden="1"/>
    </xf>
    <xf numFmtId="0" fontId="0" fillId="0" borderId="0" xfId="0" applyBorder="1" applyAlignment="1" applyProtection="1">
      <protection hidden="1"/>
    </xf>
    <xf numFmtId="0" fontId="11" fillId="0" borderId="26" xfId="0" applyFont="1" applyBorder="1" applyAlignment="1" applyProtection="1">
      <alignment horizontal="center" wrapText="1"/>
      <protection hidden="1"/>
    </xf>
    <xf numFmtId="0" fontId="0" fillId="0" borderId="26" xfId="0" applyFill="1" applyBorder="1" applyProtection="1">
      <protection hidden="1"/>
    </xf>
    <xf numFmtId="9" fontId="33" fillId="0" borderId="25" xfId="0" applyNumberFormat="1" applyFont="1" applyFill="1" applyBorder="1" applyAlignment="1" applyProtection="1">
      <alignment vertical="center"/>
      <protection hidden="1"/>
    </xf>
    <xf numFmtId="0" fontId="0" fillId="0" borderId="26" xfId="0" applyBorder="1" applyAlignment="1" applyProtection="1">
      <protection hidden="1"/>
    </xf>
    <xf numFmtId="0" fontId="11" fillId="12" borderId="23" xfId="0" applyFont="1" applyFill="1" applyBorder="1" applyAlignment="1" applyProtection="1">
      <alignment horizontal="center" vertical="center" wrapText="1"/>
      <protection hidden="1"/>
    </xf>
    <xf numFmtId="0" fontId="11" fillId="12" borderId="23" xfId="0" applyFont="1" applyFill="1" applyBorder="1" applyAlignment="1" applyProtection="1">
      <alignment vertical="center" wrapText="1"/>
      <protection hidden="1"/>
    </xf>
    <xf numFmtId="0" fontId="0" fillId="12" borderId="23" xfId="0" applyFill="1" applyBorder="1" applyProtection="1">
      <protection hidden="1"/>
    </xf>
    <xf numFmtId="0" fontId="0" fillId="12" borderId="24" xfId="0" applyFill="1" applyBorder="1" applyProtection="1">
      <protection hidden="1"/>
    </xf>
    <xf numFmtId="0" fontId="19" fillId="14" borderId="43" xfId="0" applyFont="1" applyFill="1" applyBorder="1" applyAlignment="1" applyProtection="1">
      <alignment horizontal="center" vertical="center"/>
      <protection locked="0" hidden="1"/>
    </xf>
    <xf numFmtId="0" fontId="19" fillId="14" borderId="44" xfId="0" applyFont="1" applyFill="1" applyBorder="1" applyAlignment="1" applyProtection="1">
      <alignment horizontal="center" vertical="center"/>
      <protection locked="0" hidden="1"/>
    </xf>
    <xf numFmtId="0" fontId="0" fillId="15" borderId="32" xfId="0" applyFill="1" applyBorder="1" applyProtection="1">
      <protection hidden="1"/>
    </xf>
    <xf numFmtId="0" fontId="0" fillId="15" borderId="6" xfId="0" applyFill="1" applyBorder="1" applyProtection="1">
      <protection hidden="1"/>
    </xf>
    <xf numFmtId="0" fontId="0" fillId="15" borderId="7" xfId="0" applyFill="1" applyBorder="1" applyProtection="1">
      <protection hidden="1"/>
    </xf>
    <xf numFmtId="0" fontId="35" fillId="0" borderId="0" xfId="0" applyFont="1" applyBorder="1" applyProtection="1">
      <protection hidden="1"/>
    </xf>
    <xf numFmtId="0" fontId="36" fillId="0" borderId="0" xfId="0" applyFont="1" applyBorder="1" applyProtection="1">
      <protection hidden="1"/>
    </xf>
    <xf numFmtId="0" fontId="7" fillId="0" borderId="0" xfId="0" applyFont="1"/>
    <xf numFmtId="0" fontId="7" fillId="0" borderId="0" xfId="0" applyFont="1" applyBorder="1"/>
    <xf numFmtId="0" fontId="10" fillId="0" borderId="0" xfId="0" applyFont="1" applyFill="1" applyBorder="1" applyProtection="1">
      <protection hidden="1"/>
    </xf>
    <xf numFmtId="0" fontId="37" fillId="0" borderId="0" xfId="5" applyFont="1" applyFill="1" applyBorder="1" applyAlignment="1" applyProtection="1">
      <alignment horizontal="right"/>
      <protection hidden="1"/>
    </xf>
    <xf numFmtId="0" fontId="16"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horizontal="left" vertical="top" wrapText="1"/>
      <protection hidden="1"/>
    </xf>
    <xf numFmtId="9" fontId="39" fillId="0" borderId="0" xfId="13" applyFont="1" applyFill="1" applyBorder="1" applyAlignment="1" applyProtection="1">
      <alignment horizontal="center" vertical="center" wrapText="1"/>
      <protection locked="0" hidden="1"/>
    </xf>
    <xf numFmtId="0" fontId="38" fillId="0" borderId="0" xfId="0" applyFont="1" applyFill="1" applyBorder="1" applyAlignment="1" applyProtection="1">
      <alignment vertical="top" wrapText="1"/>
      <protection hidden="1"/>
    </xf>
    <xf numFmtId="0" fontId="16" fillId="0" borderId="0" xfId="0" applyFont="1" applyFill="1" applyBorder="1" applyAlignment="1" applyProtection="1">
      <alignment horizontal="left" vertical="center"/>
      <protection hidden="1"/>
    </xf>
    <xf numFmtId="0" fontId="10" fillId="0" borderId="0" xfId="0" applyFont="1" applyFill="1" applyBorder="1" applyAlignment="1" applyProtection="1">
      <protection hidden="1"/>
    </xf>
    <xf numFmtId="49" fontId="40" fillId="0" borderId="0" xfId="0" applyNumberFormat="1" applyFont="1" applyFill="1" applyBorder="1" applyAlignment="1" applyProtection="1">
      <alignment horizontal="center" vertical="center"/>
      <protection locked="0" hidden="1"/>
    </xf>
    <xf numFmtId="0" fontId="40" fillId="0" borderId="0" xfId="0" applyFont="1" applyFill="1" applyBorder="1" applyAlignment="1" applyProtection="1">
      <alignment horizontal="center" vertical="center"/>
      <protection locked="0" hidden="1"/>
    </xf>
    <xf numFmtId="0" fontId="40" fillId="0" borderId="0" xfId="0" applyFont="1" applyFill="1" applyBorder="1" applyAlignment="1" applyProtection="1">
      <alignment horizontal="center"/>
      <protection locked="0" hidden="1"/>
    </xf>
    <xf numFmtId="0" fontId="40" fillId="0" borderId="43" xfId="0" applyFont="1" applyFill="1" applyBorder="1" applyAlignment="1" applyProtection="1">
      <alignment horizontal="center" vertical="center"/>
      <protection locked="0" hidden="1"/>
    </xf>
    <xf numFmtId="165" fontId="40" fillId="0" borderId="0" xfId="0" applyNumberFormat="1" applyFont="1" applyFill="1" applyBorder="1" applyAlignment="1" applyProtection="1">
      <alignment horizontal="center" vertical="center"/>
      <protection locked="0" hidden="1"/>
    </xf>
    <xf numFmtId="0" fontId="40" fillId="0" borderId="0" xfId="0" applyFont="1" applyFill="1" applyBorder="1" applyAlignment="1" applyProtection="1">
      <protection locked="0" hidden="1"/>
    </xf>
    <xf numFmtId="166" fontId="39" fillId="0" borderId="0" xfId="0" applyNumberFormat="1" applyFont="1" applyFill="1" applyBorder="1" applyAlignment="1" applyProtection="1">
      <alignment horizontal="left" vertical="center"/>
      <protection hidden="1"/>
    </xf>
    <xf numFmtId="168" fontId="35" fillId="0" borderId="0" xfId="0" applyNumberFormat="1" applyFont="1" applyFill="1" applyBorder="1" applyProtection="1">
      <protection hidden="1"/>
    </xf>
    <xf numFmtId="168" fontId="38" fillId="0" borderId="0" xfId="0" applyNumberFormat="1" applyFont="1" applyFill="1" applyBorder="1" applyProtection="1">
      <protection hidden="1"/>
    </xf>
    <xf numFmtId="0" fontId="35" fillId="0" borderId="0" xfId="0" applyFont="1" applyFill="1" applyBorder="1" applyAlignment="1" applyProtection="1">
      <alignment horizontal="left" vertical="top" wrapText="1"/>
      <protection locked="0" hidden="1"/>
    </xf>
    <xf numFmtId="0" fontId="36" fillId="0" borderId="0" xfId="0" applyFont="1" applyFill="1" applyBorder="1" applyAlignment="1" applyProtection="1">
      <alignment horizontal="center" vertical="top"/>
      <protection hidden="1"/>
    </xf>
    <xf numFmtId="0" fontId="0" fillId="0" borderId="0" xfId="0" applyNumberFormat="1" applyFont="1" applyBorder="1" applyProtection="1">
      <protection hidden="1"/>
    </xf>
    <xf numFmtId="0" fontId="43" fillId="17" borderId="0" xfId="0" applyFont="1" applyFill="1" applyProtection="1">
      <protection hidden="1"/>
    </xf>
    <xf numFmtId="0" fontId="44" fillId="2" borderId="0" xfId="0" applyFont="1" applyFill="1" applyProtection="1">
      <protection hidden="1"/>
    </xf>
    <xf numFmtId="0" fontId="0" fillId="2" borderId="0" xfId="0" applyFont="1" applyFill="1" applyBorder="1" applyProtection="1">
      <protection hidden="1"/>
    </xf>
    <xf numFmtId="0" fontId="0" fillId="0" borderId="0" xfId="0" applyFont="1" applyBorder="1" applyAlignment="1" applyProtection="1">
      <alignment horizontal="center"/>
      <protection hidden="1"/>
    </xf>
    <xf numFmtId="0" fontId="0" fillId="19" borderId="0" xfId="0" applyFont="1" applyFill="1" applyProtection="1">
      <protection hidden="1"/>
    </xf>
    <xf numFmtId="0" fontId="0" fillId="0" borderId="0" xfId="0" applyFill="1" applyBorder="1"/>
    <xf numFmtId="0" fontId="28" fillId="0" borderId="10" xfId="0" applyFont="1" applyBorder="1" applyProtection="1">
      <protection hidden="1"/>
    </xf>
    <xf numFmtId="0" fontId="20" fillId="0" borderId="22" xfId="0" applyFont="1" applyBorder="1"/>
    <xf numFmtId="0" fontId="0" fillId="0" borderId="13" xfId="0" applyBorder="1"/>
    <xf numFmtId="0" fontId="0" fillId="0" borderId="15" xfId="0" applyBorder="1"/>
    <xf numFmtId="0" fontId="0" fillId="0" borderId="20" xfId="0" applyBorder="1"/>
    <xf numFmtId="0" fontId="19" fillId="10" borderId="45" xfId="0" applyFont="1" applyFill="1" applyBorder="1" applyAlignment="1" applyProtection="1">
      <alignment vertical="center"/>
      <protection hidden="1"/>
    </xf>
    <xf numFmtId="0" fontId="19" fillId="10" borderId="46" xfId="0" applyFont="1" applyFill="1" applyBorder="1" applyAlignment="1" applyProtection="1">
      <alignment vertical="center"/>
      <protection hidden="1"/>
    </xf>
    <xf numFmtId="0" fontId="0" fillId="0" borderId="13" xfId="0" applyFont="1" applyBorder="1" applyProtection="1">
      <protection hidden="1"/>
    </xf>
    <xf numFmtId="0" fontId="0" fillId="0" borderId="15" xfId="0" applyFont="1" applyBorder="1" applyProtection="1">
      <protection hidden="1"/>
    </xf>
    <xf numFmtId="0" fontId="0" fillId="0" borderId="20" xfId="0" applyFont="1" applyBorder="1" applyProtection="1">
      <protection hidden="1"/>
    </xf>
    <xf numFmtId="0" fontId="0" fillId="18" borderId="13" xfId="0" applyFont="1" applyFill="1" applyBorder="1" applyProtection="1">
      <protection hidden="1"/>
    </xf>
    <xf numFmtId="0" fontId="0" fillId="0" borderId="14" xfId="0" applyFont="1" applyBorder="1" applyProtection="1">
      <protection hidden="1"/>
    </xf>
    <xf numFmtId="0" fontId="0" fillId="18" borderId="15" xfId="0" applyFont="1" applyFill="1" applyBorder="1" applyProtection="1">
      <protection hidden="1"/>
    </xf>
    <xf numFmtId="0" fontId="0" fillId="0" borderId="8" xfId="0" applyFont="1" applyBorder="1" applyProtection="1">
      <protection hidden="1"/>
    </xf>
    <xf numFmtId="0" fontId="0" fillId="18" borderId="20" xfId="0" applyFont="1" applyFill="1" applyBorder="1" applyProtection="1">
      <protection hidden="1"/>
    </xf>
    <xf numFmtId="0" fontId="0" fillId="0" borderId="21" xfId="0" applyFont="1" applyBorder="1" applyProtection="1">
      <protection hidden="1"/>
    </xf>
    <xf numFmtId="0" fontId="0" fillId="9" borderId="13" xfId="0" applyFont="1" applyFill="1" applyBorder="1" applyProtection="1">
      <protection hidden="1"/>
    </xf>
    <xf numFmtId="0" fontId="0" fillId="9" borderId="15" xfId="0" applyFont="1" applyFill="1" applyBorder="1" applyProtection="1">
      <protection hidden="1"/>
    </xf>
    <xf numFmtId="0" fontId="0" fillId="9" borderId="20" xfId="0" applyFont="1" applyFill="1" applyBorder="1" applyProtection="1">
      <protection hidden="1"/>
    </xf>
    <xf numFmtId="0" fontId="0" fillId="23" borderId="13" xfId="0" applyFont="1" applyFill="1" applyBorder="1" applyProtection="1">
      <protection hidden="1"/>
    </xf>
    <xf numFmtId="0" fontId="0" fillId="23" borderId="15" xfId="0" applyFont="1" applyFill="1" applyBorder="1" applyProtection="1">
      <protection hidden="1"/>
    </xf>
    <xf numFmtId="0" fontId="0" fillId="23" borderId="20" xfId="0" applyFont="1" applyFill="1" applyBorder="1" applyProtection="1">
      <protection hidden="1"/>
    </xf>
    <xf numFmtId="0" fontId="0" fillId="0" borderId="0" xfId="0" applyFont="1" applyBorder="1" applyAlignment="1" applyProtection="1">
      <alignment horizontal="center"/>
      <protection hidden="1"/>
    </xf>
    <xf numFmtId="0" fontId="22" fillId="0" borderId="0" xfId="0" applyFont="1" applyFill="1" applyBorder="1" applyAlignment="1">
      <alignment horizontal="right"/>
    </xf>
    <xf numFmtId="0" fontId="0" fillId="0" borderId="0" xfId="0" applyFont="1" applyBorder="1"/>
    <xf numFmtId="49" fontId="41" fillId="13" borderId="42" xfId="0" applyNumberFormat="1" applyFont="1" applyFill="1" applyBorder="1" applyAlignment="1" applyProtection="1">
      <alignment horizontal="center" vertical="center"/>
      <protection locked="0" hidden="1"/>
    </xf>
    <xf numFmtId="0" fontId="41" fillId="14" borderId="43" xfId="0" applyFont="1" applyFill="1" applyBorder="1" applyAlignment="1" applyProtection="1">
      <alignment horizontal="center" vertical="center"/>
      <protection locked="0" hidden="1"/>
    </xf>
    <xf numFmtId="0" fontId="41" fillId="14" borderId="43" xfId="0" applyFont="1" applyFill="1" applyBorder="1" applyAlignment="1" applyProtection="1">
      <alignment horizontal="center"/>
      <protection locked="0" hidden="1"/>
    </xf>
    <xf numFmtId="165" fontId="41" fillId="14" borderId="43" xfId="0" applyNumberFormat="1" applyFont="1" applyFill="1" applyBorder="1" applyAlignment="1" applyProtection="1">
      <alignment horizontal="center" vertical="center"/>
      <protection locked="0" hidden="1"/>
    </xf>
    <xf numFmtId="0" fontId="41" fillId="10" borderId="43" xfId="0" applyFont="1" applyFill="1" applyBorder="1" applyAlignment="1" applyProtection="1">
      <protection locked="0" hidden="1"/>
    </xf>
    <xf numFmtId="0" fontId="28" fillId="0" borderId="0" xfId="0" applyFont="1" applyFill="1" applyProtection="1">
      <protection hidden="1"/>
    </xf>
    <xf numFmtId="0" fontId="28" fillId="0" borderId="0" xfId="0" applyFont="1" applyFill="1" applyBorder="1" applyProtection="1">
      <protection hidden="1"/>
    </xf>
    <xf numFmtId="49" fontId="10" fillId="0" borderId="0" xfId="0" applyNumberFormat="1" applyFont="1" applyFill="1" applyBorder="1" applyProtection="1">
      <protection hidden="1"/>
    </xf>
    <xf numFmtId="49" fontId="37" fillId="0" borderId="0" xfId="5" applyNumberFormat="1" applyFont="1" applyFill="1" applyBorder="1" applyAlignment="1" applyProtection="1">
      <alignment horizontal="right"/>
      <protection hidden="1"/>
    </xf>
    <xf numFmtId="49" fontId="16" fillId="0" borderId="0" xfId="0" applyNumberFormat="1" applyFont="1" applyFill="1" applyBorder="1" applyAlignment="1" applyProtection="1">
      <alignment horizontal="center" vertical="center"/>
      <protection hidden="1"/>
    </xf>
    <xf numFmtId="49" fontId="38" fillId="0" borderId="0" xfId="0" applyNumberFormat="1" applyFont="1" applyFill="1" applyBorder="1" applyAlignment="1" applyProtection="1">
      <alignment horizontal="left" vertical="top" wrapText="1"/>
      <protection hidden="1"/>
    </xf>
    <xf numFmtId="49" fontId="39" fillId="0" borderId="0" xfId="13" applyNumberFormat="1" applyFont="1" applyFill="1" applyBorder="1" applyAlignment="1" applyProtection="1">
      <alignment horizontal="center" vertical="center" wrapText="1"/>
      <protection locked="0" hidden="1"/>
    </xf>
    <xf numFmtId="49" fontId="38" fillId="0" borderId="0" xfId="0" applyNumberFormat="1" applyFont="1" applyFill="1" applyBorder="1" applyAlignment="1" applyProtection="1">
      <alignment vertical="top" wrapText="1"/>
      <protection hidden="1"/>
    </xf>
    <xf numFmtId="49" fontId="16" fillId="0" borderId="0" xfId="0" applyNumberFormat="1" applyFont="1" applyFill="1" applyBorder="1" applyAlignment="1" applyProtection="1">
      <alignment horizontal="left" vertical="center"/>
      <protection hidden="1"/>
    </xf>
    <xf numFmtId="49" fontId="10" fillId="0" borderId="0" xfId="0" applyNumberFormat="1" applyFont="1" applyFill="1" applyBorder="1" applyAlignment="1" applyProtection="1">
      <protection hidden="1"/>
    </xf>
    <xf numFmtId="49" fontId="40" fillId="0" borderId="0" xfId="0" applyNumberFormat="1" applyFont="1" applyFill="1" applyBorder="1" applyAlignment="1" applyProtection="1">
      <alignment horizontal="center"/>
      <protection locked="0" hidden="1"/>
    </xf>
    <xf numFmtId="49" fontId="40" fillId="0" borderId="43" xfId="0" applyNumberFormat="1" applyFont="1" applyFill="1" applyBorder="1" applyAlignment="1" applyProtection="1">
      <alignment horizontal="center" vertical="center"/>
      <protection locked="0" hidden="1"/>
    </xf>
    <xf numFmtId="49" fontId="40" fillId="0" borderId="0" xfId="0" applyNumberFormat="1" applyFont="1" applyFill="1" applyBorder="1" applyAlignment="1" applyProtection="1">
      <protection locked="0" hidden="1"/>
    </xf>
    <xf numFmtId="49" fontId="39"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Protection="1">
      <protection hidden="1"/>
    </xf>
    <xf numFmtId="49" fontId="38" fillId="0" borderId="0" xfId="0" applyNumberFormat="1" applyFont="1" applyFill="1" applyBorder="1" applyProtection="1">
      <protection hidden="1"/>
    </xf>
    <xf numFmtId="49" fontId="35" fillId="0" borderId="0" xfId="0" applyNumberFormat="1" applyFont="1" applyFill="1" applyBorder="1" applyAlignment="1" applyProtection="1">
      <alignment horizontal="left" vertical="top" wrapText="1"/>
      <protection locked="0" hidden="1"/>
    </xf>
    <xf numFmtId="49" fontId="36" fillId="0" borderId="0" xfId="0" applyNumberFormat="1" applyFont="1" applyFill="1" applyBorder="1" applyAlignment="1" applyProtection="1">
      <alignment horizontal="center" vertical="top"/>
      <protection hidden="1"/>
    </xf>
    <xf numFmtId="49" fontId="10" fillId="9" borderId="0" xfId="0" applyNumberFormat="1" applyFont="1" applyFill="1" applyBorder="1" applyAlignment="1" applyProtection="1">
      <alignment horizontal="center" vertical="center"/>
      <protection hidden="1"/>
    </xf>
    <xf numFmtId="0" fontId="0" fillId="0" borderId="18" xfId="0" applyFont="1" applyBorder="1" applyAlignment="1" applyProtection="1">
      <alignment horizontal="center" vertical="center"/>
      <protection hidden="1"/>
    </xf>
    <xf numFmtId="0" fontId="44" fillId="20" borderId="16" xfId="0" applyFont="1" applyFill="1" applyBorder="1" applyAlignment="1" applyProtection="1">
      <alignment horizontal="center" vertical="center"/>
      <protection hidden="1"/>
    </xf>
    <xf numFmtId="0" fontId="0" fillId="0" borderId="18" xfId="0" applyFont="1" applyBorder="1" applyAlignment="1" applyProtection="1">
      <alignment horizontal="center"/>
      <protection hidden="1"/>
    </xf>
    <xf numFmtId="0" fontId="0" fillId="2" borderId="16" xfId="0" applyFont="1" applyFill="1" applyBorder="1" applyAlignment="1" applyProtection="1">
      <alignment horizontal="center"/>
      <protection hidden="1"/>
    </xf>
    <xf numFmtId="0" fontId="10" fillId="2" borderId="3" xfId="0" applyFont="1" applyFill="1" applyBorder="1" applyAlignment="1">
      <alignment horizontal="left"/>
    </xf>
    <xf numFmtId="0" fontId="10" fillId="2" borderId="3" xfId="0" applyFont="1" applyFill="1" applyBorder="1"/>
    <xf numFmtId="0" fontId="12" fillId="0" borderId="0" xfId="0" applyFont="1"/>
    <xf numFmtId="0" fontId="19" fillId="14" borderId="43" xfId="0" applyFont="1" applyFill="1" applyBorder="1" applyAlignment="1" applyProtection="1">
      <alignment horizontal="center"/>
      <protection locked="0" hidden="1"/>
    </xf>
    <xf numFmtId="0" fontId="13" fillId="0" borderId="37" xfId="5" applyFont="1" applyFill="1" applyBorder="1" applyAlignment="1">
      <alignment horizontal="left"/>
    </xf>
    <xf numFmtId="0" fontId="12" fillId="0" borderId="68" xfId="0" applyFont="1" applyFill="1" applyBorder="1" applyAlignment="1">
      <alignment horizontal="center"/>
    </xf>
    <xf numFmtId="0" fontId="12" fillId="0" borderId="69" xfId="0" applyFont="1" applyFill="1" applyBorder="1" applyAlignment="1">
      <alignment horizontal="center"/>
    </xf>
    <xf numFmtId="0" fontId="12" fillId="0" borderId="36" xfId="0" applyFont="1" applyFill="1" applyBorder="1" applyAlignment="1">
      <alignment horizontal="center"/>
    </xf>
    <xf numFmtId="2" fontId="12" fillId="0" borderId="36" xfId="0" applyNumberFormat="1" applyFont="1" applyFill="1" applyBorder="1" applyAlignment="1">
      <alignment horizontal="center"/>
    </xf>
    <xf numFmtId="1" fontId="12" fillId="0" borderId="36" xfId="0" applyNumberFormat="1" applyFont="1" applyFill="1" applyBorder="1" applyAlignment="1">
      <alignment horizontal="center"/>
    </xf>
    <xf numFmtId="1" fontId="12" fillId="0" borderId="38" xfId="0" applyNumberFormat="1" applyFont="1" applyFill="1" applyBorder="1" applyAlignment="1">
      <alignment horizontal="center"/>
    </xf>
    <xf numFmtId="0" fontId="13" fillId="0" borderId="36" xfId="5" applyFont="1" applyFill="1" applyBorder="1" applyAlignment="1">
      <alignment horizontal="left"/>
    </xf>
    <xf numFmtId="0" fontId="13" fillId="0" borderId="38" xfId="5" applyFont="1" applyFill="1" applyBorder="1" applyAlignment="1">
      <alignment horizontal="left"/>
    </xf>
    <xf numFmtId="0" fontId="13" fillId="0" borderId="72" xfId="5" applyFont="1" applyFill="1" applyBorder="1" applyAlignment="1">
      <alignment horizontal="left"/>
    </xf>
    <xf numFmtId="0" fontId="13" fillId="0" borderId="70" xfId="5" applyFont="1" applyFill="1" applyBorder="1" applyAlignment="1">
      <alignment horizontal="left"/>
    </xf>
    <xf numFmtId="0" fontId="13" fillId="0" borderId="71" xfId="5" applyFont="1" applyFill="1" applyBorder="1" applyAlignment="1">
      <alignment horizontal="left"/>
    </xf>
    <xf numFmtId="0" fontId="13" fillId="0" borderId="66" xfId="5" applyFont="1" applyFill="1" applyBorder="1" applyAlignment="1">
      <alignment horizontal="left"/>
    </xf>
    <xf numFmtId="0" fontId="13" fillId="0" borderId="67" xfId="5" applyFont="1" applyFill="1" applyBorder="1" applyAlignment="1">
      <alignment horizontal="left"/>
    </xf>
    <xf numFmtId="0" fontId="14" fillId="0" borderId="3" xfId="0" applyFont="1" applyBorder="1"/>
    <xf numFmtId="0" fontId="7" fillId="0" borderId="0" xfId="0" applyFont="1" applyBorder="1" applyAlignment="1">
      <alignment horizontal="left"/>
    </xf>
    <xf numFmtId="0" fontId="7" fillId="0" borderId="0" xfId="0" applyFont="1" applyFill="1" applyBorder="1"/>
    <xf numFmtId="0" fontId="0" fillId="0" borderId="0" xfId="0" applyFont="1" applyBorder="1" applyAlignment="1">
      <alignment horizontal="left"/>
    </xf>
    <xf numFmtId="0" fontId="0" fillId="0" borderId="0" xfId="0" applyFont="1" applyFill="1" applyBorder="1"/>
    <xf numFmtId="0" fontId="20" fillId="0" borderId="0" xfId="0" applyFont="1" applyBorder="1" applyAlignment="1">
      <alignment horizontal="left"/>
    </xf>
    <xf numFmtId="0" fontId="0" fillId="0" borderId="0" xfId="0" applyFont="1" applyBorder="1" applyAlignment="1" applyProtection="1">
      <alignment horizontal="left"/>
      <protection hidden="1"/>
    </xf>
    <xf numFmtId="0" fontId="28" fillId="0" borderId="0" xfId="0" applyFont="1" applyBorder="1" applyAlignment="1" applyProtection="1">
      <alignment horizontal="left"/>
      <protection hidden="1"/>
    </xf>
    <xf numFmtId="0" fontId="13" fillId="9" borderId="3" xfId="9" applyFont="1" applyFill="1" applyBorder="1"/>
    <xf numFmtId="0" fontId="13" fillId="9" borderId="3" xfId="9" applyFont="1" applyFill="1" applyBorder="1" applyAlignment="1">
      <alignment vertical="center"/>
    </xf>
    <xf numFmtId="0" fontId="13" fillId="0" borderId="3" xfId="0" applyFont="1" applyBorder="1"/>
    <xf numFmtId="0" fontId="14" fillId="0" borderId="3" xfId="0" applyFont="1" applyBorder="1"/>
    <xf numFmtId="0" fontId="12" fillId="2" borderId="0" xfId="0" applyFont="1" applyFill="1"/>
    <xf numFmtId="0" fontId="12" fillId="3" borderId="0" xfId="0" applyFont="1" applyFill="1" applyAlignment="1">
      <alignment horizontal="center"/>
    </xf>
    <xf numFmtId="0" fontId="12" fillId="4" borderId="0" xfId="0" applyFont="1" applyFill="1" applyAlignment="1">
      <alignment horizontal="center"/>
    </xf>
    <xf numFmtId="0" fontId="13" fillId="24" borderId="3" xfId="9" applyFont="1" applyFill="1" applyBorder="1" applyAlignment="1">
      <alignment vertical="center"/>
    </xf>
    <xf numFmtId="2" fontId="13" fillId="0" borderId="3" xfId="0" applyNumberFormat="1" applyFont="1" applyBorder="1"/>
    <xf numFmtId="1" fontId="13" fillId="0" borderId="3" xfId="0" applyNumberFormat="1" applyFont="1" applyBorder="1"/>
    <xf numFmtId="0" fontId="13" fillId="0" borderId="3" xfId="9" applyFont="1" applyBorder="1" applyAlignment="1">
      <alignment horizontal="left" vertical="center"/>
    </xf>
    <xf numFmtId="0" fontId="28" fillId="0" borderId="3" xfId="0" applyFont="1" applyBorder="1"/>
    <xf numFmtId="0" fontId="13" fillId="0" borderId="3" xfId="9" applyFont="1" applyBorder="1" applyAlignment="1">
      <alignment vertical="center"/>
    </xf>
    <xf numFmtId="0" fontId="13" fillId="0" borderId="3" xfId="9" applyFont="1" applyBorder="1" applyAlignment="1">
      <alignment horizontal="left"/>
    </xf>
    <xf numFmtId="0" fontId="13" fillId="0" borderId="3" xfId="9" applyFont="1" applyBorder="1"/>
    <xf numFmtId="1" fontId="13" fillId="0" borderId="53" xfId="0" applyNumberFormat="1" applyFont="1" applyBorder="1" applyAlignment="1">
      <alignment horizontal="center"/>
    </xf>
    <xf numFmtId="0" fontId="13" fillId="0" borderId="32" xfId="9" applyFont="1" applyBorder="1" applyAlignment="1">
      <alignment horizontal="left"/>
    </xf>
    <xf numFmtId="0" fontId="13" fillId="0" borderId="33" xfId="9" applyFont="1" applyBorder="1" applyAlignment="1">
      <alignment horizontal="left"/>
    </xf>
    <xf numFmtId="0" fontId="13" fillId="0" borderId="34" xfId="9" applyFont="1" applyBorder="1" applyAlignment="1">
      <alignment horizontal="left"/>
    </xf>
    <xf numFmtId="1" fontId="13" fillId="0" borderId="46" xfId="0" applyNumberFormat="1" applyFont="1" applyBorder="1" applyAlignment="1">
      <alignment horizontal="center"/>
    </xf>
    <xf numFmtId="0" fontId="13" fillId="0" borderId="6" xfId="9" applyFont="1" applyBorder="1" applyAlignment="1">
      <alignment horizontal="left"/>
    </xf>
    <xf numFmtId="0" fontId="13" fillId="0" borderId="31" xfId="9" applyFont="1" applyBorder="1" applyAlignment="1">
      <alignment horizontal="left"/>
    </xf>
    <xf numFmtId="0" fontId="13" fillId="0" borderId="29" xfId="9" applyFont="1" applyBorder="1" applyAlignment="1">
      <alignment horizontal="left"/>
    </xf>
    <xf numFmtId="1" fontId="13" fillId="0" borderId="50" xfId="0" applyNumberFormat="1" applyFont="1" applyBorder="1" applyAlignment="1">
      <alignment horizontal="center"/>
    </xf>
    <xf numFmtId="0" fontId="13" fillId="0" borderId="37" xfId="9" applyFont="1" applyBorder="1" applyAlignment="1">
      <alignment horizontal="left"/>
    </xf>
    <xf numFmtId="1" fontId="12" fillId="0" borderId="53" xfId="0" applyNumberFormat="1" applyFont="1" applyBorder="1" applyAlignment="1">
      <alignment horizontal="center"/>
    </xf>
    <xf numFmtId="0" fontId="13" fillId="0" borderId="32" xfId="5" applyFont="1" applyBorder="1" applyAlignment="1">
      <alignment horizontal="left"/>
    </xf>
    <xf numFmtId="1" fontId="12" fillId="0" borderId="46" xfId="0" applyNumberFormat="1" applyFont="1" applyBorder="1" applyAlignment="1">
      <alignment horizontal="center"/>
    </xf>
    <xf numFmtId="0" fontId="13" fillId="0" borderId="6" xfId="5" applyFont="1" applyBorder="1" applyAlignment="1">
      <alignment horizontal="left"/>
    </xf>
    <xf numFmtId="1" fontId="12" fillId="0" borderId="74" xfId="0" applyNumberFormat="1" applyFont="1" applyBorder="1" applyAlignment="1">
      <alignment horizontal="center"/>
    </xf>
    <xf numFmtId="0" fontId="13" fillId="0" borderId="72" xfId="5" applyFont="1" applyBorder="1" applyAlignment="1">
      <alignment horizontal="left"/>
    </xf>
    <xf numFmtId="0" fontId="13" fillId="0" borderId="36" xfId="9" applyFont="1" applyBorder="1" applyAlignment="1">
      <alignment horizontal="left"/>
    </xf>
    <xf numFmtId="0" fontId="13" fillId="0" borderId="38" xfId="9" applyFont="1" applyBorder="1" applyAlignment="1">
      <alignment horizontal="left"/>
    </xf>
    <xf numFmtId="0" fontId="13" fillId="0" borderId="5" xfId="5" applyFont="1" applyBorder="1" applyAlignment="1">
      <alignment horizontal="left"/>
    </xf>
    <xf numFmtId="0" fontId="13" fillId="0" borderId="33" xfId="5" applyFont="1" applyBorder="1" applyAlignment="1">
      <alignment horizontal="left"/>
    </xf>
    <xf numFmtId="0" fontId="13" fillId="0" borderId="34" xfId="5" applyFont="1" applyBorder="1" applyAlignment="1">
      <alignment horizontal="left"/>
    </xf>
    <xf numFmtId="0" fontId="13" fillId="0" borderId="31" xfId="5" applyFont="1" applyBorder="1" applyAlignment="1">
      <alignment horizontal="left"/>
    </xf>
    <xf numFmtId="0" fontId="13" fillId="0" borderId="29" xfId="5" applyFont="1" applyBorder="1" applyAlignment="1">
      <alignment horizontal="left"/>
    </xf>
    <xf numFmtId="0" fontId="13" fillId="0" borderId="70" xfId="5" applyFont="1" applyBorder="1" applyAlignment="1">
      <alignment horizontal="left"/>
    </xf>
    <xf numFmtId="0" fontId="13" fillId="0" borderId="71" xfId="5" applyFont="1" applyBorder="1" applyAlignment="1">
      <alignment horizontal="left"/>
    </xf>
    <xf numFmtId="0" fontId="13" fillId="0" borderId="66" xfId="5" applyFont="1" applyBorder="1" applyAlignment="1">
      <alignment horizontal="left"/>
    </xf>
    <xf numFmtId="0" fontId="13" fillId="0" borderId="67" xfId="5" applyFont="1" applyBorder="1" applyAlignment="1">
      <alignment horizontal="left"/>
    </xf>
    <xf numFmtId="1" fontId="12" fillId="0" borderId="55" xfId="0" applyNumberFormat="1" applyFont="1" applyBorder="1" applyAlignment="1">
      <alignment horizontal="center"/>
    </xf>
    <xf numFmtId="0" fontId="13" fillId="0" borderId="7" xfId="5" applyFont="1" applyBorder="1" applyAlignment="1">
      <alignment horizontal="left"/>
    </xf>
    <xf numFmtId="1" fontId="12" fillId="0" borderId="0" xfId="0" applyNumberFormat="1" applyFont="1" applyAlignment="1">
      <alignment horizontal="center"/>
    </xf>
    <xf numFmtId="0" fontId="13" fillId="0" borderId="0" xfId="5" applyFont="1" applyAlignment="1">
      <alignment horizontal="left"/>
    </xf>
    <xf numFmtId="0" fontId="13" fillId="0" borderId="35" xfId="5" applyFont="1" applyBorder="1" applyAlignment="1">
      <alignment horizontal="left"/>
    </xf>
    <xf numFmtId="0" fontId="13" fillId="0" borderId="30" xfId="5" applyFont="1" applyBorder="1" applyAlignment="1">
      <alignment horizontal="left"/>
    </xf>
    <xf numFmtId="0" fontId="13" fillId="0" borderId="37" xfId="5" applyFont="1" applyBorder="1" applyAlignment="1">
      <alignment horizontal="left"/>
    </xf>
    <xf numFmtId="0" fontId="12" fillId="0" borderId="68" xfId="0" applyFont="1" applyBorder="1" applyAlignment="1">
      <alignment horizontal="center"/>
    </xf>
    <xf numFmtId="0" fontId="12" fillId="0" borderId="69" xfId="0" applyFont="1" applyBorder="1" applyAlignment="1">
      <alignment horizontal="center"/>
    </xf>
    <xf numFmtId="0" fontId="12" fillId="0" borderId="36" xfId="0" applyFont="1" applyBorder="1" applyAlignment="1">
      <alignment horizontal="center"/>
    </xf>
    <xf numFmtId="2" fontId="12" fillId="0" borderId="36" xfId="0" applyNumberFormat="1" applyFont="1" applyBorder="1" applyAlignment="1">
      <alignment horizontal="center"/>
    </xf>
    <xf numFmtId="1" fontId="12" fillId="0" borderId="36" xfId="0" applyNumberFormat="1" applyFont="1" applyBorder="1" applyAlignment="1">
      <alignment horizontal="center"/>
    </xf>
    <xf numFmtId="1" fontId="12" fillId="0" borderId="38" xfId="0" applyNumberFormat="1" applyFont="1" applyBorder="1" applyAlignment="1">
      <alignment horizontal="center"/>
    </xf>
    <xf numFmtId="1" fontId="12" fillId="0" borderId="50" xfId="0" applyNumberFormat="1" applyFont="1" applyBorder="1" applyAlignment="1">
      <alignment horizontal="center"/>
    </xf>
    <xf numFmtId="0" fontId="13" fillId="0" borderId="36" xfId="5" applyFont="1" applyBorder="1" applyAlignment="1">
      <alignment horizontal="left"/>
    </xf>
    <xf numFmtId="0" fontId="13" fillId="0" borderId="38" xfId="5" applyFont="1" applyBorder="1" applyAlignment="1">
      <alignment horizontal="left"/>
    </xf>
    <xf numFmtId="0" fontId="12" fillId="0" borderId="0" xfId="0" applyFont="1" applyAlignment="1">
      <alignment horizontal="center"/>
    </xf>
    <xf numFmtId="2" fontId="12" fillId="0" borderId="0" xfId="0" applyNumberFormat="1" applyFont="1" applyAlignment="1">
      <alignment horizontal="center"/>
    </xf>
    <xf numFmtId="0" fontId="13" fillId="0" borderId="3" xfId="5" applyFont="1" applyBorder="1" applyAlignment="1">
      <alignment horizontal="left"/>
    </xf>
    <xf numFmtId="0" fontId="22" fillId="0" borderId="0" xfId="0" applyFont="1" applyAlignment="1">
      <alignment horizontal="right"/>
    </xf>
    <xf numFmtId="0" fontId="13" fillId="0" borderId="58" xfId="9" applyFont="1" applyBorder="1" applyAlignment="1">
      <alignment horizontal="left" vertical="center"/>
    </xf>
    <xf numFmtId="0" fontId="13" fillId="0" borderId="3" xfId="0" applyFont="1" applyBorder="1" applyAlignment="1">
      <alignment horizontal="center"/>
    </xf>
    <xf numFmtId="0" fontId="13" fillId="0" borderId="58" xfId="0" applyFont="1" applyBorder="1" applyAlignment="1">
      <alignment horizontal="center"/>
    </xf>
    <xf numFmtId="0" fontId="15" fillId="0" borderId="3" xfId="0" applyFont="1" applyBorder="1"/>
    <xf numFmtId="167" fontId="15" fillId="0" borderId="3" xfId="0" applyNumberFormat="1" applyFont="1" applyBorder="1"/>
    <xf numFmtId="0" fontId="12" fillId="0" borderId="3" xfId="0" applyFont="1" applyBorder="1"/>
    <xf numFmtId="49" fontId="12" fillId="0" borderId="3" xfId="0" applyNumberFormat="1" applyFont="1" applyBorder="1"/>
    <xf numFmtId="49" fontId="12" fillId="0" borderId="0" xfId="0" applyNumberFormat="1" applyFont="1"/>
    <xf numFmtId="0" fontId="15" fillId="0" borderId="0" xfId="0" applyFont="1"/>
    <xf numFmtId="0" fontId="9" fillId="0" borderId="0" xfId="2"/>
    <xf numFmtId="0" fontId="0" fillId="20" borderId="0" xfId="0" applyFill="1"/>
    <xf numFmtId="0" fontId="0" fillId="26" borderId="0" xfId="0" applyFont="1" applyFill="1" applyProtection="1">
      <protection hidden="1"/>
    </xf>
    <xf numFmtId="0" fontId="0" fillId="26" borderId="0" xfId="0" applyFont="1" applyFill="1" applyBorder="1" applyProtection="1">
      <protection hidden="1"/>
    </xf>
    <xf numFmtId="49" fontId="10" fillId="26" borderId="0" xfId="0" applyNumberFormat="1" applyFont="1" applyFill="1" applyBorder="1" applyProtection="1">
      <protection hidden="1"/>
    </xf>
    <xf numFmtId="0" fontId="10" fillId="26" borderId="0" xfId="0" applyFont="1" applyFill="1" applyBorder="1" applyProtection="1">
      <protection hidden="1"/>
    </xf>
    <xf numFmtId="0" fontId="0" fillId="27" borderId="0" xfId="0" applyFont="1" applyFill="1" applyBorder="1" applyProtection="1">
      <protection hidden="1"/>
    </xf>
    <xf numFmtId="0" fontId="0" fillId="0" borderId="1" xfId="0" applyFont="1" applyBorder="1" applyProtection="1">
      <protection hidden="1"/>
    </xf>
    <xf numFmtId="0" fontId="0" fillId="0" borderId="19" xfId="0" applyFont="1" applyBorder="1" applyProtection="1">
      <protection hidden="1"/>
    </xf>
    <xf numFmtId="0" fontId="0" fillId="0" borderId="2" xfId="0" applyFont="1" applyBorder="1" applyProtection="1">
      <protection hidden="1"/>
    </xf>
    <xf numFmtId="0" fontId="0" fillId="29" borderId="1" xfId="0" applyFont="1" applyFill="1" applyBorder="1" applyProtection="1">
      <protection hidden="1"/>
    </xf>
    <xf numFmtId="0" fontId="0" fillId="29" borderId="19" xfId="0" applyFont="1" applyFill="1" applyBorder="1" applyProtection="1">
      <protection hidden="1"/>
    </xf>
    <xf numFmtId="49" fontId="10" fillId="29" borderId="19" xfId="0" applyNumberFormat="1" applyFont="1" applyFill="1" applyBorder="1" applyProtection="1">
      <protection hidden="1"/>
    </xf>
    <xf numFmtId="0" fontId="0" fillId="29" borderId="2" xfId="0" applyFont="1" applyFill="1" applyBorder="1" applyProtection="1">
      <protection hidden="1"/>
    </xf>
    <xf numFmtId="0" fontId="0" fillId="29" borderId="25" xfId="0" applyFont="1" applyFill="1" applyBorder="1" applyProtection="1">
      <protection hidden="1"/>
    </xf>
    <xf numFmtId="0" fontId="0" fillId="29" borderId="28" xfId="0" applyFont="1" applyFill="1" applyBorder="1" applyProtection="1">
      <protection hidden="1"/>
    </xf>
    <xf numFmtId="0" fontId="0" fillId="29" borderId="27" xfId="0" applyFont="1" applyFill="1" applyBorder="1" applyProtection="1">
      <protection hidden="1"/>
    </xf>
    <xf numFmtId="0" fontId="0" fillId="29" borderId="17" xfId="0" applyFont="1" applyFill="1" applyBorder="1" applyProtection="1">
      <protection hidden="1"/>
    </xf>
    <xf numFmtId="49" fontId="10" fillId="29" borderId="17" xfId="0" applyNumberFormat="1" applyFont="1" applyFill="1" applyBorder="1" applyProtection="1">
      <protection hidden="1"/>
    </xf>
    <xf numFmtId="0" fontId="0" fillId="29" borderId="26" xfId="0" applyFont="1" applyFill="1" applyBorder="1" applyProtection="1">
      <protection hidden="1"/>
    </xf>
    <xf numFmtId="0" fontId="0" fillId="0" borderId="0" xfId="0" applyFont="1" applyFill="1" applyProtection="1">
      <protection hidden="1"/>
    </xf>
    <xf numFmtId="0" fontId="41" fillId="0" borderId="0" xfId="0" applyFont="1" applyProtection="1">
      <protection hidden="1"/>
    </xf>
    <xf numFmtId="0" fontId="41" fillId="0" borderId="0" xfId="0" applyFont="1" applyBorder="1" applyProtection="1">
      <protection hidden="1"/>
    </xf>
    <xf numFmtId="0" fontId="35" fillId="0" borderId="0" xfId="0" applyFont="1" applyFill="1" applyBorder="1" applyProtection="1">
      <protection hidden="1"/>
    </xf>
    <xf numFmtId="0" fontId="41" fillId="6" borderId="77" xfId="0" applyFont="1" applyFill="1" applyBorder="1" applyProtection="1">
      <protection hidden="1"/>
    </xf>
    <xf numFmtId="0" fontId="0" fillId="0" borderId="0" xfId="0" applyFont="1" applyBorder="1" applyAlignment="1" applyProtection="1">
      <alignment vertical="center"/>
      <protection hidden="1"/>
    </xf>
    <xf numFmtId="0" fontId="27" fillId="0" borderId="0" xfId="0" applyFont="1" applyBorder="1" applyAlignment="1" applyProtection="1">
      <protection hidden="1"/>
    </xf>
    <xf numFmtId="0" fontId="27" fillId="0" borderId="0" xfId="0" applyFont="1" applyAlignment="1" applyProtection="1">
      <protection hidden="1"/>
    </xf>
    <xf numFmtId="0" fontId="62" fillId="0" borderId="0" xfId="5" applyFont="1" applyFill="1" applyBorder="1" applyAlignment="1" applyProtection="1">
      <alignment horizontal="center" vertical="center"/>
      <protection hidden="1"/>
    </xf>
    <xf numFmtId="0" fontId="0" fillId="0" borderId="0" xfId="0" applyFill="1"/>
    <xf numFmtId="0" fontId="0" fillId="2" borderId="0" xfId="0" applyFill="1"/>
    <xf numFmtId="0" fontId="0" fillId="30" borderId="0" xfId="0" applyFill="1"/>
    <xf numFmtId="0" fontId="0" fillId="16" borderId="0" xfId="0" applyFill="1"/>
    <xf numFmtId="0" fontId="7" fillId="2" borderId="0" xfId="0" applyFont="1" applyFill="1"/>
    <xf numFmtId="0" fontId="0" fillId="16" borderId="0" xfId="0" applyFill="1" applyAlignment="1">
      <alignment horizontal="center"/>
    </xf>
    <xf numFmtId="0" fontId="0" fillId="31" borderId="0" xfId="0" applyFill="1"/>
    <xf numFmtId="0" fontId="0" fillId="27" borderId="79" xfId="0" applyFont="1" applyFill="1" applyBorder="1" applyAlignment="1" applyProtection="1">
      <protection hidden="1"/>
    </xf>
    <xf numFmtId="0" fontId="0" fillId="9" borderId="0" xfId="0" applyFill="1" applyAlignment="1">
      <alignment horizontal="right"/>
    </xf>
    <xf numFmtId="0" fontId="0" fillId="9" borderId="0" xfId="0" applyFill="1" applyAlignment="1">
      <alignment horizontal="left"/>
    </xf>
    <xf numFmtId="0" fontId="0" fillId="32" borderId="0" xfId="0" applyFill="1"/>
    <xf numFmtId="0" fontId="0" fillId="29" borderId="58" xfId="0" applyFont="1" applyFill="1" applyBorder="1" applyProtection="1">
      <protection hidden="1"/>
    </xf>
    <xf numFmtId="0" fontId="0" fillId="25" borderId="26" xfId="0" applyFont="1" applyFill="1" applyBorder="1" applyProtection="1">
      <protection hidden="1"/>
    </xf>
    <xf numFmtId="0" fontId="0" fillId="25" borderId="19" xfId="0" applyFont="1" applyFill="1" applyBorder="1" applyProtection="1">
      <protection hidden="1"/>
    </xf>
    <xf numFmtId="49" fontId="10" fillId="25" borderId="19" xfId="0" applyNumberFormat="1" applyFont="1" applyFill="1" applyBorder="1" applyProtection="1">
      <protection hidden="1"/>
    </xf>
    <xf numFmtId="0" fontId="0" fillId="25" borderId="25" xfId="0" applyFont="1" applyFill="1" applyBorder="1" applyProtection="1">
      <protection hidden="1"/>
    </xf>
    <xf numFmtId="0" fontId="0" fillId="25" borderId="17" xfId="0" applyFont="1" applyFill="1" applyBorder="1" applyProtection="1">
      <protection hidden="1"/>
    </xf>
    <xf numFmtId="49" fontId="10" fillId="25" borderId="17" xfId="0" applyNumberFormat="1" applyFont="1" applyFill="1" applyBorder="1" applyProtection="1">
      <protection hidden="1"/>
    </xf>
    <xf numFmtId="0" fontId="63" fillId="0" borderId="0" xfId="0" applyFont="1" applyProtection="1">
      <protection hidden="1"/>
    </xf>
    <xf numFmtId="0" fontId="63" fillId="25" borderId="0" xfId="0" applyFont="1" applyFill="1" applyProtection="1">
      <protection hidden="1"/>
    </xf>
    <xf numFmtId="0" fontId="63" fillId="25" borderId="0" xfId="0" applyFont="1" applyFill="1" applyBorder="1" applyProtection="1">
      <protection hidden="1"/>
    </xf>
    <xf numFmtId="0" fontId="0" fillId="25" borderId="0" xfId="0" applyFont="1" applyFill="1" applyBorder="1" applyProtection="1">
      <protection hidden="1"/>
    </xf>
    <xf numFmtId="0" fontId="0" fillId="33" borderId="58" xfId="0" applyFont="1" applyFill="1" applyBorder="1" applyProtection="1">
      <protection hidden="1"/>
    </xf>
    <xf numFmtId="0" fontId="0" fillId="33" borderId="26" xfId="0" applyFont="1" applyFill="1" applyBorder="1" applyProtection="1">
      <protection hidden="1"/>
    </xf>
    <xf numFmtId="0" fontId="0" fillId="33" borderId="25" xfId="0" applyFont="1" applyFill="1" applyBorder="1" applyProtection="1">
      <protection hidden="1"/>
    </xf>
    <xf numFmtId="0" fontId="0" fillId="33" borderId="19" xfId="0" applyFont="1" applyFill="1" applyBorder="1" applyProtection="1">
      <protection hidden="1"/>
    </xf>
    <xf numFmtId="0" fontId="0" fillId="33" borderId="17" xfId="0" applyFont="1" applyFill="1" applyBorder="1" applyProtection="1">
      <protection hidden="1"/>
    </xf>
    <xf numFmtId="0" fontId="7" fillId="0" borderId="0" xfId="0" applyFont="1" applyAlignment="1">
      <alignment vertical="center"/>
    </xf>
    <xf numFmtId="0" fontId="7"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8" borderId="79" xfId="0" applyFont="1" applyFill="1" applyBorder="1" applyProtection="1">
      <protection hidden="1"/>
    </xf>
    <xf numFmtId="0" fontId="0" fillId="6" borderId="76" xfId="0" applyFont="1" applyFill="1" applyBorder="1" applyProtection="1">
      <protection hidden="1"/>
    </xf>
    <xf numFmtId="0" fontId="0" fillId="6" borderId="79" xfId="0" applyFont="1" applyFill="1" applyBorder="1" applyProtection="1">
      <protection hidden="1"/>
    </xf>
    <xf numFmtId="0" fontId="0" fillId="3" borderId="0" xfId="0" applyFill="1" applyAlignment="1">
      <alignment vertical="center"/>
    </xf>
    <xf numFmtId="0" fontId="53" fillId="25" borderId="0" xfId="15" applyFill="1" applyProtection="1">
      <protection hidden="1"/>
    </xf>
    <xf numFmtId="0" fontId="53" fillId="26" borderId="0" xfId="15" applyFill="1" applyProtection="1">
      <protection hidden="1"/>
    </xf>
    <xf numFmtId="0" fontId="58" fillId="0" borderId="0" xfId="17" applyFont="1" applyAlignment="1" applyProtection="1">
      <alignment vertical="top" wrapText="1"/>
      <protection hidden="1"/>
    </xf>
    <xf numFmtId="0" fontId="60" fillId="25" borderId="0" xfId="15" applyFont="1" applyFill="1" applyBorder="1" applyAlignment="1" applyProtection="1">
      <alignment vertical="center"/>
      <protection hidden="1"/>
    </xf>
    <xf numFmtId="0" fontId="61" fillId="0" borderId="0" xfId="0" applyFont="1" applyProtection="1">
      <protection hidden="1"/>
    </xf>
    <xf numFmtId="0" fontId="0" fillId="25" borderId="0" xfId="0" applyFont="1" applyFill="1" applyProtection="1">
      <protection hidden="1"/>
    </xf>
    <xf numFmtId="0" fontId="53" fillId="25" borderId="0" xfId="15" applyFill="1" applyAlignment="1" applyProtection="1">
      <protection hidden="1"/>
    </xf>
    <xf numFmtId="0" fontId="0" fillId="24" borderId="0" xfId="0" applyFill="1"/>
    <xf numFmtId="0" fontId="0" fillId="6" borderId="79" xfId="0" applyFont="1" applyFill="1" applyBorder="1" applyAlignment="1" applyProtection="1">
      <protection hidden="1"/>
    </xf>
    <xf numFmtId="0" fontId="0" fillId="0" borderId="79" xfId="0" applyFont="1" applyBorder="1" applyProtection="1">
      <protection hidden="1"/>
    </xf>
    <xf numFmtId="49" fontId="10" fillId="0" borderId="79" xfId="0" applyNumberFormat="1" applyFont="1" applyFill="1" applyBorder="1" applyProtection="1">
      <protection hidden="1"/>
    </xf>
    <xf numFmtId="0" fontId="10" fillId="0" borderId="79" xfId="0" applyFont="1" applyFill="1" applyBorder="1" applyProtection="1">
      <protection hidden="1"/>
    </xf>
    <xf numFmtId="0" fontId="0" fillId="0" borderId="84" xfId="0" applyFont="1" applyBorder="1" applyProtection="1">
      <protection hidden="1"/>
    </xf>
    <xf numFmtId="0" fontId="0" fillId="0" borderId="85" xfId="0" applyFont="1" applyBorder="1" applyProtection="1">
      <protection hidden="1"/>
    </xf>
    <xf numFmtId="0" fontId="0" fillId="0" borderId="88" xfId="0" applyFont="1" applyBorder="1" applyProtection="1">
      <protection hidden="1"/>
    </xf>
    <xf numFmtId="0" fontId="0" fillId="0" borderId="89" xfId="0" applyFont="1" applyBorder="1" applyProtection="1">
      <protection hidden="1"/>
    </xf>
    <xf numFmtId="0" fontId="0" fillId="0" borderId="90" xfId="0" applyFont="1" applyBorder="1" applyProtection="1">
      <protection hidden="1"/>
    </xf>
    <xf numFmtId="0" fontId="0" fillId="0" borderId="85" xfId="0" applyBorder="1" applyProtection="1">
      <protection hidden="1"/>
    </xf>
    <xf numFmtId="0" fontId="0" fillId="0" borderId="90" xfId="0" applyBorder="1" applyProtection="1">
      <protection hidden="1"/>
    </xf>
    <xf numFmtId="0" fontId="10" fillId="29" borderId="23" xfId="0" applyFont="1" applyFill="1" applyBorder="1" applyProtection="1">
      <protection hidden="1"/>
    </xf>
    <xf numFmtId="0" fontId="72" fillId="25" borderId="0" xfId="15" applyFont="1" applyFill="1" applyAlignment="1" applyProtection="1">
      <protection hidden="1"/>
    </xf>
    <xf numFmtId="0" fontId="63" fillId="0" borderId="0" xfId="0" applyNumberFormat="1" applyFont="1" applyProtection="1">
      <protection hidden="1"/>
    </xf>
    <xf numFmtId="49" fontId="63" fillId="0" borderId="0" xfId="0" applyNumberFormat="1" applyFont="1" applyProtection="1">
      <protection hidden="1"/>
    </xf>
    <xf numFmtId="0" fontId="61" fillId="25" borderId="0" xfId="0" applyFont="1" applyFill="1" applyBorder="1" applyProtection="1">
      <protection hidden="1"/>
    </xf>
    <xf numFmtId="0" fontId="63" fillId="0" borderId="0" xfId="0" applyFont="1" applyBorder="1" applyProtection="1">
      <protection hidden="1"/>
    </xf>
    <xf numFmtId="0" fontId="72" fillId="25" borderId="0" xfId="15" applyFont="1" applyFill="1" applyBorder="1" applyAlignment="1" applyProtection="1">
      <protection hidden="1"/>
    </xf>
    <xf numFmtId="0" fontId="63" fillId="25" borderId="0" xfId="0" applyNumberFormat="1" applyFont="1" applyFill="1" applyBorder="1" applyProtection="1">
      <protection hidden="1"/>
    </xf>
    <xf numFmtId="49" fontId="0" fillId="0" borderId="0" xfId="0" applyNumberFormat="1" applyFont="1" applyFill="1" applyBorder="1" applyProtection="1">
      <protection hidden="1"/>
    </xf>
    <xf numFmtId="0" fontId="18" fillId="6" borderId="79" xfId="0" applyFont="1" applyFill="1" applyBorder="1" applyAlignment="1" applyProtection="1">
      <alignment horizontal="center" vertical="center"/>
      <protection hidden="1"/>
    </xf>
    <xf numFmtId="0" fontId="0" fillId="25" borderId="0" xfId="0" applyFont="1" applyFill="1" applyBorder="1" applyAlignment="1" applyProtection="1">
      <alignment wrapText="1"/>
      <protection hidden="1"/>
    </xf>
    <xf numFmtId="0" fontId="0" fillId="25" borderId="0" xfId="0" applyFont="1" applyFill="1" applyAlignment="1" applyProtection="1">
      <alignment wrapText="1"/>
      <protection hidden="1"/>
    </xf>
    <xf numFmtId="0" fontId="0" fillId="25" borderId="112" xfId="0" applyFont="1" applyFill="1" applyBorder="1" applyProtection="1">
      <protection hidden="1"/>
    </xf>
    <xf numFmtId="0" fontId="0" fillId="0" borderId="12" xfId="0" applyFont="1" applyBorder="1" applyProtection="1">
      <protection hidden="1"/>
    </xf>
    <xf numFmtId="0" fontId="0" fillId="25" borderId="12" xfId="0" applyFont="1" applyFill="1" applyBorder="1" applyProtection="1">
      <protection hidden="1"/>
    </xf>
    <xf numFmtId="0" fontId="0" fillId="25" borderId="14" xfId="0" applyFont="1" applyFill="1" applyBorder="1" applyProtection="1">
      <protection hidden="1"/>
    </xf>
    <xf numFmtId="0" fontId="0" fillId="0" borderId="0" xfId="0" applyFill="1" applyProtection="1">
      <protection hidden="1"/>
    </xf>
    <xf numFmtId="0" fontId="43" fillId="0" borderId="0" xfId="0" applyFont="1" applyFill="1" applyBorder="1" applyAlignment="1" applyProtection="1">
      <protection hidden="1"/>
    </xf>
    <xf numFmtId="0" fontId="77" fillId="25" borderId="0" xfId="15" applyFont="1" applyFill="1" applyProtection="1">
      <protection hidden="1"/>
    </xf>
    <xf numFmtId="0" fontId="77" fillId="26" borderId="0" xfId="15" applyFont="1" applyFill="1" applyProtection="1">
      <protection hidden="1"/>
    </xf>
    <xf numFmtId="0" fontId="77" fillId="25" borderId="0" xfId="15" applyFont="1" applyFill="1" applyAlignment="1" applyProtection="1">
      <protection hidden="1"/>
    </xf>
    <xf numFmtId="0" fontId="78" fillId="0" borderId="0" xfId="0" applyFont="1" applyProtection="1">
      <protection hidden="1"/>
    </xf>
    <xf numFmtId="0" fontId="78" fillId="0" borderId="0" xfId="0" applyFont="1" applyBorder="1" applyProtection="1">
      <protection hidden="1"/>
    </xf>
    <xf numFmtId="0" fontId="7" fillId="0" borderId="0" xfId="0" applyFont="1" applyAlignment="1" applyProtection="1">
      <alignment horizontal="left"/>
      <protection hidden="1"/>
    </xf>
    <xf numFmtId="0" fontId="7" fillId="25" borderId="0" xfId="0" applyFont="1" applyFill="1" applyAlignment="1" applyProtection="1">
      <alignment horizontal="left"/>
      <protection hidden="1"/>
    </xf>
    <xf numFmtId="0" fontId="43" fillId="25" borderId="0" xfId="0" applyFont="1" applyFill="1" applyBorder="1" applyAlignment="1" applyProtection="1">
      <alignment horizontal="left" indent="1"/>
      <protection hidden="1"/>
    </xf>
    <xf numFmtId="0" fontId="0" fillId="25" borderId="0" xfId="0" applyFont="1" applyFill="1" applyBorder="1" applyAlignment="1" applyProtection="1">
      <alignment horizontal="center"/>
      <protection hidden="1"/>
    </xf>
    <xf numFmtId="0" fontId="43" fillId="25" borderId="0" xfId="0" applyFont="1" applyFill="1" applyBorder="1" applyAlignment="1" applyProtection="1">
      <alignment horizontal="center" vertical="center"/>
      <protection hidden="1"/>
    </xf>
    <xf numFmtId="165" fontId="0" fillId="25" borderId="0" xfId="0" applyNumberFormat="1" applyFill="1" applyBorder="1" applyAlignment="1" applyProtection="1">
      <alignment horizontal="center" vertical="center"/>
      <protection hidden="1"/>
    </xf>
    <xf numFmtId="49" fontId="10" fillId="25" borderId="0" xfId="0" applyNumberFormat="1" applyFont="1" applyFill="1" applyBorder="1" applyProtection="1">
      <protection hidden="1"/>
    </xf>
    <xf numFmtId="0" fontId="10" fillId="25" borderId="0" xfId="0" applyFont="1" applyFill="1" applyBorder="1" applyProtection="1">
      <protection hidden="1"/>
    </xf>
    <xf numFmtId="0" fontId="0" fillId="25" borderId="0" xfId="0" applyFill="1" applyBorder="1" applyProtection="1">
      <protection hidden="1"/>
    </xf>
    <xf numFmtId="0" fontId="28" fillId="25" borderId="0" xfId="0" applyFont="1" applyFill="1" applyBorder="1" applyProtection="1">
      <protection hidden="1"/>
    </xf>
    <xf numFmtId="0" fontId="0" fillId="0" borderId="0" xfId="0" applyFont="1" applyBorder="1" applyAlignment="1" applyProtection="1">
      <alignment horizontal="left" vertical="center" indent="1"/>
      <protection hidden="1"/>
    </xf>
    <xf numFmtId="0" fontId="0" fillId="0" borderId="0" xfId="0" applyFont="1" applyAlignment="1" applyProtection="1">
      <alignment horizontal="left" vertical="center" indent="1"/>
      <protection hidden="1"/>
    </xf>
    <xf numFmtId="0" fontId="38" fillId="10" borderId="0" xfId="0" applyFont="1" applyFill="1" applyBorder="1" applyAlignment="1" applyProtection="1">
      <alignment vertical="center" wrapText="1"/>
      <protection hidden="1"/>
    </xf>
    <xf numFmtId="0" fontId="41" fillId="25" borderId="0" xfId="0" applyFont="1" applyFill="1" applyBorder="1" applyProtection="1">
      <protection hidden="1"/>
    </xf>
    <xf numFmtId="0" fontId="38" fillId="25" borderId="0" xfId="0" applyFont="1" applyFill="1" applyBorder="1" applyAlignment="1" applyProtection="1">
      <alignment vertical="center" wrapText="1"/>
      <protection hidden="1"/>
    </xf>
    <xf numFmtId="0" fontId="53" fillId="25" borderId="0" xfId="15" applyFont="1" applyFill="1" applyProtection="1">
      <protection hidden="1"/>
    </xf>
    <xf numFmtId="0" fontId="53" fillId="25" borderId="0" xfId="15" applyFont="1" applyFill="1" applyAlignment="1" applyProtection="1">
      <protection hidden="1"/>
    </xf>
    <xf numFmtId="0" fontId="52" fillId="0" borderId="0" xfId="0" applyFont="1" applyBorder="1" applyProtection="1">
      <protection hidden="1"/>
    </xf>
    <xf numFmtId="0" fontId="52" fillId="0" borderId="0" xfId="0" applyFont="1" applyProtection="1">
      <protection hidden="1"/>
    </xf>
    <xf numFmtId="0" fontId="52" fillId="25" borderId="0" xfId="0" applyFont="1" applyFill="1" applyBorder="1" applyProtection="1">
      <protection hidden="1"/>
    </xf>
    <xf numFmtId="0" fontId="0" fillId="6" borderId="122" xfId="0" applyFont="1" applyFill="1" applyBorder="1" applyProtection="1">
      <protection hidden="1"/>
    </xf>
    <xf numFmtId="0" fontId="0" fillId="0" borderId="0" xfId="0" applyFont="1" applyFill="1" applyBorder="1" applyAlignment="1" applyProtection="1">
      <protection hidden="1"/>
    </xf>
    <xf numFmtId="0" fontId="65" fillId="0" borderId="0" xfId="1" applyFont="1" applyFill="1" applyBorder="1" applyAlignment="1" applyProtection="1">
      <alignment vertical="center"/>
      <protection hidden="1"/>
    </xf>
    <xf numFmtId="0" fontId="12" fillId="0" borderId="0" xfId="0" applyFont="1" applyAlignment="1" applyProtection="1">
      <alignment vertical="top"/>
      <protection hidden="1"/>
    </xf>
    <xf numFmtId="0" fontId="0" fillId="0" borderId="0" xfId="0" applyFont="1" applyBorder="1" applyProtection="1">
      <protection hidden="1"/>
    </xf>
    <xf numFmtId="0" fontId="53" fillId="25" borderId="0" xfId="15" applyFill="1" applyAlignment="1" applyProtection="1">
      <alignment vertical="center"/>
      <protection hidden="1"/>
    </xf>
    <xf numFmtId="0" fontId="0" fillId="0" borderId="0" xfId="0" applyFont="1" applyAlignment="1" applyProtection="1">
      <alignment vertical="center"/>
      <protection hidden="1"/>
    </xf>
    <xf numFmtId="49" fontId="10" fillId="0" borderId="0" xfId="0" applyNumberFormat="1"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Alignment="1" applyProtection="1">
      <alignment vertical="center"/>
      <protection hidden="1"/>
    </xf>
    <xf numFmtId="0" fontId="0" fillId="26" borderId="0" xfId="0" applyFont="1" applyFill="1" applyBorder="1" applyAlignment="1" applyProtection="1">
      <alignment vertical="center"/>
      <protection hidden="1"/>
    </xf>
    <xf numFmtId="0" fontId="52" fillId="0" borderId="0" xfId="0" applyFont="1" applyAlignment="1" applyProtection="1">
      <alignment vertical="center"/>
      <protection hidden="1"/>
    </xf>
    <xf numFmtId="0" fontId="0" fillId="29" borderId="1" xfId="0" applyFont="1" applyFill="1" applyBorder="1" applyAlignment="1" applyProtection="1">
      <alignment vertical="center"/>
      <protection hidden="1"/>
    </xf>
    <xf numFmtId="0" fontId="0" fillId="29" borderId="19" xfId="0" applyFont="1" applyFill="1" applyBorder="1" applyAlignment="1" applyProtection="1">
      <alignment vertical="center"/>
      <protection hidden="1"/>
    </xf>
    <xf numFmtId="0" fontId="0" fillId="33" borderId="19" xfId="0" applyFont="1" applyFill="1" applyBorder="1" applyAlignment="1" applyProtection="1">
      <alignment vertical="center"/>
      <protection hidden="1"/>
    </xf>
    <xf numFmtId="49" fontId="10" fillId="29" borderId="19" xfId="0" applyNumberFormat="1" applyFont="1" applyFill="1" applyBorder="1" applyAlignment="1" applyProtection="1">
      <alignment vertical="center"/>
      <protection hidden="1"/>
    </xf>
    <xf numFmtId="0" fontId="10" fillId="29" borderId="23" xfId="0" applyFont="1" applyFill="1" applyBorder="1" applyAlignment="1" applyProtection="1">
      <alignment vertical="center"/>
      <protection hidden="1"/>
    </xf>
    <xf numFmtId="0" fontId="0" fillId="29" borderId="2" xfId="0" applyFont="1" applyFill="1" applyBorder="1" applyAlignment="1" applyProtection="1">
      <alignment vertical="center"/>
      <protection hidden="1"/>
    </xf>
    <xf numFmtId="0" fontId="0" fillId="29" borderId="26" xfId="0" applyFont="1" applyFill="1" applyBorder="1" applyAlignment="1" applyProtection="1">
      <alignment vertical="center"/>
      <protection hidden="1"/>
    </xf>
    <xf numFmtId="0" fontId="0" fillId="0" borderId="1" xfId="0" applyFont="1" applyBorder="1" applyAlignment="1" applyProtection="1">
      <alignment vertical="center"/>
      <protection hidden="1"/>
    </xf>
    <xf numFmtId="0" fontId="0" fillId="0" borderId="19" xfId="0" applyFont="1" applyBorder="1" applyAlignment="1" applyProtection="1">
      <alignment vertical="center"/>
      <protection hidden="1"/>
    </xf>
    <xf numFmtId="0" fontId="0" fillId="25" borderId="19" xfId="0" applyFont="1" applyFill="1" applyBorder="1" applyAlignment="1" applyProtection="1">
      <alignment vertical="center"/>
      <protection hidden="1"/>
    </xf>
    <xf numFmtId="49" fontId="10" fillId="25" borderId="19" xfId="0" applyNumberFormat="1" applyFont="1" applyFill="1" applyBorder="1" applyAlignment="1" applyProtection="1">
      <alignment vertical="center"/>
      <protection hidden="1"/>
    </xf>
    <xf numFmtId="0" fontId="0" fillId="0" borderId="2" xfId="0" applyFont="1" applyBorder="1" applyAlignment="1" applyProtection="1">
      <alignment vertical="center"/>
      <protection hidden="1"/>
    </xf>
    <xf numFmtId="0" fontId="0" fillId="29" borderId="25" xfId="0" applyFont="1" applyFill="1" applyBorder="1" applyAlignment="1" applyProtection="1">
      <alignment vertical="center"/>
      <protection hidden="1"/>
    </xf>
    <xf numFmtId="0" fontId="63" fillId="25" borderId="0" xfId="0" applyFont="1" applyFill="1" applyBorder="1" applyAlignment="1" applyProtection="1">
      <alignment vertical="center"/>
      <protection hidden="1"/>
    </xf>
    <xf numFmtId="0" fontId="0" fillId="29" borderId="58" xfId="0" applyFont="1" applyFill="1" applyBorder="1" applyAlignment="1" applyProtection="1">
      <alignment vertical="center"/>
      <protection hidden="1"/>
    </xf>
    <xf numFmtId="0" fontId="0" fillId="33" borderId="58"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0" fontId="0" fillId="33" borderId="26" xfId="0" applyFont="1" applyFill="1" applyBorder="1" applyAlignment="1" applyProtection="1">
      <alignment vertical="center"/>
      <protection hidden="1"/>
    </xf>
    <xf numFmtId="0" fontId="0" fillId="0" borderId="26" xfId="0" applyFont="1" applyBorder="1" applyAlignment="1" applyProtection="1">
      <alignment vertical="center"/>
      <protection hidden="1"/>
    </xf>
    <xf numFmtId="0" fontId="0" fillId="0" borderId="25" xfId="0" applyFont="1" applyBorder="1" applyAlignment="1" applyProtection="1">
      <alignment vertical="center"/>
      <protection hidden="1"/>
    </xf>
    <xf numFmtId="0" fontId="0" fillId="25" borderId="25" xfId="0" applyFont="1" applyFill="1" applyBorder="1" applyAlignment="1" applyProtection="1">
      <alignment vertical="center"/>
      <protection hidden="1"/>
    </xf>
    <xf numFmtId="0" fontId="0" fillId="25" borderId="26" xfId="0" applyFont="1" applyFill="1" applyBorder="1" applyAlignment="1" applyProtection="1">
      <alignment vertical="center"/>
      <protection hidden="1"/>
    </xf>
    <xf numFmtId="0" fontId="0" fillId="33" borderId="25" xfId="0" applyFont="1" applyFill="1" applyBorder="1" applyAlignment="1" applyProtection="1">
      <alignment vertical="center"/>
      <protection hidden="1"/>
    </xf>
    <xf numFmtId="0" fontId="0" fillId="0" borderId="27" xfId="0" applyFont="1" applyBorder="1" applyAlignment="1" applyProtection="1">
      <alignment vertical="center"/>
      <protection hidden="1"/>
    </xf>
    <xf numFmtId="0" fontId="0" fillId="0" borderId="17" xfId="0" applyFont="1" applyBorder="1" applyAlignment="1" applyProtection="1">
      <alignment vertical="center"/>
      <protection hidden="1"/>
    </xf>
    <xf numFmtId="0" fontId="0" fillId="25" borderId="17" xfId="0" applyFont="1" applyFill="1" applyBorder="1" applyAlignment="1" applyProtection="1">
      <alignment vertical="center"/>
      <protection hidden="1"/>
    </xf>
    <xf numFmtId="49" fontId="10" fillId="25" borderId="17" xfId="0" applyNumberFormat="1" applyFont="1" applyFill="1" applyBorder="1" applyAlignment="1" applyProtection="1">
      <alignment vertical="center"/>
      <protection hidden="1"/>
    </xf>
    <xf numFmtId="0" fontId="0" fillId="0" borderId="28" xfId="0" applyFont="1" applyBorder="1" applyAlignment="1" applyProtection="1">
      <alignment vertical="center"/>
      <protection hidden="1"/>
    </xf>
    <xf numFmtId="0" fontId="0" fillId="29" borderId="27" xfId="0" applyFont="1" applyFill="1" applyBorder="1" applyAlignment="1" applyProtection="1">
      <alignment vertical="center"/>
      <protection hidden="1"/>
    </xf>
    <xf numFmtId="0" fontId="0" fillId="29" borderId="17" xfId="0" applyFont="1" applyFill="1" applyBorder="1" applyAlignment="1" applyProtection="1">
      <alignment vertical="center"/>
      <protection hidden="1"/>
    </xf>
    <xf numFmtId="0" fontId="0" fillId="33" borderId="17" xfId="0" applyFont="1" applyFill="1" applyBorder="1" applyAlignment="1" applyProtection="1">
      <alignment vertical="center"/>
      <protection hidden="1"/>
    </xf>
    <xf numFmtId="49" fontId="10" fillId="29" borderId="17" xfId="0" applyNumberFormat="1" applyFont="1" applyFill="1" applyBorder="1" applyAlignment="1" applyProtection="1">
      <alignment vertical="center"/>
      <protection hidden="1"/>
    </xf>
    <xf numFmtId="0" fontId="0" fillId="29" borderId="28" xfId="0" applyFont="1" applyFill="1" applyBorder="1" applyAlignment="1" applyProtection="1">
      <alignment vertical="center"/>
      <protection hidden="1"/>
    </xf>
    <xf numFmtId="0" fontId="35" fillId="0" borderId="0" xfId="0" applyFont="1" applyFill="1" applyBorder="1" applyAlignment="1" applyProtection="1">
      <alignment vertical="center"/>
      <protection hidden="1"/>
    </xf>
    <xf numFmtId="0" fontId="81" fillId="0" borderId="0" xfId="0" applyFont="1" applyProtection="1">
      <protection hidden="1"/>
    </xf>
    <xf numFmtId="0" fontId="81" fillId="25" borderId="0" xfId="0" applyFont="1" applyFill="1" applyBorder="1" applyProtection="1">
      <protection hidden="1"/>
    </xf>
    <xf numFmtId="0" fontId="82" fillId="0" borderId="0" xfId="0" applyFont="1" applyBorder="1" applyAlignment="1" applyProtection="1">
      <alignment vertical="center"/>
      <protection hidden="1"/>
    </xf>
    <xf numFmtId="0" fontId="82" fillId="6" borderId="123" xfId="0" applyFont="1" applyFill="1" applyBorder="1" applyAlignment="1" applyProtection="1">
      <alignment vertical="center"/>
      <protection hidden="1"/>
    </xf>
    <xf numFmtId="0" fontId="82" fillId="0" borderId="123" xfId="0" applyFont="1" applyBorder="1" applyAlignment="1" applyProtection="1">
      <alignment vertical="center"/>
      <protection hidden="1"/>
    </xf>
    <xf numFmtId="0" fontId="0" fillId="25" borderId="0" xfId="0" applyFill="1" applyAlignment="1" applyProtection="1">
      <alignment vertical="center"/>
      <protection hidden="1"/>
    </xf>
    <xf numFmtId="0" fontId="53" fillId="0" borderId="0" xfId="15" applyFill="1" applyAlignment="1" applyProtection="1">
      <alignment vertical="center"/>
      <protection hidden="1"/>
    </xf>
    <xf numFmtId="0" fontId="0" fillId="0" borderId="0" xfId="0" applyFont="1" applyFill="1" applyAlignment="1" applyProtection="1">
      <alignment vertical="center"/>
      <protection hidden="1"/>
    </xf>
    <xf numFmtId="0" fontId="59" fillId="0" borderId="0" xfId="17" applyFont="1" applyFill="1" applyAlignment="1" applyProtection="1">
      <alignment vertical="center" wrapText="1"/>
      <protection hidden="1"/>
    </xf>
    <xf numFmtId="0" fontId="61" fillId="0" borderId="0" xfId="0" applyFont="1" applyFill="1" applyBorder="1" applyAlignment="1" applyProtection="1">
      <alignment vertical="center"/>
      <protection hidden="1"/>
    </xf>
    <xf numFmtId="0" fontId="84" fillId="25" borderId="0" xfId="15" applyFont="1" applyFill="1" applyAlignment="1" applyProtection="1">
      <alignment vertical="center"/>
      <protection hidden="1"/>
    </xf>
    <xf numFmtId="0" fontId="84" fillId="0" borderId="0" xfId="15" applyFont="1" applyFill="1" applyAlignment="1" applyProtection="1">
      <alignment vertical="center"/>
      <protection hidden="1"/>
    </xf>
    <xf numFmtId="0" fontId="10" fillId="0" borderId="0" xfId="0" applyFont="1" applyAlignment="1" applyProtection="1">
      <alignment vertical="center"/>
      <protection hidden="1"/>
    </xf>
    <xf numFmtId="0" fontId="0" fillId="26" borderId="0" xfId="0" applyFill="1" applyBorder="1" applyAlignment="1" applyProtection="1">
      <alignment vertical="center"/>
      <protection hidden="1"/>
    </xf>
    <xf numFmtId="0" fontId="86" fillId="25" borderId="0" xfId="15" applyFont="1" applyFill="1" applyAlignment="1" applyProtection="1">
      <alignment vertical="center"/>
      <protection hidden="1"/>
    </xf>
    <xf numFmtId="0" fontId="82" fillId="0" borderId="129" xfId="0" applyFont="1" applyBorder="1" applyAlignment="1" applyProtection="1">
      <alignment vertical="center"/>
      <protection hidden="1"/>
    </xf>
    <xf numFmtId="0" fontId="82" fillId="0" borderId="15" xfId="0" applyFont="1" applyBorder="1" applyAlignment="1" applyProtection="1">
      <alignment vertical="center"/>
      <protection hidden="1"/>
    </xf>
    <xf numFmtId="0" fontId="0" fillId="0" borderId="0" xfId="0" applyFont="1" applyBorder="1" applyProtection="1">
      <protection hidden="1"/>
    </xf>
    <xf numFmtId="0" fontId="0" fillId="0" borderId="0" xfId="0" applyFont="1" applyBorder="1" applyProtection="1">
      <protection hidden="1"/>
    </xf>
    <xf numFmtId="0" fontId="0" fillId="6" borderId="79" xfId="0" applyFont="1" applyFill="1" applyBorder="1" applyAlignment="1" applyProtection="1">
      <alignment vertical="center"/>
      <protection hidden="1"/>
    </xf>
    <xf numFmtId="0" fontId="0" fillId="0" borderId="134" xfId="0" applyFont="1" applyBorder="1" applyProtection="1">
      <protection hidden="1"/>
    </xf>
    <xf numFmtId="49" fontId="10" fillId="0" borderId="134" xfId="0" applyNumberFormat="1" applyFont="1" applyFill="1" applyBorder="1" applyProtection="1">
      <protection hidden="1"/>
    </xf>
    <xf numFmtId="0" fontId="10" fillId="0" borderId="134" xfId="0" applyFont="1" applyFill="1" applyBorder="1" applyProtection="1">
      <protection hidden="1"/>
    </xf>
    <xf numFmtId="0" fontId="0" fillId="0" borderId="0" xfId="0" applyBorder="1" applyAlignment="1" applyProtection="1">
      <alignment vertical="center"/>
      <protection locked="0" hidden="1"/>
    </xf>
    <xf numFmtId="0" fontId="0" fillId="0" borderId="25" xfId="0" applyBorder="1" applyAlignment="1" applyProtection="1">
      <alignment vertical="center"/>
      <protection hidden="1"/>
    </xf>
    <xf numFmtId="0" fontId="63" fillId="0" borderId="19" xfId="0" applyFont="1" applyBorder="1" applyAlignment="1" applyProtection="1">
      <alignment vertical="center"/>
      <protection hidden="1"/>
    </xf>
    <xf numFmtId="0" fontId="0" fillId="0" borderId="0" xfId="0" applyFont="1" applyBorder="1" applyProtection="1">
      <protection hidden="1"/>
    </xf>
    <xf numFmtId="0" fontId="0" fillId="0" borderId="0" xfId="0" applyFont="1" applyBorder="1" applyProtection="1">
      <protection hidden="1"/>
    </xf>
    <xf numFmtId="0" fontId="0" fillId="0" borderId="0" xfId="0" applyAlignment="1" applyProtection="1">
      <protection hidden="1"/>
    </xf>
    <xf numFmtId="0" fontId="33" fillId="0" borderId="0" xfId="0" applyFont="1" applyAlignment="1" applyProtection="1">
      <alignment vertical="center"/>
      <protection hidden="1"/>
    </xf>
    <xf numFmtId="0" fontId="0" fillId="0" borderId="0" xfId="0" applyFont="1" applyFill="1" applyBorder="1" applyAlignment="1" applyProtection="1">
      <protection locked="0" hidden="1"/>
    </xf>
    <xf numFmtId="0" fontId="82" fillId="0" borderId="123" xfId="0" applyFont="1" applyBorder="1" applyAlignment="1" applyProtection="1">
      <alignment horizontal="left" vertical="center" indent="1"/>
      <protection hidden="1"/>
    </xf>
    <xf numFmtId="0" fontId="0" fillId="0" borderId="0" xfId="0" applyBorder="1" applyAlignment="1" applyProtection="1">
      <alignment horizontal="left" indent="1"/>
      <protection hidden="1"/>
    </xf>
    <xf numFmtId="0" fontId="0" fillId="0" borderId="135" xfId="0" applyBorder="1" applyProtection="1">
      <protection hidden="1"/>
    </xf>
    <xf numFmtId="0" fontId="0" fillId="0" borderId="75" xfId="0" applyBorder="1" applyAlignment="1" applyProtection="1">
      <alignment horizontal="left" indent="1"/>
      <protection hidden="1"/>
    </xf>
    <xf numFmtId="0" fontId="82" fillId="0" borderId="137" xfId="0" applyFont="1" applyBorder="1" applyAlignment="1" applyProtection="1">
      <alignment horizontal="left" vertical="center" indent="1"/>
      <protection hidden="1"/>
    </xf>
    <xf numFmtId="0" fontId="0" fillId="0" borderId="75" xfId="0" applyBorder="1" applyProtection="1">
      <protection hidden="1"/>
    </xf>
    <xf numFmtId="0" fontId="0" fillId="0" borderId="0" xfId="0" applyFont="1" applyBorder="1" applyProtection="1">
      <protection hidden="1"/>
    </xf>
    <xf numFmtId="0" fontId="90" fillId="0" borderId="0" xfId="0" applyFont="1" applyFill="1" applyBorder="1" applyAlignment="1" applyProtection="1">
      <alignment vertical="center"/>
      <protection hidden="1"/>
    </xf>
    <xf numFmtId="0" fontId="63" fillId="0" borderId="0" xfId="0" applyFont="1" applyFill="1" applyBorder="1" applyAlignment="1" applyProtection="1">
      <protection hidden="1"/>
    </xf>
    <xf numFmtId="9" fontId="41" fillId="0" borderId="0" xfId="0" applyNumberFormat="1" applyFont="1" applyFill="1" applyBorder="1" applyAlignment="1" applyProtection="1">
      <alignment vertical="center"/>
      <protection hidden="1"/>
    </xf>
    <xf numFmtId="0" fontId="41" fillId="0" borderId="0" xfId="0" applyFont="1" applyFill="1" applyBorder="1" applyAlignment="1" applyProtection="1">
      <alignment vertical="center"/>
      <protection hidden="1"/>
    </xf>
    <xf numFmtId="0" fontId="0" fillId="27" borderId="0" xfId="0" applyFont="1" applyFill="1" applyProtection="1">
      <protection hidden="1"/>
    </xf>
    <xf numFmtId="49" fontId="10" fillId="27" borderId="0" xfId="0" applyNumberFormat="1" applyFont="1" applyFill="1" applyBorder="1" applyProtection="1">
      <protection hidden="1"/>
    </xf>
    <xf numFmtId="0" fontId="10" fillId="27" borderId="0" xfId="0" applyFont="1" applyFill="1" applyBorder="1" applyProtection="1">
      <protection hidden="1"/>
    </xf>
    <xf numFmtId="0" fontId="0" fillId="36" borderId="122" xfId="0" applyFont="1" applyFill="1" applyBorder="1" applyProtection="1">
      <protection hidden="1"/>
    </xf>
    <xf numFmtId="0" fontId="0" fillId="0" borderId="122" xfId="0" applyFont="1" applyBorder="1" applyProtection="1">
      <protection hidden="1"/>
    </xf>
    <xf numFmtId="0" fontId="0" fillId="0" borderId="122" xfId="0" applyBorder="1" applyProtection="1">
      <protection hidden="1"/>
    </xf>
    <xf numFmtId="0" fontId="0" fillId="25" borderId="122" xfId="0" applyFill="1" applyBorder="1" applyProtection="1">
      <protection hidden="1"/>
    </xf>
    <xf numFmtId="0" fontId="0" fillId="25" borderId="122" xfId="0" applyFont="1" applyFill="1" applyBorder="1" applyProtection="1">
      <protection hidden="1"/>
    </xf>
    <xf numFmtId="0" fontId="27" fillId="0" borderId="0" xfId="0" applyFont="1" applyFill="1" applyBorder="1" applyAlignment="1" applyProtection="1">
      <protection hidden="1"/>
    </xf>
    <xf numFmtId="0" fontId="0" fillId="0" borderId="140" xfId="0" applyBorder="1" applyAlignment="1" applyProtection="1">
      <alignment vertical="center"/>
      <protection hidden="1"/>
    </xf>
    <xf numFmtId="0" fontId="0" fillId="6" borderId="0" xfId="0" applyFill="1"/>
    <xf numFmtId="0" fontId="53" fillId="25" borderId="0" xfId="15" applyFill="1" applyProtection="1">
      <protection locked="0" hidden="1"/>
    </xf>
    <xf numFmtId="0" fontId="53" fillId="0" borderId="0" xfId="15" applyFill="1" applyProtection="1">
      <protection locked="0" hidden="1"/>
    </xf>
    <xf numFmtId="0" fontId="53" fillId="26" borderId="0" xfId="15" applyFill="1" applyProtection="1">
      <protection locked="0" hidden="1"/>
    </xf>
    <xf numFmtId="0" fontId="54" fillId="0" borderId="0" xfId="16" applyFill="1" applyAlignment="1" applyProtection="1">
      <protection locked="0" hidden="1"/>
    </xf>
    <xf numFmtId="0" fontId="0" fillId="0" borderId="0" xfId="0" applyFont="1" applyFill="1" applyBorder="1" applyProtection="1">
      <protection locked="0" hidden="1"/>
    </xf>
    <xf numFmtId="0" fontId="0" fillId="0" borderId="0" xfId="0" applyFont="1" applyFill="1" applyProtection="1">
      <protection locked="0" hidden="1"/>
    </xf>
    <xf numFmtId="0" fontId="53" fillId="0" borderId="0" xfId="15" applyFill="1" applyBorder="1" applyProtection="1">
      <protection locked="0" hidden="1"/>
    </xf>
    <xf numFmtId="0" fontId="74" fillId="0" borderId="0" xfId="0" applyFont="1" applyFill="1" applyBorder="1" applyAlignment="1" applyProtection="1">
      <protection locked="0" hidden="1"/>
    </xf>
    <xf numFmtId="0" fontId="56" fillId="0" borderId="0" xfId="15" applyFont="1" applyFill="1" applyProtection="1">
      <protection locked="0" hidden="1"/>
    </xf>
    <xf numFmtId="0" fontId="57" fillId="0" borderId="0" xfId="15" applyFont="1" applyFill="1" applyProtection="1">
      <protection locked="0" hidden="1"/>
    </xf>
    <xf numFmtId="0" fontId="0" fillId="0" borderId="0" xfId="0" applyProtection="1">
      <protection locked="0"/>
    </xf>
    <xf numFmtId="0" fontId="0" fillId="0" borderId="0" xfId="0" applyAlignment="1" applyProtection="1">
      <protection locked="0"/>
    </xf>
    <xf numFmtId="0" fontId="0" fillId="0" borderId="0" xfId="0" applyAlignment="1" applyProtection="1">
      <alignment horizontal="left"/>
      <protection locked="0"/>
    </xf>
    <xf numFmtId="0" fontId="12" fillId="0" borderId="0" xfId="0" applyFont="1" applyFill="1" applyProtection="1">
      <protection locked="0"/>
    </xf>
    <xf numFmtId="0" fontId="12" fillId="2" borderId="1" xfId="0" applyFont="1" applyFill="1" applyBorder="1" applyProtection="1">
      <protection locked="0"/>
    </xf>
    <xf numFmtId="0" fontId="12" fillId="2" borderId="2" xfId="0" applyFont="1" applyFill="1" applyBorder="1" applyProtection="1">
      <protection locked="0"/>
    </xf>
    <xf numFmtId="0" fontId="12" fillId="3" borderId="3" xfId="0" applyFont="1" applyFill="1" applyBorder="1" applyProtection="1">
      <protection locked="0"/>
    </xf>
    <xf numFmtId="0" fontId="13" fillId="4" borderId="39" xfId="9" applyFont="1" applyFill="1" applyBorder="1" applyAlignment="1" applyProtection="1">
      <alignment vertical="center"/>
      <protection locked="0"/>
    </xf>
    <xf numFmtId="0" fontId="12" fillId="4" borderId="40" xfId="0" applyFont="1" applyFill="1" applyBorder="1" applyAlignment="1" applyProtection="1">
      <alignment horizontal="center"/>
      <protection locked="0"/>
    </xf>
    <xf numFmtId="0" fontId="12" fillId="4" borderId="41" xfId="0" applyFont="1" applyFill="1" applyBorder="1" applyAlignment="1" applyProtection="1">
      <alignment horizontal="center"/>
      <protection locked="0"/>
    </xf>
    <xf numFmtId="0" fontId="13" fillId="9" borderId="92" xfId="9" applyFont="1" applyFill="1" applyBorder="1" applyAlignment="1" applyProtection="1">
      <alignment vertical="center"/>
      <protection locked="0"/>
    </xf>
    <xf numFmtId="0" fontId="13" fillId="0" borderId="92" xfId="9" applyFont="1" applyFill="1" applyBorder="1" applyAlignment="1" applyProtection="1">
      <alignment horizontal="left" vertical="center"/>
      <protection locked="0"/>
    </xf>
    <xf numFmtId="0" fontId="13" fillId="0" borderId="93" xfId="9" applyFont="1" applyFill="1" applyBorder="1" applyAlignment="1" applyProtection="1">
      <alignment horizontal="left" vertical="center"/>
      <protection locked="0"/>
    </xf>
    <xf numFmtId="0" fontId="13" fillId="0" borderId="3" xfId="9" applyFont="1" applyFill="1" applyBorder="1" applyAlignment="1" applyProtection="1">
      <alignment horizontal="left" vertical="center"/>
      <protection locked="0"/>
    </xf>
    <xf numFmtId="0" fontId="13" fillId="0" borderId="95" xfId="9" applyFont="1" applyFill="1" applyBorder="1" applyAlignment="1" applyProtection="1">
      <alignment horizontal="left" vertical="center"/>
      <protection locked="0"/>
    </xf>
    <xf numFmtId="0" fontId="13" fillId="0" borderId="3" xfId="9" applyFont="1" applyFill="1" applyBorder="1" applyAlignment="1" applyProtection="1">
      <alignment horizontal="left"/>
      <protection locked="0"/>
    </xf>
    <xf numFmtId="0" fontId="13" fillId="0" borderId="95" xfId="9" applyFont="1" applyFill="1" applyBorder="1" applyAlignment="1" applyProtection="1">
      <alignment horizontal="left"/>
      <protection locked="0"/>
    </xf>
    <xf numFmtId="1" fontId="13" fillId="2" borderId="3" xfId="0" applyNumberFormat="1" applyFont="1" applyFill="1" applyBorder="1" applyProtection="1">
      <protection locked="0"/>
    </xf>
    <xf numFmtId="0" fontId="13" fillId="2" borderId="3" xfId="9" applyFont="1" applyFill="1" applyBorder="1" applyAlignment="1" applyProtection="1">
      <alignment horizontal="left"/>
      <protection locked="0"/>
    </xf>
    <xf numFmtId="0" fontId="13" fillId="2" borderId="92" xfId="9" applyFont="1" applyFill="1" applyBorder="1" applyAlignment="1" applyProtection="1">
      <alignment horizontal="left" vertical="center"/>
      <protection locked="0"/>
    </xf>
    <xf numFmtId="0" fontId="0" fillId="2" borderId="0" xfId="0" applyFill="1" applyBorder="1" applyProtection="1">
      <protection locked="0"/>
    </xf>
    <xf numFmtId="0" fontId="13" fillId="2" borderId="3" xfId="9" applyFont="1" applyFill="1" applyBorder="1" applyAlignment="1" applyProtection="1">
      <alignment horizontal="left" vertical="center"/>
      <protection locked="0"/>
    </xf>
    <xf numFmtId="0" fontId="0" fillId="0" borderId="0" xfId="0" applyBorder="1" applyProtection="1">
      <protection locked="0"/>
    </xf>
    <xf numFmtId="0" fontId="13" fillId="0" borderId="58" xfId="9" applyFont="1" applyFill="1" applyBorder="1" applyAlignment="1" applyProtection="1">
      <alignment horizontal="left" vertical="center"/>
      <protection locked="0"/>
    </xf>
    <xf numFmtId="0" fontId="0" fillId="0" borderId="8" xfId="0" applyBorder="1" applyProtection="1">
      <protection locked="0"/>
    </xf>
    <xf numFmtId="0" fontId="13" fillId="0" borderId="58" xfId="0" applyFont="1" applyFill="1" applyBorder="1" applyProtection="1">
      <protection locked="0"/>
    </xf>
    <xf numFmtId="2" fontId="13" fillId="0" borderId="58" xfId="0" applyNumberFormat="1" applyFont="1" applyFill="1" applyBorder="1" applyProtection="1">
      <protection locked="0"/>
    </xf>
    <xf numFmtId="1" fontId="13" fillId="0" borderId="58" xfId="0" applyNumberFormat="1" applyFont="1" applyFill="1" applyBorder="1" applyProtection="1">
      <protection locked="0"/>
    </xf>
    <xf numFmtId="0" fontId="0" fillId="0" borderId="0" xfId="0" applyFill="1" applyBorder="1" applyProtection="1">
      <protection locked="0"/>
    </xf>
    <xf numFmtId="0" fontId="13" fillId="0" borderId="0" xfId="9" applyFont="1" applyFill="1" applyBorder="1" applyAlignment="1" applyProtection="1">
      <alignment horizontal="left" vertical="center"/>
      <protection locked="0"/>
    </xf>
    <xf numFmtId="0" fontId="0" fillId="2" borderId="9" xfId="0" applyFill="1" applyBorder="1" applyProtection="1">
      <protection locked="0"/>
    </xf>
    <xf numFmtId="0" fontId="0" fillId="0" borderId="0" xfId="0" applyFill="1" applyProtection="1">
      <protection locked="0"/>
    </xf>
    <xf numFmtId="0" fontId="13" fillId="0" borderId="0" xfId="9" applyFont="1" applyFill="1" applyBorder="1" applyProtection="1">
      <protection locked="0"/>
    </xf>
    <xf numFmtId="0" fontId="13" fillId="0" borderId="0" xfId="0" applyFont="1" applyFill="1" applyBorder="1" applyProtection="1">
      <protection locked="0"/>
    </xf>
    <xf numFmtId="2" fontId="13" fillId="0" borderId="0" xfId="0" applyNumberFormat="1" applyFont="1" applyFill="1" applyBorder="1" applyProtection="1">
      <protection locked="0"/>
    </xf>
    <xf numFmtId="1" fontId="13" fillId="0" borderId="0" xfId="0" applyNumberFormat="1" applyFont="1" applyFill="1" applyBorder="1" applyProtection="1">
      <protection locked="0"/>
    </xf>
    <xf numFmtId="0" fontId="13" fillId="0" borderId="0" xfId="9" applyFont="1" applyFill="1" applyBorder="1" applyAlignment="1" applyProtection="1">
      <alignment vertical="center"/>
      <protection locked="0"/>
    </xf>
    <xf numFmtId="0" fontId="13" fillId="6" borderId="120" xfId="9" applyFont="1" applyFill="1" applyBorder="1" applyProtection="1">
      <protection locked="0"/>
    </xf>
    <xf numFmtId="0" fontId="13" fillId="6" borderId="92" xfId="9" applyFont="1" applyFill="1" applyBorder="1" applyProtection="1">
      <protection locked="0"/>
    </xf>
    <xf numFmtId="0" fontId="13" fillId="6" borderId="93" xfId="9" applyFont="1" applyFill="1" applyBorder="1" applyProtection="1">
      <protection locked="0"/>
    </xf>
    <xf numFmtId="0" fontId="13" fillId="0" borderId="11" xfId="0" applyFont="1" applyBorder="1" applyProtection="1">
      <protection locked="0"/>
    </xf>
    <xf numFmtId="2" fontId="13" fillId="0" borderId="11" xfId="0" applyNumberFormat="1" applyFont="1" applyFill="1" applyBorder="1" applyProtection="1">
      <protection locked="0"/>
    </xf>
    <xf numFmtId="1" fontId="13" fillId="0" borderId="11" xfId="0" applyNumberFormat="1" applyFont="1" applyFill="1" applyBorder="1" applyProtection="1">
      <protection locked="0"/>
    </xf>
    <xf numFmtId="0" fontId="13" fillId="0" borderId="11" xfId="9" applyFont="1" applyFill="1" applyBorder="1" applyAlignment="1" applyProtection="1">
      <alignment horizontal="left" vertical="center"/>
      <protection locked="0"/>
    </xf>
    <xf numFmtId="0" fontId="13" fillId="0" borderId="11" xfId="9" applyFont="1" applyFill="1" applyBorder="1" applyAlignment="1" applyProtection="1">
      <alignment vertical="center"/>
      <protection locked="0"/>
    </xf>
    <xf numFmtId="0" fontId="13" fillId="0" borderId="14" xfId="9" applyFont="1" applyFill="1" applyBorder="1" applyAlignment="1" applyProtection="1">
      <alignment horizontal="left" vertical="center"/>
      <protection locked="0"/>
    </xf>
    <xf numFmtId="0" fontId="13" fillId="6" borderId="97" xfId="9" applyFont="1" applyFill="1" applyBorder="1" applyProtection="1">
      <protection locked="0"/>
    </xf>
    <xf numFmtId="0" fontId="13" fillId="6" borderId="121" xfId="9" applyFont="1" applyFill="1" applyBorder="1" applyProtection="1">
      <protection locked="0"/>
    </xf>
    <xf numFmtId="0" fontId="13" fillId="0" borderId="0" xfId="0" applyFont="1" applyBorder="1" applyProtection="1">
      <protection locked="0"/>
    </xf>
    <xf numFmtId="0" fontId="13" fillId="0" borderId="8" xfId="9" applyFont="1" applyFill="1" applyBorder="1" applyAlignment="1" applyProtection="1">
      <alignment horizontal="left" vertical="center"/>
      <protection locked="0"/>
    </xf>
    <xf numFmtId="0" fontId="76" fillId="30" borderId="92" xfId="9" applyFont="1" applyFill="1" applyBorder="1" applyProtection="1">
      <protection locked="0"/>
    </xf>
    <xf numFmtId="0" fontId="76" fillId="30" borderId="93" xfId="9" applyFont="1" applyFill="1" applyBorder="1" applyProtection="1">
      <protection locked="0"/>
    </xf>
    <xf numFmtId="0" fontId="76" fillId="30" borderId="97" xfId="9" applyFont="1" applyFill="1" applyBorder="1" applyProtection="1">
      <protection locked="0"/>
    </xf>
    <xf numFmtId="0" fontId="76" fillId="30" borderId="121" xfId="9" applyFont="1" applyFill="1" applyBorder="1" applyProtection="1">
      <protection locked="0"/>
    </xf>
    <xf numFmtId="0" fontId="46" fillId="0" borderId="0" xfId="0" applyFont="1" applyFill="1" applyBorder="1" applyAlignment="1" applyProtection="1">
      <alignment horizontal="center" vertical="center" textRotation="90" wrapText="1"/>
      <protection locked="0"/>
    </xf>
    <xf numFmtId="0" fontId="13" fillId="0" borderId="9" xfId="0" applyFont="1" applyBorder="1" applyProtection="1">
      <protection locked="0"/>
    </xf>
    <xf numFmtId="2" fontId="13" fillId="0" borderId="9" xfId="0" applyNumberFormat="1" applyFont="1" applyFill="1" applyBorder="1" applyProtection="1">
      <protection locked="0"/>
    </xf>
    <xf numFmtId="1" fontId="13" fillId="0" borderId="9" xfId="0" applyNumberFormat="1" applyFont="1" applyFill="1" applyBorder="1" applyProtection="1">
      <protection locked="0"/>
    </xf>
    <xf numFmtId="0" fontId="13" fillId="0" borderId="9" xfId="9" applyFont="1" applyFill="1" applyBorder="1" applyAlignment="1" applyProtection="1">
      <alignment horizontal="left" vertical="center"/>
      <protection locked="0"/>
    </xf>
    <xf numFmtId="0" fontId="13" fillId="0" borderId="9" xfId="9" applyFont="1" applyFill="1" applyBorder="1" applyAlignment="1" applyProtection="1">
      <alignment vertical="center"/>
      <protection locked="0"/>
    </xf>
    <xf numFmtId="0" fontId="13" fillId="0" borderId="21" xfId="9" applyFont="1" applyFill="1" applyBorder="1" applyAlignment="1" applyProtection="1">
      <alignment horizontal="left" vertical="center"/>
      <protection locked="0"/>
    </xf>
    <xf numFmtId="0" fontId="13" fillId="9" borderId="0" xfId="9" applyFont="1" applyFill="1" applyBorder="1" applyProtection="1">
      <protection locked="0"/>
    </xf>
    <xf numFmtId="0" fontId="13" fillId="0" borderId="3" xfId="0" applyFont="1" applyFill="1" applyBorder="1" applyProtection="1">
      <protection locked="0"/>
    </xf>
    <xf numFmtId="0" fontId="13" fillId="4" borderId="40" xfId="9" applyFont="1" applyFill="1" applyBorder="1" applyProtection="1">
      <protection locked="0"/>
    </xf>
    <xf numFmtId="0" fontId="13" fillId="0" borderId="99" xfId="9" applyFont="1" applyFill="1" applyBorder="1" applyAlignment="1" applyProtection="1">
      <alignment horizontal="left"/>
      <protection locked="0"/>
    </xf>
    <xf numFmtId="0" fontId="13" fillId="0" borderId="100" xfId="9" applyFont="1" applyFill="1" applyBorder="1" applyAlignment="1" applyProtection="1">
      <alignment horizontal="left"/>
      <protection locked="0"/>
    </xf>
    <xf numFmtId="0" fontId="13" fillId="0" borderId="104" xfId="9" applyFont="1" applyFill="1" applyBorder="1" applyAlignment="1" applyProtection="1">
      <alignment horizontal="left"/>
      <protection locked="0"/>
    </xf>
    <xf numFmtId="0" fontId="13" fillId="0" borderId="32" xfId="9" applyFont="1" applyFill="1" applyBorder="1" applyAlignment="1" applyProtection="1">
      <alignment horizontal="left"/>
      <protection locked="0"/>
    </xf>
    <xf numFmtId="0" fontId="13" fillId="0" borderId="33" xfId="9" applyFont="1" applyFill="1" applyBorder="1" applyAlignment="1" applyProtection="1">
      <alignment horizontal="left"/>
      <protection locked="0"/>
    </xf>
    <xf numFmtId="0" fontId="13" fillId="0" borderId="105" xfId="9" applyFont="1" applyFill="1" applyBorder="1" applyAlignment="1" applyProtection="1">
      <alignment horizontal="left"/>
      <protection locked="0"/>
    </xf>
    <xf numFmtId="0" fontId="13" fillId="0" borderId="60" xfId="9" applyFont="1" applyFill="1" applyBorder="1" applyAlignment="1" applyProtection="1">
      <alignment horizontal="left"/>
      <protection locked="0"/>
    </xf>
    <xf numFmtId="0" fontId="13" fillId="0" borderId="6" xfId="9" applyFont="1" applyFill="1" applyBorder="1" applyAlignment="1" applyProtection="1">
      <alignment horizontal="left"/>
      <protection locked="0"/>
    </xf>
    <xf numFmtId="0" fontId="13" fillId="0" borderId="31" xfId="9" applyFont="1" applyFill="1" applyBorder="1" applyAlignment="1" applyProtection="1">
      <alignment horizontal="left"/>
      <protection locked="0"/>
    </xf>
    <xf numFmtId="0" fontId="13" fillId="0" borderId="106" xfId="9" applyFont="1" applyFill="1" applyBorder="1" applyAlignment="1" applyProtection="1">
      <alignment horizontal="left"/>
      <protection locked="0"/>
    </xf>
    <xf numFmtId="0" fontId="13" fillId="0" borderId="107" xfId="9" applyFont="1" applyFill="1" applyBorder="1" applyAlignment="1" applyProtection="1">
      <alignment horizontal="left"/>
      <protection locked="0"/>
    </xf>
    <xf numFmtId="0" fontId="13" fillId="0" borderId="37" xfId="9" applyFont="1" applyFill="1" applyBorder="1" applyAlignment="1" applyProtection="1">
      <alignment horizontal="left"/>
      <protection locked="0"/>
    </xf>
    <xf numFmtId="0" fontId="13" fillId="0" borderId="108" xfId="9" applyFont="1" applyFill="1" applyBorder="1" applyAlignment="1" applyProtection="1">
      <alignment horizontal="left"/>
      <protection locked="0"/>
    </xf>
    <xf numFmtId="0" fontId="13" fillId="0" borderId="32" xfId="5" applyFont="1" applyFill="1" applyBorder="1" applyAlignment="1" applyProtection="1">
      <alignment horizontal="left"/>
      <protection locked="0"/>
    </xf>
    <xf numFmtId="0" fontId="13" fillId="0" borderId="6" xfId="5" applyFont="1" applyFill="1" applyBorder="1" applyAlignment="1" applyProtection="1">
      <alignment horizontal="left"/>
      <protection locked="0"/>
    </xf>
    <xf numFmtId="0" fontId="13" fillId="0" borderId="72" xfId="5" applyFont="1" applyFill="1" applyBorder="1" applyAlignment="1" applyProtection="1">
      <alignment horizontal="left"/>
      <protection locked="0"/>
    </xf>
    <xf numFmtId="0" fontId="13" fillId="0" borderId="36" xfId="9" applyFont="1" applyFill="1" applyBorder="1" applyAlignment="1" applyProtection="1">
      <alignment horizontal="left"/>
      <protection locked="0"/>
    </xf>
    <xf numFmtId="0" fontId="13" fillId="0" borderId="109" xfId="9" applyFont="1" applyFill="1" applyBorder="1" applyAlignment="1" applyProtection="1">
      <alignment horizontal="left"/>
      <protection locked="0"/>
    </xf>
    <xf numFmtId="0" fontId="13" fillId="0" borderId="5" xfId="5" applyFont="1" applyFill="1" applyBorder="1" applyAlignment="1" applyProtection="1">
      <alignment horizontal="left"/>
      <protection locked="0"/>
    </xf>
    <xf numFmtId="0" fontId="13" fillId="0" borderId="33" xfId="5" applyFont="1" applyFill="1" applyBorder="1" applyAlignment="1" applyProtection="1">
      <alignment horizontal="left"/>
      <protection locked="0"/>
    </xf>
    <xf numFmtId="0" fontId="13" fillId="0" borderId="105" xfId="5" applyFont="1" applyFill="1" applyBorder="1" applyAlignment="1" applyProtection="1">
      <alignment horizontal="left"/>
      <protection locked="0"/>
    </xf>
    <xf numFmtId="0" fontId="13" fillId="0" borderId="31" xfId="5" applyFont="1" applyFill="1" applyBorder="1" applyAlignment="1" applyProtection="1">
      <alignment horizontal="left"/>
      <protection locked="0"/>
    </xf>
    <xf numFmtId="0" fontId="13" fillId="0" borderId="106" xfId="5" applyFont="1" applyFill="1" applyBorder="1" applyAlignment="1" applyProtection="1">
      <alignment horizontal="left"/>
      <protection locked="0"/>
    </xf>
    <xf numFmtId="0" fontId="13" fillId="0" borderId="70" xfId="5" applyFont="1" applyFill="1" applyBorder="1" applyAlignment="1" applyProtection="1">
      <alignment horizontal="left"/>
      <protection locked="0"/>
    </xf>
    <xf numFmtId="0" fontId="13" fillId="0" borderId="110" xfId="5" applyFont="1" applyFill="1" applyBorder="1" applyAlignment="1" applyProtection="1">
      <alignment horizontal="left"/>
      <protection locked="0"/>
    </xf>
    <xf numFmtId="0" fontId="13" fillId="0" borderId="66" xfId="5" applyFont="1" applyFill="1" applyBorder="1" applyAlignment="1" applyProtection="1">
      <alignment horizontal="left"/>
      <protection locked="0"/>
    </xf>
    <xf numFmtId="0" fontId="13" fillId="0" borderId="111" xfId="5" applyFont="1" applyFill="1" applyBorder="1" applyAlignment="1" applyProtection="1">
      <alignment horizontal="left"/>
      <protection locked="0"/>
    </xf>
    <xf numFmtId="0" fontId="13" fillId="0" borderId="7" xfId="5" applyFont="1" applyFill="1" applyBorder="1" applyAlignment="1" applyProtection="1">
      <alignment horizontal="left"/>
      <protection locked="0"/>
    </xf>
    <xf numFmtId="0" fontId="13" fillId="0" borderId="0" xfId="5" applyFont="1" applyFill="1" applyBorder="1" applyAlignment="1" applyProtection="1">
      <alignment horizontal="left"/>
      <protection locked="0"/>
    </xf>
    <xf numFmtId="0" fontId="13" fillId="0" borderId="9" xfId="5"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3" xfId="0" applyBorder="1" applyProtection="1">
      <protection locked="0"/>
    </xf>
    <xf numFmtId="0" fontId="0" fillId="0" borderId="3" xfId="0" applyBorder="1" applyAlignment="1" applyProtection="1">
      <protection locked="0"/>
    </xf>
    <xf numFmtId="0" fontId="30" fillId="0" borderId="3" xfId="0" applyFont="1" applyBorder="1" applyProtection="1">
      <protection locked="0"/>
    </xf>
    <xf numFmtId="0" fontId="14" fillId="0" borderId="3" xfId="0" applyFont="1" applyBorder="1" applyProtection="1">
      <protection locked="0"/>
    </xf>
    <xf numFmtId="0" fontId="14" fillId="0" borderId="3" xfId="0" applyFont="1" applyFill="1" applyBorder="1" applyProtection="1">
      <protection locked="0"/>
    </xf>
    <xf numFmtId="0" fontId="10" fillId="2" borderId="3" xfId="0" applyFont="1" applyFill="1" applyBorder="1" applyAlignment="1" applyProtection="1">
      <alignment horizontal="left"/>
      <protection locked="0"/>
    </xf>
    <xf numFmtId="0" fontId="10" fillId="2" borderId="3" xfId="0" applyFont="1" applyFill="1" applyBorder="1" applyProtection="1">
      <protection locked="0"/>
    </xf>
    <xf numFmtId="0" fontId="0" fillId="0" borderId="3" xfId="0" applyFont="1" applyBorder="1" applyProtection="1">
      <protection locked="0"/>
    </xf>
    <xf numFmtId="0" fontId="31" fillId="0" borderId="3" xfId="0" applyFont="1" applyBorder="1" applyProtection="1">
      <protection locked="0"/>
    </xf>
    <xf numFmtId="49" fontId="0" fillId="0" borderId="3" xfId="0" applyNumberFormat="1" applyBorder="1" applyProtection="1">
      <protection locked="0"/>
    </xf>
    <xf numFmtId="0" fontId="0" fillId="0" borderId="0" xfId="0" applyBorder="1" applyAlignment="1" applyProtection="1">
      <alignment horizontal="left"/>
      <protection locked="0"/>
    </xf>
    <xf numFmtId="0" fontId="0" fillId="9" borderId="0" xfId="0" applyFill="1" applyProtection="1">
      <protection locked="0"/>
    </xf>
    <xf numFmtId="0" fontId="0" fillId="9" borderId="0" xfId="0" applyFill="1" applyBorder="1" applyAlignment="1" applyProtection="1">
      <alignment horizontal="left"/>
      <protection locked="0"/>
    </xf>
    <xf numFmtId="0" fontId="0" fillId="9" borderId="0" xfId="0" applyFill="1" applyBorder="1" applyProtection="1">
      <protection locked="0"/>
    </xf>
    <xf numFmtId="0" fontId="8" fillId="0" borderId="0" xfId="1" applyBorder="1" applyAlignment="1" applyProtection="1">
      <alignment horizontal="left"/>
      <protection locked="0"/>
    </xf>
    <xf numFmtId="0" fontId="8" fillId="0" borderId="0" xfId="1" applyBorder="1" applyAlignment="1" applyProtection="1">
      <protection locked="0"/>
    </xf>
    <xf numFmtId="0" fontId="0" fillId="0" borderId="3" xfId="0" applyFill="1" applyBorder="1" applyProtection="1">
      <protection locked="0"/>
    </xf>
    <xf numFmtId="0" fontId="20" fillId="0" borderId="22" xfId="0" applyFont="1" applyBorder="1" applyProtection="1">
      <protection locked="0"/>
    </xf>
    <xf numFmtId="0" fontId="0" fillId="0" borderId="0" xfId="0" applyFill="1" applyBorder="1" applyAlignment="1" applyProtection="1">
      <alignment horizontal="left"/>
      <protection locked="0"/>
    </xf>
    <xf numFmtId="0" fontId="0" fillId="0" borderId="0" xfId="0" applyAlignment="1" applyProtection="1">
      <alignment wrapText="1"/>
      <protection locked="0"/>
    </xf>
    <xf numFmtId="0" fontId="13" fillId="20" borderId="3" xfId="0" applyFont="1" applyFill="1" applyBorder="1" applyProtection="1">
      <protection locked="0"/>
    </xf>
    <xf numFmtId="0" fontId="13" fillId="22" borderId="3" xfId="0" applyFont="1" applyFill="1" applyBorder="1" applyProtection="1">
      <protection locked="0"/>
    </xf>
    <xf numFmtId="0" fontId="13" fillId="9" borderId="3" xfId="9" applyFont="1" applyFill="1" applyBorder="1" applyAlignment="1" applyProtection="1">
      <alignment vertical="center"/>
      <protection locked="0"/>
    </xf>
    <xf numFmtId="0" fontId="0" fillId="22" borderId="0" xfId="0" applyFill="1" applyBorder="1" applyProtection="1">
      <protection locked="0"/>
    </xf>
    <xf numFmtId="0" fontId="0" fillId="22" borderId="0" xfId="0" applyFill="1" applyProtection="1">
      <protection locked="0"/>
    </xf>
    <xf numFmtId="2" fontId="13" fillId="20" borderId="3" xfId="0" applyNumberFormat="1" applyFont="1" applyFill="1" applyBorder="1" applyProtection="1">
      <protection locked="0"/>
    </xf>
    <xf numFmtId="0" fontId="0" fillId="20" borderId="3" xfId="0" applyFill="1" applyBorder="1" applyProtection="1">
      <protection locked="0"/>
    </xf>
    <xf numFmtId="1" fontId="13" fillId="20" borderId="3" xfId="0" applyNumberFormat="1" applyFont="1" applyFill="1" applyBorder="1" applyProtection="1">
      <protection locked="0"/>
    </xf>
    <xf numFmtId="0" fontId="13" fillId="0" borderId="141" xfId="9" applyFont="1" applyFill="1" applyBorder="1" applyAlignment="1" applyProtection="1">
      <alignment horizontal="left" vertical="center"/>
      <protection locked="0"/>
    </xf>
    <xf numFmtId="0" fontId="13" fillId="0" borderId="24" xfId="9" applyFont="1" applyFill="1" applyBorder="1" applyAlignment="1" applyProtection="1">
      <alignment horizontal="left" vertical="center"/>
      <protection locked="0"/>
    </xf>
    <xf numFmtId="0" fontId="13" fillId="0" borderId="24" xfId="9" applyFont="1" applyFill="1" applyBorder="1" applyAlignment="1" applyProtection="1">
      <alignment horizontal="left"/>
      <protection locked="0"/>
    </xf>
    <xf numFmtId="1" fontId="13" fillId="2" borderId="24" xfId="0" applyNumberFormat="1" applyFont="1" applyFill="1" applyBorder="1" applyProtection="1">
      <protection locked="0"/>
    </xf>
    <xf numFmtId="0" fontId="4" fillId="6" borderId="142" xfId="9" applyFont="1" applyFill="1" applyBorder="1" applyAlignment="1">
      <alignment vertical="center"/>
    </xf>
    <xf numFmtId="0" fontId="4" fillId="37" borderId="143" xfId="9" applyFont="1" applyFill="1" applyBorder="1"/>
    <xf numFmtId="0" fontId="66" fillId="0" borderId="0" xfId="0" applyFont="1" applyFill="1" applyBorder="1" applyAlignment="1" applyProtection="1">
      <alignment vertical="center"/>
      <protection hidden="1"/>
    </xf>
    <xf numFmtId="0" fontId="93" fillId="0" borderId="0" xfId="0" applyFont="1" applyFill="1" applyBorder="1" applyAlignment="1" applyProtection="1">
      <alignment vertical="center"/>
      <protection hidden="1"/>
    </xf>
    <xf numFmtId="0" fontId="13" fillId="6" borderId="120" xfId="9" quotePrefix="1" applyFont="1" applyFill="1" applyBorder="1" applyProtection="1">
      <protection locked="0"/>
    </xf>
    <xf numFmtId="0" fontId="59" fillId="0" borderId="0" xfId="17" applyFont="1" applyFill="1" applyBorder="1" applyAlignment="1" applyProtection="1">
      <alignment horizontal="center" vertical="center" wrapText="1"/>
      <protection locked="0" hidden="1"/>
    </xf>
    <xf numFmtId="0" fontId="59" fillId="0" borderId="17" xfId="17" applyFont="1" applyFill="1" applyBorder="1" applyAlignment="1" applyProtection="1">
      <alignment horizontal="center" vertical="center" wrapText="1"/>
      <protection locked="0" hidden="1"/>
    </xf>
    <xf numFmtId="0" fontId="55" fillId="26" borderId="0" xfId="15" applyFont="1" applyFill="1" applyAlignment="1" applyProtection="1">
      <alignment horizontal="center" vertical="center" wrapText="1"/>
      <protection locked="0" hidden="1"/>
    </xf>
    <xf numFmtId="0" fontId="65" fillId="26" borderId="75" xfId="1" applyFont="1" applyFill="1" applyBorder="1" applyAlignment="1" applyProtection="1">
      <alignment horizontal="center" vertical="center"/>
      <protection locked="0" hidden="1"/>
    </xf>
    <xf numFmtId="0" fontId="65" fillId="26" borderId="0" xfId="1" applyFont="1" applyFill="1" applyBorder="1" applyAlignment="1" applyProtection="1">
      <alignment horizontal="center" vertical="center"/>
      <protection locked="0" hidden="1"/>
    </xf>
    <xf numFmtId="0" fontId="43" fillId="26" borderId="76" xfId="0" applyFont="1" applyFill="1" applyBorder="1" applyAlignment="1" applyProtection="1">
      <alignment horizontal="left" indent="1"/>
      <protection hidden="1"/>
    </xf>
    <xf numFmtId="9" fontId="0" fillId="27" borderId="0" xfId="13" applyFont="1" applyFill="1" applyBorder="1" applyAlignment="1" applyProtection="1">
      <alignment horizontal="center"/>
      <protection locked="0" hidden="1"/>
    </xf>
    <xf numFmtId="0" fontId="12" fillId="0" borderId="0" xfId="0" applyFont="1" applyAlignment="1" applyProtection="1">
      <alignment horizontal="left" wrapText="1"/>
      <protection hidden="1"/>
    </xf>
    <xf numFmtId="0" fontId="49" fillId="0" borderId="0" xfId="0" applyFont="1" applyAlignment="1" applyProtection="1">
      <alignment horizontal="left" wrapText="1"/>
      <protection hidden="1"/>
    </xf>
    <xf numFmtId="0" fontId="0" fillId="27" borderId="0" xfId="0" applyFont="1" applyFill="1" applyBorder="1" applyAlignment="1" applyProtection="1">
      <alignment horizontal="center"/>
      <protection locked="0" hidden="1"/>
    </xf>
    <xf numFmtId="0" fontId="43" fillId="25" borderId="0" xfId="0" applyFont="1" applyFill="1" applyBorder="1" applyAlignment="1" applyProtection="1">
      <alignment horizontal="left" indent="1"/>
      <protection hidden="1"/>
    </xf>
    <xf numFmtId="0" fontId="0" fillId="25" borderId="0" xfId="0" applyFont="1" applyFill="1" applyBorder="1" applyAlignment="1" applyProtection="1">
      <alignment horizontal="center"/>
      <protection locked="0" hidden="1"/>
    </xf>
    <xf numFmtId="0" fontId="0" fillId="0" borderId="0" xfId="0" applyFont="1" applyAlignment="1" applyProtection="1">
      <alignment horizontal="right"/>
      <protection hidden="1"/>
    </xf>
    <xf numFmtId="0" fontId="29" fillId="0" borderId="0" xfId="0" applyFont="1" applyAlignment="1" applyProtection="1">
      <alignment horizontal="center" wrapText="1"/>
      <protection hidden="1"/>
    </xf>
    <xf numFmtId="0" fontId="19" fillId="27" borderId="123" xfId="0" applyFont="1" applyFill="1" applyBorder="1" applyAlignment="1" applyProtection="1">
      <alignment horizontal="center" vertical="center"/>
      <protection locked="0" hidden="1"/>
    </xf>
    <xf numFmtId="0" fontId="19" fillId="27" borderId="125" xfId="0" applyFont="1" applyFill="1" applyBorder="1" applyAlignment="1" applyProtection="1">
      <alignment horizontal="center" vertical="center"/>
      <protection locked="0" hidden="1"/>
    </xf>
    <xf numFmtId="0" fontId="62" fillId="26" borderId="137" xfId="0" applyFont="1" applyFill="1" applyBorder="1" applyAlignment="1" applyProtection="1">
      <alignment horizontal="left" vertical="center" indent="1"/>
      <protection hidden="1"/>
    </xf>
    <xf numFmtId="0" fontId="62" fillId="26" borderId="123" xfId="0" applyFont="1" applyFill="1" applyBorder="1" applyAlignment="1" applyProtection="1">
      <alignment horizontal="left" vertical="center" indent="1"/>
      <protection hidden="1"/>
    </xf>
    <xf numFmtId="0" fontId="62" fillId="26" borderId="75" xfId="0" applyFont="1" applyFill="1" applyBorder="1" applyAlignment="1" applyProtection="1">
      <alignment horizontal="right" vertical="center" indent="1"/>
      <protection hidden="1"/>
    </xf>
    <xf numFmtId="0" fontId="62" fillId="26" borderId="0" xfId="0" applyFont="1" applyFill="1" applyBorder="1" applyAlignment="1" applyProtection="1">
      <alignment horizontal="right" vertical="center" indent="1"/>
      <protection hidden="1"/>
    </xf>
    <xf numFmtId="0" fontId="62" fillId="26" borderId="138" xfId="0" applyFont="1" applyFill="1" applyBorder="1" applyAlignment="1" applyProtection="1">
      <alignment horizontal="right" vertical="center" indent="1"/>
      <protection hidden="1"/>
    </xf>
    <xf numFmtId="0" fontId="62" fillId="26" borderId="9" xfId="0" applyFont="1" applyFill="1" applyBorder="1" applyAlignment="1" applyProtection="1">
      <alignment horizontal="right" vertical="center" indent="1"/>
      <protection hidden="1"/>
    </xf>
    <xf numFmtId="0" fontId="0" fillId="6" borderId="0" xfId="0" applyFont="1" applyFill="1" applyBorder="1" applyAlignment="1" applyProtection="1">
      <alignment horizontal="center" vertical="center"/>
      <protection hidden="1"/>
    </xf>
    <xf numFmtId="0" fontId="0" fillId="6" borderId="9" xfId="0" applyFont="1" applyFill="1" applyBorder="1" applyAlignment="1" applyProtection="1">
      <alignment horizontal="center" vertical="center"/>
      <protection hidden="1"/>
    </xf>
    <xf numFmtId="0" fontId="66" fillId="27" borderId="0" xfId="0" applyFont="1" applyFill="1" applyBorder="1" applyAlignment="1" applyProtection="1">
      <alignment horizontal="center" vertical="center"/>
      <protection hidden="1"/>
    </xf>
    <xf numFmtId="0" fontId="66" fillId="27" borderId="135" xfId="0" applyFont="1" applyFill="1" applyBorder="1" applyAlignment="1" applyProtection="1">
      <alignment horizontal="center" vertical="center"/>
      <protection hidden="1"/>
    </xf>
    <xf numFmtId="0" fontId="66" fillId="27" borderId="9" xfId="0" applyFont="1" applyFill="1" applyBorder="1" applyAlignment="1" applyProtection="1">
      <alignment horizontal="center" vertical="center"/>
      <protection hidden="1"/>
    </xf>
    <xf numFmtId="0" fontId="66" fillId="27" borderId="136" xfId="0" applyFont="1" applyFill="1" applyBorder="1" applyAlignment="1" applyProtection="1">
      <alignment horizontal="center" vertical="center"/>
      <protection hidden="1"/>
    </xf>
    <xf numFmtId="0" fontId="19" fillId="27" borderId="126" xfId="0" applyFont="1" applyFill="1" applyBorder="1" applyAlignment="1" applyProtection="1">
      <alignment horizontal="center"/>
      <protection hidden="1"/>
    </xf>
    <xf numFmtId="0" fontId="82" fillId="0" borderId="123" xfId="0" applyFont="1" applyBorder="1" applyAlignment="1" applyProtection="1">
      <alignment horizontal="center" vertical="center"/>
      <protection hidden="1"/>
    </xf>
    <xf numFmtId="0" fontId="82" fillId="0" borderId="125" xfId="0" applyFont="1" applyBorder="1" applyAlignment="1" applyProtection="1">
      <alignment horizontal="center" vertical="center"/>
      <protection hidden="1"/>
    </xf>
    <xf numFmtId="165" fontId="19" fillId="27" borderId="123" xfId="0" applyNumberFormat="1" applyFont="1" applyFill="1" applyBorder="1" applyAlignment="1" applyProtection="1">
      <alignment horizontal="center" vertical="center"/>
      <protection locked="0" hidden="1"/>
    </xf>
    <xf numFmtId="165" fontId="19" fillId="27" borderId="125" xfId="0" applyNumberFormat="1" applyFont="1" applyFill="1" applyBorder="1" applyAlignment="1" applyProtection="1">
      <alignment horizontal="center" vertical="center"/>
      <protection locked="0" hidden="1"/>
    </xf>
    <xf numFmtId="0" fontId="20" fillId="27" borderId="125" xfId="0" applyFont="1" applyFill="1" applyBorder="1" applyAlignment="1" applyProtection="1">
      <alignment horizontal="center"/>
      <protection hidden="1"/>
    </xf>
    <xf numFmtId="0" fontId="20" fillId="27" borderId="126" xfId="0" applyFont="1" applyFill="1" applyBorder="1" applyAlignment="1" applyProtection="1">
      <alignment horizontal="center"/>
      <protection hidden="1"/>
    </xf>
    <xf numFmtId="0" fontId="12" fillId="3" borderId="22" xfId="0" applyFont="1" applyFill="1" applyBorder="1" applyAlignment="1" applyProtection="1">
      <alignment horizontal="center"/>
      <protection locked="0"/>
    </xf>
    <xf numFmtId="0" fontId="12" fillId="3" borderId="24" xfId="0" applyFont="1" applyFill="1" applyBorder="1" applyAlignment="1" applyProtection="1">
      <alignment horizontal="center"/>
      <protection locked="0"/>
    </xf>
    <xf numFmtId="0" fontId="12" fillId="4" borderId="98" xfId="0" applyFont="1" applyFill="1" applyBorder="1" applyAlignment="1" applyProtection="1">
      <alignment horizontal="center"/>
      <protection locked="0"/>
    </xf>
    <xf numFmtId="0" fontId="12" fillId="4" borderId="41" xfId="0" applyFont="1" applyFill="1" applyBorder="1" applyAlignment="1" applyProtection="1">
      <alignment horizontal="center"/>
      <protection locked="0"/>
    </xf>
    <xf numFmtId="0" fontId="13" fillId="0" borderId="100" xfId="0" applyFont="1" applyFill="1" applyBorder="1" applyAlignment="1" applyProtection="1">
      <alignment horizontal="center"/>
      <protection locked="0"/>
    </xf>
    <xf numFmtId="0" fontId="13" fillId="0" borderId="101" xfId="0" applyFont="1" applyFill="1" applyBorder="1" applyAlignment="1" applyProtection="1">
      <alignment horizontal="center"/>
      <protection locked="0"/>
    </xf>
    <xf numFmtId="0" fontId="13" fillId="0" borderId="102" xfId="0" applyFont="1" applyFill="1" applyBorder="1" applyAlignment="1" applyProtection="1">
      <alignment horizontal="center"/>
      <protection locked="0"/>
    </xf>
    <xf numFmtId="2" fontId="13" fillId="0" borderId="100" xfId="0" applyNumberFormat="1" applyFont="1" applyFill="1" applyBorder="1" applyAlignment="1" applyProtection="1">
      <alignment horizontal="center"/>
      <protection locked="0"/>
    </xf>
    <xf numFmtId="2" fontId="13" fillId="0" borderId="102" xfId="0" applyNumberFormat="1" applyFont="1" applyFill="1" applyBorder="1" applyAlignment="1" applyProtection="1">
      <alignment horizontal="center"/>
      <protection locked="0"/>
    </xf>
    <xf numFmtId="1" fontId="13" fillId="0" borderId="100" xfId="0" applyNumberFormat="1" applyFont="1" applyFill="1" applyBorder="1" applyAlignment="1" applyProtection="1">
      <alignment horizontal="center"/>
      <protection locked="0"/>
    </xf>
    <xf numFmtId="1" fontId="13" fillId="0" borderId="103" xfId="0" applyNumberFormat="1" applyFont="1" applyFill="1" applyBorder="1" applyAlignment="1" applyProtection="1">
      <alignment horizontal="center"/>
      <protection locked="0"/>
    </xf>
    <xf numFmtId="0" fontId="70" fillId="0" borderId="91" xfId="0" applyFont="1" applyBorder="1" applyAlignment="1" applyProtection="1">
      <alignment horizontal="center" vertical="center" textRotation="90"/>
      <protection locked="0"/>
    </xf>
    <xf numFmtId="0" fontId="70" fillId="0" borderId="94" xfId="0" applyFont="1" applyBorder="1" applyAlignment="1" applyProtection="1">
      <alignment horizontal="center" vertical="center" textRotation="90"/>
      <protection locked="0"/>
    </xf>
    <xf numFmtId="0" fontId="70" fillId="0" borderId="96" xfId="0" applyFont="1" applyBorder="1" applyAlignment="1" applyProtection="1">
      <alignment horizontal="center" vertical="center" textRotation="90"/>
      <protection locked="0"/>
    </xf>
    <xf numFmtId="0" fontId="71" fillId="0" borderId="91" xfId="0" applyFont="1" applyBorder="1" applyAlignment="1" applyProtection="1">
      <alignment horizontal="center" vertical="center" textRotation="90"/>
      <protection locked="0"/>
    </xf>
    <xf numFmtId="0" fontId="71" fillId="0" borderId="94" xfId="0" applyFont="1" applyBorder="1" applyAlignment="1" applyProtection="1">
      <alignment horizontal="center" vertical="center" textRotation="90"/>
      <protection locked="0"/>
    </xf>
    <xf numFmtId="0" fontId="71" fillId="0" borderId="96" xfId="0" applyFont="1" applyBorder="1" applyAlignment="1" applyProtection="1">
      <alignment horizontal="center" vertical="center" textRotation="90"/>
      <protection locked="0"/>
    </xf>
    <xf numFmtId="0" fontId="46" fillId="0" borderId="13" xfId="0" applyFont="1" applyFill="1" applyBorder="1" applyAlignment="1" applyProtection="1">
      <alignment horizontal="center" vertical="center" textRotation="90" wrapText="1"/>
      <protection locked="0"/>
    </xf>
    <xf numFmtId="0" fontId="46" fillId="0" borderId="15" xfId="0" applyFont="1" applyFill="1" applyBorder="1" applyAlignment="1" applyProtection="1">
      <alignment horizontal="center" vertical="center" textRotation="90" wrapText="1"/>
      <protection locked="0"/>
    </xf>
    <xf numFmtId="0" fontId="46" fillId="0" borderId="20" xfId="0" applyFont="1" applyFill="1" applyBorder="1" applyAlignment="1" applyProtection="1">
      <alignment horizontal="center" vertical="center" textRotation="90" wrapText="1"/>
      <protection locked="0"/>
    </xf>
    <xf numFmtId="0" fontId="69" fillId="26" borderId="0" xfId="1" applyFont="1" applyFill="1" applyBorder="1" applyAlignment="1" applyProtection="1">
      <alignment horizontal="center" vertical="center"/>
      <protection locked="0" hidden="1"/>
    </xf>
    <xf numFmtId="0" fontId="49" fillId="10" borderId="0" xfId="0" applyFont="1" applyFill="1" applyBorder="1" applyAlignment="1" applyProtection="1">
      <alignment horizontal="left" vertical="center" wrapText="1"/>
      <protection hidden="1"/>
    </xf>
    <xf numFmtId="0" fontId="63" fillId="25" borderId="0" xfId="0" applyFont="1" applyFill="1" applyBorder="1" applyAlignment="1" applyProtection="1">
      <alignment horizontal="center" vertical="center" textRotation="90"/>
      <protection hidden="1"/>
    </xf>
    <xf numFmtId="165" fontId="76" fillId="25" borderId="0" xfId="0" applyNumberFormat="1" applyFont="1" applyFill="1" applyBorder="1" applyAlignment="1" applyProtection="1">
      <alignment horizontal="center" vertical="center" textRotation="90"/>
      <protection locked="0" hidden="1"/>
    </xf>
    <xf numFmtId="165" fontId="21" fillId="6" borderId="0" xfId="0" applyNumberFormat="1" applyFont="1" applyFill="1" applyBorder="1" applyAlignment="1" applyProtection="1">
      <alignment horizontal="center" vertical="center"/>
      <protection locked="0" hidden="1"/>
    </xf>
    <xf numFmtId="165" fontId="76" fillId="25" borderId="0" xfId="0" applyNumberFormat="1" applyFont="1" applyFill="1" applyBorder="1" applyAlignment="1" applyProtection="1">
      <alignment horizontal="center" vertical="center" textRotation="180"/>
      <protection locked="0" hidden="1"/>
    </xf>
    <xf numFmtId="165" fontId="76" fillId="25" borderId="0" xfId="0" applyNumberFormat="1" applyFont="1" applyFill="1" applyBorder="1" applyAlignment="1" applyProtection="1">
      <alignment horizontal="center" vertical="center"/>
      <protection locked="0" hidden="1"/>
    </xf>
    <xf numFmtId="0" fontId="63" fillId="0" borderId="0" xfId="0" applyFont="1" applyBorder="1" applyAlignment="1" applyProtection="1">
      <alignment horizontal="left" vertical="center" textRotation="180"/>
      <protection hidden="1"/>
    </xf>
    <xf numFmtId="0" fontId="43" fillId="27" borderId="0" xfId="0" applyFont="1" applyFill="1" applyBorder="1" applyAlignment="1" applyProtection="1">
      <alignment horizontal="center" vertical="center" textRotation="90"/>
      <protection hidden="1"/>
    </xf>
    <xf numFmtId="0" fontId="63" fillId="0" borderId="0" xfId="0" applyFont="1" applyAlignment="1" applyProtection="1">
      <alignment horizontal="left" vertical="center"/>
      <protection hidden="1"/>
    </xf>
    <xf numFmtId="0" fontId="63" fillId="0" borderId="0" xfId="0" applyFont="1" applyBorder="1" applyAlignment="1" applyProtection="1">
      <alignment horizontal="right" vertical="center" textRotation="90"/>
      <protection hidden="1"/>
    </xf>
    <xf numFmtId="0" fontId="0" fillId="0" borderId="113" xfId="0" applyBorder="1" applyAlignment="1" applyProtection="1">
      <alignment horizontal="center" vertical="center" wrapText="1"/>
      <protection locked="0"/>
    </xf>
    <xf numFmtId="0" fontId="0" fillId="0" borderId="114" xfId="0" applyBorder="1" applyAlignment="1" applyProtection="1">
      <alignment horizontal="center" vertical="center" wrapText="1"/>
      <protection locked="0"/>
    </xf>
    <xf numFmtId="0" fontId="0" fillId="0" borderId="115" xfId="0" applyBorder="1" applyAlignment="1" applyProtection="1">
      <alignment horizontal="center" vertical="center" wrapText="1"/>
      <protection locked="0"/>
    </xf>
    <xf numFmtId="0" fontId="0" fillId="0" borderId="116"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117" xfId="0" applyBorder="1" applyAlignment="1" applyProtection="1">
      <alignment horizontal="center" vertical="center" wrapText="1"/>
      <protection locked="0"/>
    </xf>
    <xf numFmtId="0" fontId="0" fillId="0" borderId="118" xfId="0" applyBorder="1" applyAlignment="1" applyProtection="1">
      <alignment horizontal="center" vertical="center" wrapText="1"/>
      <protection locked="0"/>
    </xf>
    <xf numFmtId="0" fontId="0" fillId="0" borderId="79" xfId="0" applyBorder="1" applyAlignment="1" applyProtection="1">
      <alignment horizontal="center" vertical="center" wrapText="1"/>
      <protection locked="0"/>
    </xf>
    <xf numFmtId="0" fontId="0" fillId="0" borderId="119" xfId="0" applyBorder="1" applyAlignment="1" applyProtection="1">
      <alignment horizontal="center" vertical="center" wrapText="1"/>
      <protection locked="0"/>
    </xf>
    <xf numFmtId="0" fontId="62" fillId="26" borderId="15" xfId="0" applyFont="1" applyFill="1" applyBorder="1" applyAlignment="1" applyProtection="1">
      <alignment horizontal="right" vertical="center" indent="1"/>
      <protection hidden="1"/>
    </xf>
    <xf numFmtId="0" fontId="62" fillId="26" borderId="20" xfId="0" applyFont="1" applyFill="1" applyBorder="1" applyAlignment="1" applyProtection="1">
      <alignment horizontal="right" vertical="center" indent="1"/>
      <protection hidden="1"/>
    </xf>
    <xf numFmtId="0" fontId="66" fillId="27" borderId="8" xfId="0" applyFont="1" applyFill="1" applyBorder="1" applyAlignment="1" applyProtection="1">
      <alignment horizontal="center" vertical="center"/>
      <protection hidden="1"/>
    </xf>
    <xf numFmtId="0" fontId="66" fillId="27" borderId="21" xfId="0" applyFont="1" applyFill="1" applyBorder="1" applyAlignment="1" applyProtection="1">
      <alignment horizontal="center" vertical="center"/>
      <protection hidden="1"/>
    </xf>
    <xf numFmtId="165" fontId="64" fillId="25" borderId="0" xfId="0" applyNumberFormat="1" applyFont="1" applyFill="1" applyBorder="1" applyAlignment="1" applyProtection="1">
      <alignment horizontal="center" vertical="center"/>
      <protection locked="0" hidden="1"/>
    </xf>
    <xf numFmtId="0" fontId="63" fillId="0" borderId="0" xfId="0" applyFont="1" applyBorder="1" applyAlignment="1" applyProtection="1">
      <alignment horizontal="left" vertical="center"/>
      <protection hidden="1"/>
    </xf>
    <xf numFmtId="0" fontId="62" fillId="26" borderId="129" xfId="0" applyFont="1" applyFill="1" applyBorder="1" applyAlignment="1" applyProtection="1">
      <alignment horizontal="left" vertical="center"/>
      <protection hidden="1"/>
    </xf>
    <xf numFmtId="0" fontId="62" fillId="26" borderId="123" xfId="0" applyFont="1" applyFill="1" applyBorder="1" applyAlignment="1" applyProtection="1">
      <alignment horizontal="left" vertical="center"/>
      <protection hidden="1"/>
    </xf>
    <xf numFmtId="0" fontId="19" fillId="27" borderId="130" xfId="0" applyFont="1" applyFill="1" applyBorder="1" applyAlignment="1" applyProtection="1">
      <alignment horizontal="center" vertical="center"/>
      <protection locked="0" hidden="1"/>
    </xf>
    <xf numFmtId="0" fontId="43" fillId="27" borderId="0" xfId="0" applyFont="1" applyFill="1" applyBorder="1" applyAlignment="1" applyProtection="1">
      <alignment horizontal="center" vertical="center"/>
      <protection hidden="1"/>
    </xf>
    <xf numFmtId="0" fontId="87" fillId="34" borderId="132" xfId="0" applyFont="1" applyFill="1" applyBorder="1" applyAlignment="1" applyProtection="1">
      <alignment horizontal="center" vertical="center"/>
      <protection hidden="1"/>
    </xf>
    <xf numFmtId="0" fontId="87" fillId="34" borderId="80" xfId="0" applyFont="1" applyFill="1" applyBorder="1" applyAlignment="1" applyProtection="1">
      <alignment horizontal="center" vertical="center"/>
      <protection hidden="1"/>
    </xf>
    <xf numFmtId="165" fontId="21" fillId="35" borderId="114" xfId="0" applyNumberFormat="1" applyFont="1" applyFill="1" applyBorder="1" applyAlignment="1" applyProtection="1">
      <alignment horizontal="center" vertical="center"/>
      <protection locked="0" hidden="1"/>
    </xf>
    <xf numFmtId="0" fontId="63" fillId="25" borderId="0" xfId="0" applyFont="1" applyFill="1" applyBorder="1" applyAlignment="1" applyProtection="1">
      <alignment horizontal="center" vertical="center"/>
      <protection hidden="1"/>
    </xf>
    <xf numFmtId="0" fontId="19" fillId="27" borderId="0" xfId="0" applyFont="1" applyFill="1" applyBorder="1" applyAlignment="1" applyProtection="1">
      <alignment horizontal="center" vertical="center"/>
      <protection locked="0" hidden="1"/>
    </xf>
    <xf numFmtId="0" fontId="19" fillId="0" borderId="0" xfId="0" applyFont="1" applyBorder="1" applyAlignment="1" applyProtection="1">
      <alignment horizontal="left" vertical="center"/>
      <protection hidden="1"/>
    </xf>
    <xf numFmtId="0" fontId="63" fillId="27" borderId="123" xfId="0" applyFont="1" applyFill="1" applyBorder="1" applyAlignment="1" applyProtection="1">
      <alignment horizontal="center" vertical="center"/>
      <protection locked="0" hidden="1"/>
    </xf>
    <xf numFmtId="0" fontId="63" fillId="27" borderId="130" xfId="0" applyFont="1" applyFill="1" applyBorder="1" applyAlignment="1" applyProtection="1">
      <alignment horizontal="center" vertical="center"/>
      <protection locked="0" hidden="1"/>
    </xf>
    <xf numFmtId="0" fontId="88" fillId="26" borderId="123" xfId="0" applyFont="1" applyFill="1" applyBorder="1" applyAlignment="1" applyProtection="1">
      <alignment horizontal="center" vertical="center"/>
      <protection hidden="1"/>
    </xf>
    <xf numFmtId="165" fontId="19" fillId="27" borderId="130" xfId="0" applyNumberFormat="1" applyFont="1" applyFill="1" applyBorder="1" applyAlignment="1" applyProtection="1">
      <alignment horizontal="center" vertical="center"/>
      <protection locked="0" hidden="1"/>
    </xf>
    <xf numFmtId="0" fontId="20" fillId="27" borderId="123" xfId="0" applyFont="1" applyFill="1" applyBorder="1" applyAlignment="1" applyProtection="1">
      <alignment horizontal="center" vertical="center"/>
      <protection locked="0" hidden="1"/>
    </xf>
    <xf numFmtId="0" fontId="20" fillId="27" borderId="130" xfId="0" applyFont="1" applyFill="1" applyBorder="1" applyAlignment="1" applyProtection="1">
      <alignment horizontal="center" vertical="center"/>
      <protection locked="0" hidden="1"/>
    </xf>
    <xf numFmtId="165" fontId="21" fillId="35" borderId="133" xfId="0" applyNumberFormat="1" applyFont="1" applyFill="1" applyBorder="1" applyAlignment="1" applyProtection="1">
      <alignment horizontal="center" vertical="center"/>
      <protection locked="0" hidden="1"/>
    </xf>
    <xf numFmtId="0" fontId="19" fillId="27" borderId="131" xfId="0" applyFont="1" applyFill="1" applyBorder="1" applyAlignment="1" applyProtection="1">
      <alignment horizontal="center"/>
      <protection hidden="1"/>
    </xf>
    <xf numFmtId="169" fontId="19" fillId="0" borderId="0" xfId="0" applyNumberFormat="1" applyFont="1" applyBorder="1" applyAlignment="1" applyProtection="1">
      <alignment horizontal="center" vertical="center"/>
      <protection hidden="1"/>
    </xf>
    <xf numFmtId="169" fontId="19" fillId="0" borderId="8" xfId="0" applyNumberFormat="1" applyFont="1" applyBorder="1" applyAlignment="1" applyProtection="1">
      <alignment horizontal="center" vertical="center"/>
      <protection hidden="1"/>
    </xf>
    <xf numFmtId="0" fontId="88" fillId="26" borderId="129" xfId="0" applyFont="1" applyFill="1" applyBorder="1" applyAlignment="1" applyProtection="1">
      <alignment horizontal="center" vertical="center"/>
      <protection hidden="1"/>
    </xf>
    <xf numFmtId="0" fontId="82" fillId="0" borderId="130" xfId="0" applyFont="1" applyBorder="1" applyAlignment="1" applyProtection="1">
      <alignment horizontal="center" vertical="center"/>
      <protection hidden="1"/>
    </xf>
    <xf numFmtId="0" fontId="85" fillId="27" borderId="78" xfId="15" applyFont="1" applyFill="1" applyBorder="1" applyAlignment="1" applyProtection="1">
      <alignment horizontal="center" vertical="center"/>
      <protection locked="0" hidden="1"/>
    </xf>
    <xf numFmtId="0" fontId="49" fillId="25" borderId="116" xfId="0" applyFont="1" applyFill="1" applyBorder="1" applyAlignment="1" applyProtection="1">
      <alignment horizontal="left" vertical="center" wrapText="1"/>
      <protection hidden="1"/>
    </xf>
    <xf numFmtId="0" fontId="49" fillId="25" borderId="0" xfId="0" applyFont="1" applyFill="1" applyBorder="1" applyAlignment="1" applyProtection="1">
      <alignment horizontal="left" vertical="center" wrapText="1"/>
      <protection hidden="1"/>
    </xf>
    <xf numFmtId="0" fontId="49" fillId="25" borderId="117" xfId="0" applyFont="1" applyFill="1" applyBorder="1" applyAlignment="1" applyProtection="1">
      <alignment horizontal="left" vertical="center" wrapText="1"/>
      <protection hidden="1"/>
    </xf>
    <xf numFmtId="0" fontId="62" fillId="26" borderId="127" xfId="0" applyFont="1" applyFill="1" applyBorder="1" applyAlignment="1" applyProtection="1">
      <alignment horizontal="left" vertical="center"/>
      <protection hidden="1"/>
    </xf>
    <xf numFmtId="0" fontId="62" fillId="26" borderId="128" xfId="0" applyFont="1" applyFill="1" applyBorder="1" applyAlignment="1" applyProtection="1">
      <alignment horizontal="left" vertical="center"/>
      <protection hidden="1"/>
    </xf>
    <xf numFmtId="0" fontId="63" fillId="25" borderId="0" xfId="0" applyFont="1" applyFill="1" applyBorder="1" applyAlignment="1" applyProtection="1">
      <alignment horizontal="center" vertical="center" textRotation="180"/>
      <protection hidden="1"/>
    </xf>
    <xf numFmtId="0" fontId="19" fillId="27" borderId="123" xfId="0" applyFont="1" applyFill="1" applyBorder="1" applyAlignment="1" applyProtection="1">
      <alignment horizontal="center" vertical="center" wrapText="1"/>
      <protection locked="0" hidden="1"/>
    </xf>
    <xf numFmtId="0" fontId="19" fillId="27" borderId="130" xfId="0" applyFont="1" applyFill="1" applyBorder="1" applyAlignment="1" applyProtection="1">
      <alignment horizontal="center" vertical="center" wrapText="1"/>
      <protection locked="0" hidden="1"/>
    </xf>
    <xf numFmtId="0" fontId="76" fillId="27" borderId="123" xfId="0" applyFont="1" applyFill="1" applyBorder="1" applyAlignment="1" applyProtection="1">
      <alignment horizontal="center" vertical="center"/>
      <protection locked="0" hidden="1"/>
    </xf>
    <xf numFmtId="0" fontId="49" fillId="0" borderId="11" xfId="0" applyFont="1" applyBorder="1" applyAlignment="1" applyProtection="1">
      <alignment horizontal="center" vertical="center"/>
      <protection hidden="1"/>
    </xf>
    <xf numFmtId="0" fontId="49" fillId="0" borderId="14" xfId="0" applyFont="1" applyBorder="1" applyAlignment="1" applyProtection="1">
      <alignment horizontal="center" vertical="center"/>
      <protection hidden="1"/>
    </xf>
    <xf numFmtId="0" fontId="0" fillId="35" borderId="19" xfId="0" applyFont="1" applyFill="1" applyBorder="1" applyAlignment="1" applyProtection="1">
      <alignment horizontal="center" vertical="center"/>
      <protection hidden="1"/>
    </xf>
    <xf numFmtId="0" fontId="0" fillId="35" borderId="26" xfId="0" applyFont="1" applyFill="1" applyBorder="1" applyAlignment="1" applyProtection="1">
      <alignment horizontal="center" vertical="center" textRotation="90"/>
      <protection hidden="1"/>
    </xf>
    <xf numFmtId="165" fontId="21" fillId="6" borderId="0" xfId="0" applyNumberFormat="1" applyFont="1" applyFill="1" applyBorder="1" applyAlignment="1" applyProtection="1">
      <alignment horizontal="center" vertical="center" textRotation="90"/>
      <protection locked="0" hidden="1"/>
    </xf>
    <xf numFmtId="0" fontId="83" fillId="26" borderId="0" xfId="15" applyFont="1" applyFill="1" applyBorder="1" applyAlignment="1" applyProtection="1">
      <alignment horizontal="center" vertical="center"/>
      <protection hidden="1"/>
    </xf>
    <xf numFmtId="0" fontId="19" fillId="25" borderId="123" xfId="0" applyFont="1" applyFill="1" applyBorder="1" applyAlignment="1" applyProtection="1">
      <alignment horizontal="center" vertical="center"/>
      <protection hidden="1"/>
    </xf>
    <xf numFmtId="0" fontId="19" fillId="25" borderId="130" xfId="0" applyFont="1" applyFill="1" applyBorder="1" applyAlignment="1" applyProtection="1">
      <alignment horizontal="center" vertical="center"/>
      <protection hidden="1"/>
    </xf>
    <xf numFmtId="0" fontId="19" fillId="27" borderId="124" xfId="0" applyFont="1" applyFill="1" applyBorder="1" applyAlignment="1" applyProtection="1">
      <alignment horizontal="center" vertical="center"/>
      <protection locked="0" hidden="1"/>
    </xf>
    <xf numFmtId="0" fontId="19" fillId="25" borderId="124" xfId="0" applyFont="1" applyFill="1" applyBorder="1" applyAlignment="1" applyProtection="1">
      <alignment horizontal="center" vertical="center"/>
      <protection hidden="1"/>
    </xf>
    <xf numFmtId="0" fontId="49" fillId="25" borderId="118" xfId="0" applyFont="1" applyFill="1" applyBorder="1" applyAlignment="1" applyProtection="1">
      <alignment horizontal="left" vertical="center" wrapText="1"/>
      <protection hidden="1"/>
    </xf>
    <xf numFmtId="0" fontId="49" fillId="25" borderId="79" xfId="0" applyFont="1" applyFill="1" applyBorder="1" applyAlignment="1" applyProtection="1">
      <alignment horizontal="left" vertical="center" wrapText="1"/>
      <protection hidden="1"/>
    </xf>
    <xf numFmtId="0" fontId="49" fillId="25" borderId="119" xfId="0" applyFont="1" applyFill="1" applyBorder="1" applyAlignment="1" applyProtection="1">
      <alignment horizontal="left" vertical="center" wrapText="1"/>
      <protection hidden="1"/>
    </xf>
    <xf numFmtId="0" fontId="49" fillId="25" borderId="113" xfId="0" applyFont="1" applyFill="1" applyBorder="1" applyAlignment="1" applyProtection="1">
      <alignment horizontal="left" vertical="center" wrapText="1"/>
      <protection hidden="1"/>
    </xf>
    <xf numFmtId="0" fontId="49" fillId="25" borderId="114" xfId="0" applyFont="1" applyFill="1" applyBorder="1" applyAlignment="1" applyProtection="1">
      <alignment horizontal="left" vertical="center" wrapText="1"/>
      <protection hidden="1"/>
    </xf>
    <xf numFmtId="0" fontId="49" fillId="25" borderId="115" xfId="0" applyFont="1" applyFill="1" applyBorder="1" applyAlignment="1" applyProtection="1">
      <alignment horizontal="left" vertical="center" wrapText="1"/>
      <protection hidden="1"/>
    </xf>
    <xf numFmtId="0" fontId="19" fillId="25" borderId="123" xfId="0" applyFont="1" applyFill="1" applyBorder="1" applyAlignment="1" applyProtection="1">
      <alignment horizontal="center" vertical="center"/>
      <protection locked="0" hidden="1"/>
    </xf>
    <xf numFmtId="0" fontId="19" fillId="25" borderId="130" xfId="0" applyFont="1" applyFill="1" applyBorder="1" applyAlignment="1" applyProtection="1">
      <alignment horizontal="center" vertical="center"/>
      <protection locked="0" hidden="1"/>
    </xf>
    <xf numFmtId="0" fontId="19" fillId="25" borderId="124" xfId="0" applyFont="1" applyFill="1" applyBorder="1" applyAlignment="1" applyProtection="1">
      <alignment horizontal="center" vertical="center"/>
      <protection locked="0" hidden="1"/>
    </xf>
    <xf numFmtId="0" fontId="66" fillId="26" borderId="77" xfId="0" applyFont="1" applyFill="1" applyBorder="1" applyAlignment="1" applyProtection="1">
      <alignment horizontal="right" vertical="center" indent="3"/>
      <protection hidden="1"/>
    </xf>
    <xf numFmtId="0" fontId="41" fillId="27" borderId="77" xfId="0" applyFont="1" applyFill="1" applyBorder="1" applyAlignment="1" applyProtection="1">
      <alignment horizontal="center" vertical="center"/>
      <protection hidden="1"/>
    </xf>
    <xf numFmtId="0" fontId="27" fillId="0" borderId="0" xfId="0" applyFont="1" applyBorder="1" applyAlignment="1" applyProtection="1">
      <alignment horizontal="left"/>
      <protection hidden="1"/>
    </xf>
    <xf numFmtId="0" fontId="68" fillId="26" borderId="75" xfId="1" applyFont="1" applyFill="1" applyBorder="1" applyAlignment="1" applyProtection="1">
      <alignment horizontal="center" vertical="center"/>
      <protection locked="0" hidden="1"/>
    </xf>
    <xf numFmtId="0" fontId="68" fillId="26" borderId="0" xfId="1" applyFont="1" applyFill="1" applyBorder="1" applyAlignment="1" applyProtection="1">
      <alignment horizontal="center" vertical="center"/>
      <protection locked="0" hidden="1"/>
    </xf>
    <xf numFmtId="0" fontId="63" fillId="0" borderId="114" xfId="0" applyFont="1" applyBorder="1" applyAlignment="1" applyProtection="1">
      <alignment horizontal="center"/>
      <protection hidden="1"/>
    </xf>
    <xf numFmtId="0" fontId="38" fillId="10" borderId="113" xfId="0" applyFont="1" applyFill="1" applyBorder="1" applyAlignment="1" applyProtection="1">
      <alignment horizontal="center" vertical="center" wrapText="1"/>
      <protection locked="0" hidden="1"/>
    </xf>
    <xf numFmtId="0" fontId="38" fillId="10" borderId="114" xfId="0" applyFont="1" applyFill="1" applyBorder="1" applyAlignment="1" applyProtection="1">
      <alignment horizontal="center" vertical="center" wrapText="1"/>
      <protection locked="0" hidden="1"/>
    </xf>
    <xf numFmtId="0" fontId="38" fillId="10" borderId="115" xfId="0" applyFont="1" applyFill="1" applyBorder="1" applyAlignment="1" applyProtection="1">
      <alignment horizontal="center" vertical="center" wrapText="1"/>
      <protection locked="0" hidden="1"/>
    </xf>
    <xf numFmtId="0" fontId="38" fillId="10" borderId="116" xfId="0" applyFont="1" applyFill="1" applyBorder="1" applyAlignment="1" applyProtection="1">
      <alignment horizontal="center" vertical="center" wrapText="1"/>
      <protection locked="0" hidden="1"/>
    </xf>
    <xf numFmtId="0" fontId="38" fillId="10" borderId="0" xfId="0" applyFont="1" applyFill="1" applyBorder="1" applyAlignment="1" applyProtection="1">
      <alignment horizontal="center" vertical="center" wrapText="1"/>
      <protection locked="0" hidden="1"/>
    </xf>
    <xf numFmtId="0" fontId="38" fillId="10" borderId="117" xfId="0" applyFont="1" applyFill="1" applyBorder="1" applyAlignment="1" applyProtection="1">
      <alignment horizontal="center" vertical="center" wrapText="1"/>
      <protection locked="0" hidden="1"/>
    </xf>
    <xf numFmtId="0" fontId="38" fillId="10" borderId="118" xfId="0" applyFont="1" applyFill="1" applyBorder="1" applyAlignment="1" applyProtection="1">
      <alignment horizontal="center" vertical="center" wrapText="1"/>
      <protection locked="0" hidden="1"/>
    </xf>
    <xf numFmtId="0" fontId="38" fillId="10" borderId="79" xfId="0" applyFont="1" applyFill="1" applyBorder="1" applyAlignment="1" applyProtection="1">
      <alignment horizontal="center" vertical="center" wrapText="1"/>
      <protection locked="0" hidden="1"/>
    </xf>
    <xf numFmtId="0" fontId="38" fillId="10" borderId="119" xfId="0" applyFont="1" applyFill="1" applyBorder="1" applyAlignment="1" applyProtection="1">
      <alignment horizontal="center" vertical="center" wrapText="1"/>
      <protection locked="0" hidden="1"/>
    </xf>
    <xf numFmtId="0" fontId="0" fillId="27" borderId="76" xfId="0" applyFont="1" applyFill="1" applyBorder="1" applyAlignment="1" applyProtection="1">
      <alignment horizontal="center"/>
      <protection locked="0" hidden="1"/>
    </xf>
    <xf numFmtId="0" fontId="0" fillId="27" borderId="80" xfId="0" applyFont="1" applyFill="1" applyBorder="1" applyAlignment="1" applyProtection="1">
      <alignment horizontal="center"/>
      <protection locked="0" hidden="1"/>
    </xf>
    <xf numFmtId="169" fontId="20" fillId="0" borderId="80" xfId="0" applyNumberFormat="1" applyFont="1" applyBorder="1" applyAlignment="1" applyProtection="1">
      <alignment horizontal="center" vertical="center"/>
      <protection hidden="1"/>
    </xf>
    <xf numFmtId="0" fontId="38" fillId="25" borderId="113" xfId="0" applyFont="1" applyFill="1" applyBorder="1" applyAlignment="1" applyProtection="1">
      <alignment horizontal="center" vertical="center" wrapText="1"/>
      <protection hidden="1"/>
    </xf>
    <xf numFmtId="0" fontId="38" fillId="25" borderId="114" xfId="0" applyFont="1" applyFill="1" applyBorder="1" applyAlignment="1" applyProtection="1">
      <alignment horizontal="center" vertical="center" wrapText="1"/>
      <protection hidden="1"/>
    </xf>
    <xf numFmtId="0" fontId="38" fillId="25" borderId="115" xfId="0" applyFont="1" applyFill="1" applyBorder="1" applyAlignment="1" applyProtection="1">
      <alignment horizontal="center" vertical="center" wrapText="1"/>
      <protection hidden="1"/>
    </xf>
    <xf numFmtId="0" fontId="38" fillId="25" borderId="116" xfId="0" applyFont="1" applyFill="1" applyBorder="1" applyAlignment="1" applyProtection="1">
      <alignment horizontal="center" vertical="center" wrapText="1"/>
      <protection hidden="1"/>
    </xf>
    <xf numFmtId="0" fontId="38" fillId="25" borderId="0" xfId="0" applyFont="1" applyFill="1" applyBorder="1" applyAlignment="1" applyProtection="1">
      <alignment horizontal="center" vertical="center" wrapText="1"/>
      <protection hidden="1"/>
    </xf>
    <xf numFmtId="0" fontId="38" fillId="25" borderId="117" xfId="0" applyFont="1" applyFill="1" applyBorder="1" applyAlignment="1" applyProtection="1">
      <alignment horizontal="center" vertical="center" wrapText="1"/>
      <protection hidden="1"/>
    </xf>
    <xf numFmtId="0" fontId="38" fillId="25" borderId="118" xfId="0" applyFont="1" applyFill="1" applyBorder="1" applyAlignment="1" applyProtection="1">
      <alignment horizontal="center" vertical="center" wrapText="1"/>
      <protection hidden="1"/>
    </xf>
    <xf numFmtId="0" fontId="38" fillId="25" borderId="79" xfId="0" applyFont="1" applyFill="1" applyBorder="1" applyAlignment="1" applyProtection="1">
      <alignment horizontal="center" vertical="center" wrapText="1"/>
      <protection hidden="1"/>
    </xf>
    <xf numFmtId="0" fontId="38" fillId="25" borderId="119" xfId="0" applyFont="1" applyFill="1" applyBorder="1" applyAlignment="1" applyProtection="1">
      <alignment horizontal="center" vertical="center" wrapText="1"/>
      <protection hidden="1"/>
    </xf>
    <xf numFmtId="0" fontId="0" fillId="27" borderId="76" xfId="0" applyFont="1" applyFill="1" applyBorder="1" applyAlignment="1" applyProtection="1">
      <alignment horizontal="center" vertical="center"/>
      <protection locked="0" hidden="1"/>
    </xf>
    <xf numFmtId="0" fontId="0" fillId="27" borderId="79" xfId="0" applyFont="1" applyFill="1" applyBorder="1" applyAlignment="1" applyProtection="1">
      <alignment horizontal="right"/>
      <protection hidden="1"/>
    </xf>
    <xf numFmtId="0" fontId="43" fillId="26" borderId="79" xfId="0" applyFont="1" applyFill="1" applyBorder="1" applyAlignment="1" applyProtection="1">
      <alignment horizontal="left" vertical="center"/>
      <protection hidden="1"/>
    </xf>
    <xf numFmtId="0" fontId="0" fillId="27" borderId="79" xfId="0" applyFont="1" applyFill="1" applyBorder="1" applyAlignment="1" applyProtection="1">
      <alignment horizontal="center"/>
      <protection locked="0" hidden="1"/>
    </xf>
    <xf numFmtId="165" fontId="76" fillId="25" borderId="0" xfId="0" applyNumberFormat="1" applyFont="1" applyFill="1" applyBorder="1" applyAlignment="1" applyProtection="1">
      <alignment horizontal="center" vertical="top" textRotation="180"/>
      <protection locked="0" hidden="1"/>
    </xf>
    <xf numFmtId="0" fontId="43" fillId="26" borderId="79" xfId="0" applyFont="1" applyFill="1" applyBorder="1" applyAlignment="1" applyProtection="1">
      <alignment horizontal="left" indent="1"/>
      <protection hidden="1"/>
    </xf>
    <xf numFmtId="0" fontId="0" fillId="34" borderId="80" xfId="0" applyFont="1" applyFill="1" applyBorder="1" applyAlignment="1" applyProtection="1">
      <alignment horizontal="center"/>
      <protection hidden="1"/>
    </xf>
    <xf numFmtId="0" fontId="0" fillId="35" borderId="80" xfId="0" applyFont="1" applyFill="1" applyBorder="1" applyAlignment="1" applyProtection="1">
      <alignment horizontal="center"/>
      <protection locked="0" hidden="1"/>
    </xf>
    <xf numFmtId="0" fontId="63" fillId="0" borderId="0" xfId="0" applyFont="1" applyBorder="1" applyAlignment="1" applyProtection="1">
      <alignment horizontal="left"/>
      <protection hidden="1"/>
    </xf>
    <xf numFmtId="165" fontId="76" fillId="25" borderId="0" xfId="0" applyNumberFormat="1" applyFont="1" applyFill="1" applyBorder="1" applyAlignment="1" applyProtection="1">
      <alignment horizontal="center"/>
      <protection locked="0" hidden="1"/>
    </xf>
    <xf numFmtId="0" fontId="63" fillId="25" borderId="0" xfId="0" applyFont="1" applyFill="1" applyBorder="1" applyAlignment="1" applyProtection="1">
      <alignment horizontal="center"/>
      <protection hidden="1"/>
    </xf>
    <xf numFmtId="0" fontId="63" fillId="0" borderId="0" xfId="0" applyFont="1" applyBorder="1" applyAlignment="1" applyProtection="1">
      <alignment horizontal="right" textRotation="90"/>
      <protection hidden="1"/>
    </xf>
    <xf numFmtId="0" fontId="0" fillId="0" borderId="80" xfId="0" applyFont="1" applyBorder="1" applyAlignment="1" applyProtection="1">
      <alignment horizontal="center"/>
      <protection hidden="1"/>
    </xf>
    <xf numFmtId="0" fontId="63" fillId="27" borderId="76" xfId="0" applyFont="1" applyFill="1" applyBorder="1" applyAlignment="1" applyProtection="1">
      <alignment horizontal="center"/>
      <protection locked="0" hidden="1"/>
    </xf>
    <xf numFmtId="0" fontId="63" fillId="0" borderId="0" xfId="0" applyFont="1" applyAlignment="1" applyProtection="1">
      <alignment horizontal="left"/>
      <protection hidden="1"/>
    </xf>
    <xf numFmtId="165" fontId="64" fillId="25" borderId="0" xfId="0" applyNumberFormat="1" applyFont="1" applyFill="1" applyBorder="1" applyAlignment="1" applyProtection="1">
      <alignment horizontal="center"/>
      <protection locked="0" hidden="1"/>
    </xf>
    <xf numFmtId="0" fontId="63" fillId="0" borderId="0" xfId="0" applyFont="1" applyBorder="1" applyAlignment="1" applyProtection="1">
      <alignment horizontal="left" vertical="top" textRotation="180"/>
      <protection hidden="1"/>
    </xf>
    <xf numFmtId="0" fontId="67" fillId="0" borderId="80" xfId="0" applyFont="1" applyBorder="1" applyAlignment="1" applyProtection="1">
      <alignment horizontal="center"/>
      <protection hidden="1"/>
    </xf>
    <xf numFmtId="0" fontId="63" fillId="25" borderId="80" xfId="0" applyFont="1" applyFill="1" applyBorder="1" applyAlignment="1" applyProtection="1">
      <alignment horizontal="center"/>
      <protection hidden="1"/>
    </xf>
    <xf numFmtId="0" fontId="7" fillId="34" borderId="80" xfId="0" applyFont="1" applyFill="1" applyBorder="1" applyAlignment="1" applyProtection="1">
      <alignment horizontal="center" vertical="center"/>
      <protection hidden="1"/>
    </xf>
    <xf numFmtId="0" fontId="59" fillId="0" borderId="0" xfId="17" applyFont="1" applyAlignment="1" applyProtection="1">
      <alignment horizontal="left" wrapText="1" indent="1"/>
      <protection hidden="1"/>
    </xf>
    <xf numFmtId="0" fontId="53" fillId="25" borderId="0" xfId="15" applyFill="1" applyAlignment="1" applyProtection="1">
      <alignment horizontal="center"/>
      <protection hidden="1"/>
    </xf>
    <xf numFmtId="0" fontId="60" fillId="27" borderId="78" xfId="15" applyFont="1" applyFill="1" applyBorder="1" applyAlignment="1" applyProtection="1">
      <alignment horizontal="center" vertical="center"/>
      <protection locked="0" hidden="1"/>
    </xf>
    <xf numFmtId="165" fontId="76" fillId="25" borderId="0" xfId="0" applyNumberFormat="1" applyFont="1" applyFill="1" applyBorder="1" applyAlignment="1" applyProtection="1">
      <alignment horizontal="center" textRotation="90"/>
      <protection locked="0" hidden="1"/>
    </xf>
    <xf numFmtId="0" fontId="0" fillId="27" borderId="76" xfId="0" applyFont="1" applyFill="1" applyBorder="1" applyAlignment="1" applyProtection="1">
      <alignment horizontal="center"/>
      <protection hidden="1"/>
    </xf>
    <xf numFmtId="0" fontId="21" fillId="0" borderId="0" xfId="0" applyFont="1" applyFill="1" applyBorder="1" applyAlignment="1" applyProtection="1">
      <alignment horizontal="right"/>
      <protection hidden="1"/>
    </xf>
    <xf numFmtId="0" fontId="79" fillId="0" borderId="0" xfId="17" applyFont="1" applyAlignment="1" applyProtection="1">
      <alignment horizontal="left" wrapText="1" indent="1"/>
      <protection hidden="1"/>
    </xf>
    <xf numFmtId="0" fontId="43" fillId="26" borderId="76" xfId="0" applyFont="1" applyFill="1" applyBorder="1" applyAlignment="1" applyProtection="1">
      <alignment horizontal="left" vertical="center" indent="1"/>
      <protection hidden="1"/>
    </xf>
    <xf numFmtId="0" fontId="43" fillId="26" borderId="79" xfId="0" applyFont="1" applyFill="1" applyBorder="1" applyAlignment="1" applyProtection="1">
      <alignment horizontal="center" vertical="center"/>
      <protection hidden="1"/>
    </xf>
    <xf numFmtId="165" fontId="0" fillId="32" borderId="79" xfId="0" applyNumberFormat="1" applyFill="1" applyBorder="1" applyAlignment="1" applyProtection="1">
      <alignment horizontal="center" vertical="center"/>
      <protection hidden="1"/>
    </xf>
    <xf numFmtId="0" fontId="21" fillId="25" borderId="0" xfId="0" applyFont="1" applyFill="1" applyBorder="1" applyAlignment="1" applyProtection="1">
      <alignment horizontal="left" vertical="center"/>
      <protection hidden="1"/>
    </xf>
    <xf numFmtId="0" fontId="80" fillId="26" borderId="0" xfId="15" applyFont="1" applyFill="1" applyAlignment="1" applyProtection="1">
      <alignment horizontal="left" vertical="center"/>
      <protection hidden="1"/>
    </xf>
    <xf numFmtId="0" fontId="0" fillId="27" borderId="86" xfId="0" applyFill="1" applyBorder="1" applyAlignment="1" applyProtection="1">
      <alignment horizontal="center"/>
      <protection locked="0" hidden="1"/>
    </xf>
    <xf numFmtId="0" fontId="0" fillId="27" borderId="79" xfId="0" applyFill="1" applyBorder="1" applyAlignment="1" applyProtection="1">
      <alignment horizontal="center"/>
      <protection locked="0" hidden="1"/>
    </xf>
    <xf numFmtId="0" fontId="0" fillId="27" borderId="87" xfId="0" applyFill="1" applyBorder="1" applyAlignment="1" applyProtection="1">
      <alignment horizontal="center"/>
      <protection locked="0" hidden="1"/>
    </xf>
    <xf numFmtId="0" fontId="0" fillId="27" borderId="81" xfId="0" applyFill="1" applyBorder="1" applyAlignment="1" applyProtection="1">
      <alignment horizontal="left" indent="1"/>
      <protection hidden="1"/>
    </xf>
    <xf numFmtId="0" fontId="0" fillId="27" borderId="82" xfId="0" applyFill="1" applyBorder="1" applyAlignment="1" applyProtection="1">
      <alignment horizontal="left" indent="1"/>
      <protection hidden="1"/>
    </xf>
    <xf numFmtId="0" fontId="0" fillId="27" borderId="83" xfId="0" applyFill="1" applyBorder="1" applyAlignment="1" applyProtection="1">
      <alignment horizontal="left" indent="1"/>
      <protection hidden="1"/>
    </xf>
    <xf numFmtId="0" fontId="21" fillId="25" borderId="0" xfId="0" applyFont="1" applyFill="1" applyBorder="1" applyAlignment="1" applyProtection="1">
      <alignment horizontal="center" vertical="center"/>
      <protection hidden="1"/>
    </xf>
    <xf numFmtId="0" fontId="0" fillId="27" borderId="84" xfId="0" applyFill="1" applyBorder="1" applyAlignment="1" applyProtection="1">
      <alignment horizontal="center"/>
      <protection locked="0" hidden="1"/>
    </xf>
    <xf numFmtId="0" fontId="0" fillId="27" borderId="0" xfId="0" applyFill="1" applyBorder="1" applyAlignment="1" applyProtection="1">
      <alignment horizontal="center"/>
      <protection locked="0" hidden="1"/>
    </xf>
    <xf numFmtId="0" fontId="0" fillId="27" borderId="85" xfId="0" applyFill="1" applyBorder="1" applyAlignment="1" applyProtection="1">
      <alignment horizontal="center"/>
      <protection locked="0" hidden="1"/>
    </xf>
    <xf numFmtId="0" fontId="43" fillId="26" borderId="79" xfId="0" applyFont="1" applyFill="1" applyBorder="1" applyAlignment="1" applyProtection="1">
      <alignment horizontal="left" vertical="center" indent="1"/>
      <protection hidden="1"/>
    </xf>
    <xf numFmtId="0" fontId="21" fillId="25" borderId="0" xfId="0" applyFont="1" applyFill="1" applyBorder="1" applyAlignment="1" applyProtection="1">
      <alignment horizontal="left" vertical="center" indent="4"/>
      <protection hidden="1"/>
    </xf>
    <xf numFmtId="0" fontId="0" fillId="27" borderId="79" xfId="0" applyFill="1" applyBorder="1" applyAlignment="1" applyProtection="1">
      <alignment horizontal="center" vertical="center"/>
      <protection hidden="1"/>
    </xf>
    <xf numFmtId="0" fontId="0" fillId="0" borderId="0" xfId="0" applyAlignment="1">
      <alignment horizontal="center"/>
    </xf>
    <xf numFmtId="14" fontId="0" fillId="0" borderId="0" xfId="0" applyNumberFormat="1" applyFont="1" applyBorder="1" applyAlignment="1" applyProtection="1">
      <alignment horizontal="center"/>
      <protection hidden="1"/>
    </xf>
    <xf numFmtId="0" fontId="0" fillId="0" borderId="0" xfId="0" applyFont="1" applyBorder="1" applyAlignment="1" applyProtection="1">
      <alignment horizontal="center"/>
      <protection hidden="1"/>
    </xf>
    <xf numFmtId="0" fontId="63" fillId="26" borderId="79" xfId="0" applyFont="1" applyFill="1" applyBorder="1" applyAlignment="1" applyProtection="1">
      <alignment horizontal="left" indent="1"/>
      <protection hidden="1"/>
    </xf>
    <xf numFmtId="0" fontId="27" fillId="27" borderId="79" xfId="0" applyFont="1" applyFill="1" applyBorder="1" applyAlignment="1" applyProtection="1">
      <alignment horizontal="center"/>
      <protection hidden="1"/>
    </xf>
    <xf numFmtId="0" fontId="63" fillId="26" borderId="122" xfId="0" applyFont="1" applyFill="1" applyBorder="1" applyAlignment="1" applyProtection="1">
      <alignment horizontal="left" indent="1"/>
      <protection hidden="1"/>
    </xf>
    <xf numFmtId="0" fontId="89" fillId="27" borderId="0" xfId="1" applyFont="1" applyFill="1" applyAlignment="1" applyProtection="1">
      <alignment horizontal="center"/>
      <protection locked="0" hidden="1"/>
    </xf>
    <xf numFmtId="0" fontId="90" fillId="26" borderId="79" xfId="0" applyFont="1" applyFill="1" applyBorder="1" applyAlignment="1" applyProtection="1">
      <alignment horizontal="right" vertical="center" indent="2"/>
      <protection hidden="1"/>
    </xf>
    <xf numFmtId="9" fontId="41" fillId="32" borderId="114" xfId="0" applyNumberFormat="1" applyFont="1" applyFill="1" applyBorder="1" applyAlignment="1" applyProtection="1">
      <alignment horizontal="center" vertical="center"/>
      <protection hidden="1"/>
    </xf>
    <xf numFmtId="0" fontId="41" fillId="32" borderId="114" xfId="0" applyFont="1" applyFill="1" applyBorder="1" applyAlignment="1" applyProtection="1">
      <alignment horizontal="center" vertical="center"/>
      <protection hidden="1"/>
    </xf>
    <xf numFmtId="0" fontId="41" fillId="32" borderId="79" xfId="0" applyFont="1" applyFill="1" applyBorder="1" applyAlignment="1" applyProtection="1">
      <alignment horizontal="center" vertical="center"/>
      <protection hidden="1"/>
    </xf>
    <xf numFmtId="0" fontId="28" fillId="0" borderId="0" xfId="5" applyFont="1" applyAlignment="1" applyProtection="1">
      <alignment horizontal="right" vertical="center"/>
      <protection hidden="1"/>
    </xf>
    <xf numFmtId="0" fontId="0" fillId="0" borderId="0" xfId="0" applyFont="1" applyAlignment="1" applyProtection="1">
      <alignment horizontal="right" vertical="center"/>
      <protection hidden="1"/>
    </xf>
    <xf numFmtId="0" fontId="27" fillId="0" borderId="0" xfId="0" applyFont="1" applyBorder="1" applyAlignment="1" applyProtection="1">
      <alignment horizontal="center"/>
      <protection hidden="1"/>
    </xf>
    <xf numFmtId="0" fontId="62" fillId="27" borderId="0" xfId="5" applyFont="1" applyFill="1" applyBorder="1" applyAlignment="1" applyProtection="1">
      <alignment horizontal="center" vertical="center"/>
      <protection hidden="1"/>
    </xf>
    <xf numFmtId="0" fontId="62" fillId="27" borderId="0" xfId="0" applyFont="1" applyFill="1" applyBorder="1" applyAlignment="1" applyProtection="1">
      <alignment horizontal="center"/>
      <protection hidden="1"/>
    </xf>
    <xf numFmtId="0" fontId="0" fillId="0" borderId="0" xfId="0" applyFont="1" applyAlignment="1" applyProtection="1">
      <alignment horizontal="center"/>
      <protection hidden="1"/>
    </xf>
    <xf numFmtId="0" fontId="69" fillId="26" borderId="75" xfId="1" applyFont="1" applyFill="1" applyBorder="1" applyAlignment="1" applyProtection="1">
      <alignment horizontal="center" vertical="center"/>
      <protection locked="0" hidden="1"/>
    </xf>
    <xf numFmtId="0" fontId="73" fillId="27" borderId="0" xfId="0" applyFont="1" applyFill="1" applyAlignment="1" applyProtection="1">
      <alignment horizontal="left"/>
      <protection hidden="1"/>
    </xf>
    <xf numFmtId="0" fontId="73" fillId="27" borderId="0" xfId="0" applyFont="1" applyFill="1" applyAlignment="1" applyProtection="1">
      <alignment horizontal="left" vertical="center"/>
      <protection hidden="1"/>
    </xf>
    <xf numFmtId="0" fontId="26" fillId="0" borderId="0" xfId="0" applyFont="1" applyAlignment="1" applyProtection="1">
      <alignment horizontal="center" vertical="center"/>
      <protection hidden="1"/>
    </xf>
    <xf numFmtId="0" fontId="75" fillId="26" borderId="0" xfId="15" applyFont="1" applyFill="1" applyAlignment="1" applyProtection="1">
      <alignment horizontal="center" vertical="center"/>
      <protection hidden="1"/>
    </xf>
    <xf numFmtId="0" fontId="46" fillId="0" borderId="112" xfId="0" applyFont="1" applyFill="1" applyBorder="1" applyAlignment="1" applyProtection="1">
      <alignment horizontal="center" vertical="center"/>
      <protection hidden="1"/>
    </xf>
    <xf numFmtId="0" fontId="46" fillId="0" borderId="12" xfId="0" applyFont="1" applyFill="1" applyBorder="1" applyAlignment="1" applyProtection="1">
      <alignment horizontal="center" vertical="center"/>
      <protection hidden="1"/>
    </xf>
    <xf numFmtId="0" fontId="46" fillId="0" borderId="139" xfId="0" applyFont="1" applyFill="1" applyBorder="1" applyAlignment="1" applyProtection="1">
      <alignment horizontal="center" vertical="center"/>
      <protection hidden="1"/>
    </xf>
    <xf numFmtId="0" fontId="23" fillId="36" borderId="122" xfId="0" applyFont="1" applyFill="1" applyBorder="1" applyAlignment="1" applyProtection="1">
      <alignment horizontal="center" vertical="center"/>
      <protection hidden="1"/>
    </xf>
    <xf numFmtId="0" fontId="7" fillId="36" borderId="122" xfId="0" applyFont="1" applyFill="1" applyBorder="1" applyAlignment="1" applyProtection="1">
      <alignment horizontal="left"/>
      <protection hidden="1"/>
    </xf>
    <xf numFmtId="0" fontId="0" fillId="25" borderId="122" xfId="0" applyFont="1" applyFill="1" applyBorder="1" applyAlignment="1" applyProtection="1">
      <alignment horizontal="center"/>
      <protection hidden="1"/>
    </xf>
    <xf numFmtId="49" fontId="10" fillId="0" borderId="113" xfId="0" applyNumberFormat="1" applyFont="1" applyFill="1" applyBorder="1" applyAlignment="1" applyProtection="1">
      <alignment horizontal="center"/>
      <protection hidden="1"/>
    </xf>
    <xf numFmtId="49" fontId="10" fillId="0" borderId="114" xfId="0" applyNumberFormat="1" applyFont="1" applyFill="1" applyBorder="1" applyAlignment="1" applyProtection="1">
      <alignment horizontal="center"/>
      <protection hidden="1"/>
    </xf>
    <xf numFmtId="49" fontId="10" fillId="0" borderId="115" xfId="0" applyNumberFormat="1" applyFont="1" applyFill="1" applyBorder="1" applyAlignment="1" applyProtection="1">
      <alignment horizontal="center"/>
      <protection hidden="1"/>
    </xf>
    <xf numFmtId="49" fontId="10" fillId="0" borderId="116" xfId="0" applyNumberFormat="1" applyFont="1" applyFill="1" applyBorder="1" applyAlignment="1" applyProtection="1">
      <alignment horizontal="center"/>
      <protection hidden="1"/>
    </xf>
    <xf numFmtId="49" fontId="10" fillId="0" borderId="0" xfId="0" applyNumberFormat="1" applyFont="1" applyFill="1" applyBorder="1" applyAlignment="1" applyProtection="1">
      <alignment horizontal="center"/>
      <protection hidden="1"/>
    </xf>
    <xf numFmtId="49" fontId="10" fillId="0" borderId="117" xfId="0" applyNumberFormat="1" applyFont="1" applyFill="1" applyBorder="1" applyAlignment="1" applyProtection="1">
      <alignment horizontal="center"/>
      <protection hidden="1"/>
    </xf>
    <xf numFmtId="49" fontId="10" fillId="0" borderId="118" xfId="0" applyNumberFormat="1" applyFont="1" applyFill="1" applyBorder="1" applyAlignment="1" applyProtection="1">
      <alignment horizontal="center"/>
      <protection hidden="1"/>
    </xf>
    <xf numFmtId="49" fontId="10" fillId="0" borderId="79" xfId="0" applyNumberFormat="1" applyFont="1" applyFill="1" applyBorder="1" applyAlignment="1" applyProtection="1">
      <alignment horizontal="center"/>
      <protection hidden="1"/>
    </xf>
    <xf numFmtId="49" fontId="10" fillId="0" borderId="119" xfId="0" applyNumberFormat="1" applyFont="1" applyFill="1" applyBorder="1" applyAlignment="1" applyProtection="1">
      <alignment horizontal="center"/>
      <protection hidden="1"/>
    </xf>
    <xf numFmtId="0" fontId="7" fillId="36" borderId="112" xfId="0" applyFont="1" applyFill="1" applyBorder="1" applyAlignment="1" applyProtection="1">
      <alignment horizontal="center" vertical="center"/>
      <protection hidden="1"/>
    </xf>
    <xf numFmtId="0" fontId="7" fillId="36" borderId="12" xfId="0" applyFont="1" applyFill="1" applyBorder="1" applyAlignment="1" applyProtection="1">
      <alignment horizontal="center" vertical="center"/>
      <protection hidden="1"/>
    </xf>
    <xf numFmtId="165" fontId="21" fillId="25" borderId="12" xfId="0" applyNumberFormat="1" applyFont="1" applyFill="1" applyBorder="1" applyAlignment="1" applyProtection="1">
      <alignment horizontal="center" vertical="center"/>
      <protection locked="0" hidden="1"/>
    </xf>
    <xf numFmtId="165" fontId="21" fillId="25" borderId="139" xfId="0" applyNumberFormat="1" applyFont="1" applyFill="1" applyBorder="1" applyAlignment="1" applyProtection="1">
      <alignment horizontal="center" vertical="center"/>
      <protection locked="0" hidden="1"/>
    </xf>
    <xf numFmtId="165" fontId="21" fillId="25" borderId="16" xfId="0" applyNumberFormat="1" applyFont="1" applyFill="1" applyBorder="1" applyAlignment="1" applyProtection="1">
      <alignment horizontal="center" vertical="center" textRotation="90"/>
      <protection locked="0" hidden="1"/>
    </xf>
    <xf numFmtId="165" fontId="21" fillId="25" borderId="10" xfId="0" applyNumberFormat="1" applyFont="1" applyFill="1" applyBorder="1" applyAlignment="1" applyProtection="1">
      <alignment horizontal="center" vertical="center" textRotation="90"/>
      <protection locked="0" hidden="1"/>
    </xf>
    <xf numFmtId="0" fontId="7" fillId="36" borderId="10" xfId="0" applyFont="1" applyFill="1" applyBorder="1" applyAlignment="1" applyProtection="1">
      <alignment horizontal="center" vertical="center" textRotation="90"/>
      <protection hidden="1"/>
    </xf>
    <xf numFmtId="0" fontId="7" fillId="36" borderId="18" xfId="0" applyFont="1" applyFill="1" applyBorder="1" applyAlignment="1" applyProtection="1">
      <alignment horizontal="center" vertical="center" textRotation="90"/>
      <protection hidden="1"/>
    </xf>
    <xf numFmtId="0" fontId="0" fillId="25" borderId="79" xfId="0" applyFont="1" applyFill="1" applyBorder="1" applyAlignment="1" applyProtection="1">
      <alignment horizontal="center"/>
      <protection hidden="1"/>
    </xf>
    <xf numFmtId="0" fontId="91" fillId="36" borderId="0" xfId="0" applyFont="1" applyFill="1" applyBorder="1" applyAlignment="1" applyProtection="1">
      <alignment horizontal="center" vertical="center" textRotation="180"/>
      <protection hidden="1"/>
    </xf>
    <xf numFmtId="0" fontId="0" fillId="25" borderId="122" xfId="0" applyFont="1" applyFill="1" applyBorder="1" applyAlignment="1" applyProtection="1">
      <alignment horizontal="center" vertical="center"/>
      <protection hidden="1"/>
    </xf>
    <xf numFmtId="0" fontId="7" fillId="36" borderId="0" xfId="0" applyFont="1" applyFill="1" applyAlignment="1" applyProtection="1">
      <alignment horizontal="left"/>
      <protection hidden="1"/>
    </xf>
    <xf numFmtId="0" fontId="0" fillId="25" borderId="122" xfId="0" applyFill="1" applyBorder="1" applyAlignment="1" applyProtection="1">
      <alignment horizontal="center"/>
      <protection hidden="1"/>
    </xf>
    <xf numFmtId="0" fontId="38" fillId="25" borderId="0" xfId="0" applyFont="1" applyFill="1" applyAlignment="1" applyProtection="1">
      <alignment horizontal="center"/>
      <protection hidden="1"/>
    </xf>
    <xf numFmtId="0" fontId="47" fillId="0" borderId="0" xfId="0" applyFont="1" applyFill="1" applyBorder="1" applyAlignment="1" applyProtection="1">
      <alignment horizontal="center" vertical="center"/>
      <protection hidden="1"/>
    </xf>
    <xf numFmtId="0" fontId="19" fillId="0" borderId="26" xfId="0" applyFont="1" applyFill="1" applyBorder="1" applyAlignment="1" applyProtection="1">
      <alignment horizontal="left"/>
      <protection hidden="1"/>
    </xf>
    <xf numFmtId="0" fontId="19" fillId="0" borderId="0" xfId="0" applyFont="1" applyFill="1" applyBorder="1" applyAlignment="1" applyProtection="1">
      <alignment horizontal="left"/>
      <protection hidden="1"/>
    </xf>
    <xf numFmtId="0" fontId="19" fillId="0" borderId="25" xfId="0" applyFont="1" applyFill="1" applyBorder="1" applyAlignment="1" applyProtection="1">
      <alignment horizontal="left"/>
      <protection hidden="1"/>
    </xf>
    <xf numFmtId="0" fontId="3" fillId="15" borderId="33" xfId="0" applyFont="1" applyFill="1" applyBorder="1" applyAlignment="1" applyProtection="1">
      <alignment horizontal="center"/>
      <protection hidden="1"/>
    </xf>
    <xf numFmtId="0" fontId="0" fillId="0" borderId="0" xfId="0" applyAlignment="1" applyProtection="1">
      <alignment horizontal="center"/>
      <protection hidden="1"/>
    </xf>
    <xf numFmtId="0" fontId="42" fillId="0" borderId="27" xfId="1" applyFont="1" applyBorder="1" applyAlignment="1" applyProtection="1">
      <alignment horizontal="right" vertical="center"/>
      <protection hidden="1"/>
    </xf>
    <xf numFmtId="0" fontId="42" fillId="0" borderId="17" xfId="1" applyFont="1" applyBorder="1" applyAlignment="1" applyProtection="1">
      <alignment horizontal="right" vertical="center"/>
      <protection hidden="1"/>
    </xf>
    <xf numFmtId="0" fontId="19" fillId="0" borderId="17" xfId="0" applyFont="1" applyBorder="1" applyAlignment="1" applyProtection="1">
      <alignment horizontal="right" vertical="center"/>
      <protection hidden="1"/>
    </xf>
    <xf numFmtId="0" fontId="19" fillId="0" borderId="28" xfId="0" applyFont="1" applyBorder="1" applyAlignment="1" applyProtection="1">
      <alignment horizontal="right" vertical="center"/>
      <protection hidden="1"/>
    </xf>
    <xf numFmtId="0" fontId="34" fillId="0" borderId="1" xfId="5" applyFont="1" applyFill="1" applyBorder="1" applyAlignment="1" applyProtection="1">
      <alignment horizontal="right"/>
      <protection hidden="1"/>
    </xf>
    <xf numFmtId="0" fontId="34" fillId="0" borderId="19" xfId="5" applyFont="1" applyFill="1" applyBorder="1" applyAlignment="1" applyProtection="1">
      <alignment horizontal="right"/>
      <protection hidden="1"/>
    </xf>
    <xf numFmtId="0" fontId="34" fillId="0" borderId="2" xfId="5" applyFont="1" applyFill="1" applyBorder="1" applyAlignment="1" applyProtection="1">
      <alignment horizontal="right"/>
      <protection hidden="1"/>
    </xf>
    <xf numFmtId="0" fontId="0" fillId="14" borderId="1" xfId="0" applyFill="1" applyBorder="1" applyAlignment="1" applyProtection="1">
      <alignment horizontal="center" vertical="top"/>
      <protection hidden="1"/>
    </xf>
    <xf numFmtId="0" fontId="0" fillId="14" borderId="19" xfId="0" applyFill="1" applyBorder="1" applyAlignment="1" applyProtection="1">
      <alignment horizontal="center" vertical="top"/>
      <protection hidden="1"/>
    </xf>
    <xf numFmtId="0" fontId="0" fillId="14" borderId="27" xfId="0" applyFill="1" applyBorder="1" applyAlignment="1" applyProtection="1">
      <alignment horizontal="center" vertical="top"/>
      <protection hidden="1"/>
    </xf>
    <xf numFmtId="0" fontId="0" fillId="14" borderId="17" xfId="0" applyFill="1" applyBorder="1" applyAlignment="1" applyProtection="1">
      <alignment horizontal="center" vertical="top"/>
      <protection hidden="1"/>
    </xf>
    <xf numFmtId="0" fontId="0" fillId="0" borderId="19"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28" xfId="0" applyBorder="1" applyAlignment="1" applyProtection="1">
      <alignment horizontal="left" vertical="top"/>
      <protection locked="0"/>
    </xf>
    <xf numFmtId="0" fontId="11" fillId="12" borderId="22" xfId="0" applyFont="1" applyFill="1" applyBorder="1" applyAlignment="1" applyProtection="1">
      <alignment horizontal="center" vertical="center" wrapText="1"/>
      <protection hidden="1"/>
    </xf>
    <xf numFmtId="0" fontId="11" fillId="12" borderId="23" xfId="0" applyFont="1" applyFill="1" applyBorder="1" applyAlignment="1" applyProtection="1">
      <alignment horizontal="center" vertical="center" wrapText="1"/>
      <protection hidden="1"/>
    </xf>
    <xf numFmtId="0" fontId="0" fillId="0" borderId="0" xfId="0" applyBorder="1" applyAlignment="1" applyProtection="1">
      <protection hidden="1"/>
    </xf>
    <xf numFmtId="0" fontId="0" fillId="0" borderId="25" xfId="0" applyBorder="1" applyAlignment="1" applyProtection="1">
      <protection hidden="1"/>
    </xf>
    <xf numFmtId="0" fontId="0" fillId="15" borderId="32" xfId="0" applyFill="1" applyBorder="1" applyAlignment="1" applyProtection="1">
      <alignment horizontal="center"/>
      <protection hidden="1"/>
    </xf>
    <xf numFmtId="0" fontId="0" fillId="15" borderId="7" xfId="0" applyFill="1" applyBorder="1" applyAlignment="1" applyProtection="1">
      <alignment horizontal="center"/>
      <protection hidden="1"/>
    </xf>
    <xf numFmtId="0" fontId="26" fillId="14" borderId="1" xfId="0" applyFont="1" applyFill="1" applyBorder="1" applyAlignment="1" applyProtection="1">
      <alignment horizontal="center" vertical="top"/>
      <protection hidden="1"/>
    </xf>
    <xf numFmtId="0" fontId="26" fillId="14" borderId="19" xfId="0" applyFont="1" applyFill="1" applyBorder="1" applyAlignment="1" applyProtection="1">
      <alignment horizontal="center" vertical="top"/>
      <protection hidden="1"/>
    </xf>
    <xf numFmtId="0" fontId="26" fillId="14" borderId="26" xfId="0" applyFont="1" applyFill="1" applyBorder="1" applyAlignment="1" applyProtection="1">
      <alignment horizontal="center" vertical="top"/>
      <protection hidden="1"/>
    </xf>
    <xf numFmtId="0" fontId="26" fillId="14" borderId="0" xfId="0" applyFont="1" applyFill="1" applyBorder="1" applyAlignment="1" applyProtection="1">
      <alignment horizontal="center" vertical="top"/>
      <protection hidden="1"/>
    </xf>
    <xf numFmtId="0" fontId="26" fillId="14" borderId="27" xfId="0" applyFont="1" applyFill="1" applyBorder="1" applyAlignment="1" applyProtection="1">
      <alignment horizontal="center" vertical="top"/>
      <protection hidden="1"/>
    </xf>
    <xf numFmtId="0" fontId="26" fillId="14" borderId="17" xfId="0" applyFont="1" applyFill="1" applyBorder="1" applyAlignment="1" applyProtection="1">
      <alignment horizontal="center" vertical="top"/>
      <protection hidden="1"/>
    </xf>
    <xf numFmtId="0" fontId="41" fillId="0" borderId="19" xfId="0" applyFont="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0" xfId="0" applyFont="1" applyBorder="1" applyAlignment="1" applyProtection="1">
      <alignment horizontal="left" vertical="top" wrapText="1"/>
      <protection locked="0"/>
    </xf>
    <xf numFmtId="0" fontId="41" fillId="0" borderId="25" xfId="0" applyFont="1" applyBorder="1" applyAlignment="1" applyProtection="1">
      <alignment horizontal="left" vertical="top" wrapText="1"/>
      <protection locked="0"/>
    </xf>
    <xf numFmtId="0" fontId="41" fillId="0" borderId="17" xfId="0" applyFont="1" applyBorder="1" applyAlignment="1" applyProtection="1">
      <alignment horizontal="left" vertical="top" wrapText="1"/>
      <protection locked="0"/>
    </xf>
    <xf numFmtId="0" fontId="41" fillId="0" borderId="28" xfId="0" applyFont="1" applyBorder="1" applyAlignment="1" applyProtection="1">
      <alignment horizontal="left" vertical="top" wrapText="1"/>
      <protection locked="0"/>
    </xf>
    <xf numFmtId="164" fontId="34" fillId="6" borderId="20" xfId="0" applyNumberFormat="1" applyFont="1" applyFill="1" applyBorder="1" applyAlignment="1" applyProtection="1">
      <alignment horizontal="center"/>
      <protection hidden="1"/>
    </xf>
    <xf numFmtId="0" fontId="28" fillId="6" borderId="12" xfId="0" applyFont="1" applyFill="1" applyBorder="1" applyProtection="1">
      <protection hidden="1"/>
    </xf>
    <xf numFmtId="164" fontId="34" fillId="6" borderId="12" xfId="0" applyNumberFormat="1" applyFont="1" applyFill="1" applyBorder="1" applyAlignment="1" applyProtection="1">
      <alignment horizontal="center" vertical="center"/>
      <protection hidden="1"/>
    </xf>
    <xf numFmtId="164" fontId="34" fillId="6" borderId="21" xfId="0" applyNumberFormat="1" applyFont="1" applyFill="1" applyBorder="1" applyAlignment="1" applyProtection="1">
      <alignment horizontal="center" vertical="center"/>
      <protection hidden="1"/>
    </xf>
    <xf numFmtId="0" fontId="19" fillId="15" borderId="22" xfId="0" applyFont="1" applyFill="1" applyBorder="1" applyAlignment="1" applyProtection="1">
      <alignment horizontal="center" vertical="center" wrapText="1"/>
      <protection hidden="1"/>
    </xf>
    <xf numFmtId="0" fontId="19" fillId="15" borderId="23" xfId="0" applyFont="1" applyFill="1" applyBorder="1" applyAlignment="1" applyProtection="1">
      <alignment horizontal="center" vertical="center" wrapText="1"/>
      <protection hidden="1"/>
    </xf>
    <xf numFmtId="165" fontId="19" fillId="14" borderId="23" xfId="0" applyNumberFormat="1" applyFont="1" applyFill="1" applyBorder="1" applyAlignment="1" applyProtection="1">
      <alignment horizontal="center" vertical="center"/>
      <protection locked="0" hidden="1"/>
    </xf>
    <xf numFmtId="165" fontId="19" fillId="14" borderId="24" xfId="0" applyNumberFormat="1" applyFont="1" applyFill="1" applyBorder="1" applyAlignment="1" applyProtection="1">
      <alignment horizontal="center" vertical="center"/>
      <protection locked="0" hidden="1"/>
    </xf>
    <xf numFmtId="0" fontId="41" fillId="15" borderId="1" xfId="0" applyFont="1" applyFill="1" applyBorder="1" applyAlignment="1" applyProtection="1">
      <alignment horizontal="center" vertical="center"/>
      <protection hidden="1"/>
    </xf>
    <xf numFmtId="0" fontId="41" fillId="15" borderId="19" xfId="0" applyFont="1" applyFill="1" applyBorder="1" applyAlignment="1" applyProtection="1">
      <alignment horizontal="center" vertical="center"/>
      <protection hidden="1"/>
    </xf>
    <xf numFmtId="0" fontId="41" fillId="15" borderId="52" xfId="0" applyFont="1" applyFill="1" applyBorder="1" applyAlignment="1" applyProtection="1">
      <alignment horizontal="center" vertical="center"/>
      <protection hidden="1"/>
    </xf>
    <xf numFmtId="0" fontId="41" fillId="15" borderId="53" xfId="0" applyFont="1" applyFill="1" applyBorder="1" applyAlignment="1" applyProtection="1">
      <alignment horizontal="center" vertical="center"/>
      <protection hidden="1"/>
    </xf>
    <xf numFmtId="44" fontId="41" fillId="10" borderId="2" xfId="14" applyFont="1" applyFill="1" applyBorder="1" applyAlignment="1" applyProtection="1">
      <alignment horizontal="center" vertical="center"/>
      <protection hidden="1"/>
    </xf>
    <xf numFmtId="44" fontId="41" fillId="10" borderId="48" xfId="14" applyFont="1" applyFill="1" applyBorder="1" applyAlignment="1" applyProtection="1">
      <alignment horizontal="center" vertical="center"/>
      <protection hidden="1"/>
    </xf>
    <xf numFmtId="0" fontId="23" fillId="15" borderId="49" xfId="0" applyFont="1" applyFill="1" applyBorder="1" applyAlignment="1" applyProtection="1">
      <alignment horizontal="center" vertical="center"/>
      <protection hidden="1"/>
    </xf>
    <xf numFmtId="0" fontId="23" fillId="15" borderId="50" xfId="0" applyFont="1" applyFill="1" applyBorder="1" applyAlignment="1" applyProtection="1">
      <alignment horizontal="center" vertical="center"/>
      <protection hidden="1"/>
    </xf>
    <xf numFmtId="0" fontId="23" fillId="15" borderId="27" xfId="0" applyFont="1" applyFill="1" applyBorder="1" applyAlignment="1" applyProtection="1">
      <alignment horizontal="center" vertical="center"/>
      <protection hidden="1"/>
    </xf>
    <xf numFmtId="0" fontId="23" fillId="15" borderId="17" xfId="0" applyFont="1" applyFill="1" applyBorder="1" applyAlignment="1" applyProtection="1">
      <alignment horizontal="center" vertical="center"/>
      <protection hidden="1"/>
    </xf>
    <xf numFmtId="44" fontId="23" fillId="10" borderId="51" xfId="14" applyFont="1" applyFill="1" applyBorder="1" applyAlignment="1" applyProtection="1">
      <alignment horizontal="center" vertical="center"/>
      <protection hidden="1"/>
    </xf>
    <xf numFmtId="44" fontId="23" fillId="10" borderId="28" xfId="14" applyFont="1" applyFill="1" applyBorder="1" applyAlignment="1" applyProtection="1">
      <alignment horizontal="center" vertical="center"/>
      <protection hidden="1"/>
    </xf>
    <xf numFmtId="0" fontId="20" fillId="0" borderId="19" xfId="0" applyFont="1" applyBorder="1" applyAlignment="1" applyProtection="1">
      <alignment horizontal="left" vertical="center"/>
      <protection hidden="1"/>
    </xf>
    <xf numFmtId="0" fontId="20" fillId="0" borderId="2" xfId="0" applyFont="1" applyBorder="1" applyAlignment="1" applyProtection="1">
      <alignment horizontal="left" vertical="center"/>
      <protection hidden="1"/>
    </xf>
    <xf numFmtId="0" fontId="20" fillId="0" borderId="17" xfId="0" applyFont="1" applyBorder="1" applyAlignment="1" applyProtection="1">
      <alignment horizontal="left" vertical="center"/>
      <protection hidden="1"/>
    </xf>
    <xf numFmtId="0" fontId="20" fillId="0" borderId="28" xfId="0" applyFont="1" applyBorder="1" applyAlignment="1" applyProtection="1">
      <alignment horizontal="left" vertical="center"/>
      <protection hidden="1"/>
    </xf>
    <xf numFmtId="0" fontId="19" fillId="15" borderId="58" xfId="0" applyFont="1" applyFill="1" applyBorder="1" applyAlignment="1" applyProtection="1">
      <alignment horizontal="center" vertical="center" textRotation="90"/>
      <protection hidden="1"/>
    </xf>
    <xf numFmtId="0" fontId="19" fillId="15" borderId="54" xfId="0" applyFont="1" applyFill="1" applyBorder="1" applyAlignment="1" applyProtection="1">
      <alignment horizontal="left" vertical="center"/>
      <protection hidden="1"/>
    </xf>
    <xf numFmtId="0" fontId="19" fillId="15" borderId="55" xfId="0" applyFont="1" applyFill="1" applyBorder="1" applyAlignment="1" applyProtection="1">
      <alignment horizontal="left" vertical="center"/>
      <protection hidden="1"/>
    </xf>
    <xf numFmtId="0" fontId="0" fillId="16" borderId="1" xfId="0" applyFont="1" applyFill="1" applyBorder="1" applyAlignment="1" applyProtection="1">
      <alignment horizontal="center"/>
      <protection hidden="1"/>
    </xf>
    <xf numFmtId="0" fontId="0" fillId="16" borderId="26" xfId="0" applyFont="1" applyFill="1" applyBorder="1" applyAlignment="1" applyProtection="1">
      <alignment horizontal="center"/>
      <protection hidden="1"/>
    </xf>
    <xf numFmtId="0" fontId="0" fillId="16" borderId="27" xfId="0" applyFont="1" applyFill="1" applyBorder="1" applyAlignment="1" applyProtection="1">
      <alignment horizontal="center"/>
      <protection hidden="1"/>
    </xf>
    <xf numFmtId="166" fontId="21" fillId="16" borderId="19" xfId="0" applyNumberFormat="1" applyFont="1" applyFill="1" applyBorder="1" applyAlignment="1" applyProtection="1">
      <alignment horizontal="left" vertical="center"/>
      <protection hidden="1"/>
    </xf>
    <xf numFmtId="166" fontId="21" fillId="16" borderId="2" xfId="0" applyNumberFormat="1" applyFont="1" applyFill="1" applyBorder="1" applyAlignment="1" applyProtection="1">
      <alignment horizontal="left" vertical="center"/>
      <protection hidden="1"/>
    </xf>
    <xf numFmtId="166" fontId="21" fillId="16" borderId="0" xfId="0" applyNumberFormat="1" applyFont="1" applyFill="1" applyBorder="1" applyAlignment="1" applyProtection="1">
      <alignment horizontal="left" vertical="center"/>
      <protection hidden="1"/>
    </xf>
    <xf numFmtId="166" fontId="21" fillId="16" borderId="25" xfId="0" applyNumberFormat="1" applyFont="1" applyFill="1" applyBorder="1" applyAlignment="1" applyProtection="1">
      <alignment horizontal="left" vertical="center"/>
      <protection hidden="1"/>
    </xf>
    <xf numFmtId="166" fontId="21" fillId="16" borderId="17" xfId="0" applyNumberFormat="1" applyFont="1" applyFill="1" applyBorder="1" applyAlignment="1" applyProtection="1">
      <alignment horizontal="left" vertical="center"/>
      <protection hidden="1"/>
    </xf>
    <xf numFmtId="166" fontId="21" fillId="16" borderId="28" xfId="0" applyNumberFormat="1" applyFont="1" applyFill="1" applyBorder="1" applyAlignment="1" applyProtection="1">
      <alignment horizontal="left" vertical="center"/>
      <protection hidden="1"/>
    </xf>
    <xf numFmtId="165" fontId="20" fillId="11" borderId="56" xfId="0" applyNumberFormat="1" applyFont="1" applyFill="1" applyBorder="1" applyAlignment="1" applyProtection="1">
      <alignment horizontal="center" vertical="center"/>
      <protection locked="0" hidden="1"/>
    </xf>
    <xf numFmtId="165" fontId="20" fillId="11" borderId="57" xfId="0" applyNumberFormat="1" applyFont="1" applyFill="1" applyBorder="1" applyAlignment="1" applyProtection="1">
      <alignment horizontal="center" vertical="center"/>
      <protection locked="0" hidden="1"/>
    </xf>
    <xf numFmtId="0" fontId="18" fillId="6" borderId="10" xfId="0" applyFont="1" applyFill="1" applyBorder="1" applyAlignment="1" applyProtection="1">
      <alignment horizontal="center"/>
      <protection hidden="1"/>
    </xf>
    <xf numFmtId="165" fontId="20" fillId="11" borderId="22" xfId="0" applyNumberFormat="1" applyFont="1" applyFill="1" applyBorder="1" applyAlignment="1" applyProtection="1">
      <alignment horizontal="center" vertical="center"/>
      <protection locked="0" hidden="1"/>
    </xf>
    <xf numFmtId="165" fontId="20" fillId="11" borderId="23" xfId="0" applyNumberFormat="1" applyFont="1" applyFill="1" applyBorder="1" applyAlignment="1" applyProtection="1">
      <alignment horizontal="center" vertical="center"/>
      <protection locked="0" hidden="1"/>
    </xf>
    <xf numFmtId="165" fontId="20" fillId="11" borderId="24" xfId="0" applyNumberFormat="1" applyFont="1" applyFill="1" applyBorder="1" applyAlignment="1" applyProtection="1">
      <alignment horizontal="center" vertical="center"/>
      <protection locked="0" hidden="1"/>
    </xf>
    <xf numFmtId="165" fontId="20" fillId="8" borderId="56" xfId="0" applyNumberFormat="1" applyFont="1" applyFill="1" applyBorder="1" applyAlignment="1" applyProtection="1">
      <alignment horizontal="center" vertical="center" textRotation="90"/>
      <protection locked="0" hidden="1"/>
    </xf>
    <xf numFmtId="165" fontId="20" fillId="8" borderId="58" xfId="0" applyNumberFormat="1" applyFont="1" applyFill="1" applyBorder="1" applyAlignment="1" applyProtection="1">
      <alignment horizontal="center" vertical="center" textRotation="90"/>
      <protection locked="0" hidden="1"/>
    </xf>
    <xf numFmtId="165" fontId="20" fillId="8" borderId="57" xfId="0" applyNumberFormat="1" applyFont="1" applyFill="1" applyBorder="1" applyAlignment="1" applyProtection="1">
      <alignment horizontal="center" vertical="center" textRotation="90"/>
      <protection locked="0" hidden="1"/>
    </xf>
    <xf numFmtId="164" fontId="34" fillId="6" borderId="10" xfId="0" applyNumberFormat="1" applyFont="1" applyFill="1" applyBorder="1" applyAlignment="1" applyProtection="1">
      <alignment horizontal="center" vertical="center" textRotation="90"/>
      <protection hidden="1"/>
    </xf>
    <xf numFmtId="165" fontId="20" fillId="11" borderId="56" xfId="0" applyNumberFormat="1" applyFont="1" applyFill="1" applyBorder="1" applyAlignment="1" applyProtection="1">
      <alignment horizontal="center" vertical="center" textRotation="90"/>
      <protection locked="0" hidden="1"/>
    </xf>
    <xf numFmtId="165" fontId="20" fillId="11" borderId="57" xfId="0" applyNumberFormat="1" applyFont="1" applyFill="1" applyBorder="1" applyAlignment="1" applyProtection="1">
      <alignment horizontal="center" vertical="center" textRotation="90"/>
      <protection locked="0" hidden="1"/>
    </xf>
    <xf numFmtId="0" fontId="19" fillId="15" borderId="45" xfId="0" applyFont="1" applyFill="1" applyBorder="1" applyAlignment="1" applyProtection="1">
      <alignment horizontal="left" vertical="center"/>
      <protection hidden="1"/>
    </xf>
    <xf numFmtId="0" fontId="19" fillId="15" borderId="46" xfId="0" applyFont="1" applyFill="1" applyBorder="1" applyAlignment="1" applyProtection="1">
      <alignment horizontal="left" vertical="center"/>
      <protection hidden="1"/>
    </xf>
    <xf numFmtId="165" fontId="19" fillId="14" borderId="56" xfId="0" applyNumberFormat="1" applyFont="1" applyFill="1" applyBorder="1" applyAlignment="1" applyProtection="1">
      <alignment horizontal="center" vertical="center" textRotation="90"/>
      <protection locked="0" hidden="1"/>
    </xf>
    <xf numFmtId="165" fontId="19" fillId="14" borderId="58" xfId="0" applyNumberFormat="1" applyFont="1" applyFill="1" applyBorder="1" applyAlignment="1" applyProtection="1">
      <alignment horizontal="center" vertical="center" textRotation="90"/>
      <protection locked="0" hidden="1"/>
    </xf>
    <xf numFmtId="165" fontId="20" fillId="11" borderId="58" xfId="0" applyNumberFormat="1" applyFont="1" applyFill="1" applyBorder="1" applyAlignment="1" applyProtection="1">
      <alignment horizontal="center" vertical="center" textRotation="90"/>
      <protection locked="0" hidden="1"/>
    </xf>
    <xf numFmtId="0" fontId="0" fillId="0" borderId="0" xfId="0" applyFont="1" applyBorder="1" applyAlignment="1" applyProtection="1">
      <alignment horizontal="center"/>
      <protection locked="0" hidden="1"/>
    </xf>
    <xf numFmtId="0" fontId="17" fillId="10" borderId="19" xfId="0" applyFont="1" applyFill="1" applyBorder="1" applyAlignment="1" applyProtection="1">
      <alignment horizontal="left" vertical="center"/>
      <protection hidden="1"/>
    </xf>
    <xf numFmtId="0" fontId="17" fillId="10" borderId="2" xfId="0" applyFont="1" applyFill="1" applyBorder="1" applyAlignment="1" applyProtection="1">
      <alignment horizontal="left" vertical="center"/>
      <protection hidden="1"/>
    </xf>
    <xf numFmtId="0" fontId="43" fillId="17" borderId="0" xfId="0" applyFont="1" applyFill="1" applyBorder="1" applyAlignment="1" applyProtection="1">
      <alignment horizontal="center"/>
      <protection hidden="1"/>
    </xf>
    <xf numFmtId="164" fontId="34" fillId="6" borderId="13" xfId="0" applyNumberFormat="1" applyFont="1" applyFill="1" applyBorder="1" applyAlignment="1" applyProtection="1">
      <alignment horizontal="center"/>
      <protection hidden="1"/>
    </xf>
    <xf numFmtId="0" fontId="28" fillId="6" borderId="11" xfId="0" applyFont="1" applyFill="1" applyBorder="1" applyProtection="1">
      <protection hidden="1"/>
    </xf>
    <xf numFmtId="164" fontId="34" fillId="6" borderId="11" xfId="0" applyNumberFormat="1" applyFont="1" applyFill="1" applyBorder="1" applyAlignment="1" applyProtection="1">
      <alignment horizontal="center" vertical="center"/>
      <protection hidden="1"/>
    </xf>
    <xf numFmtId="164" fontId="34" fillId="6" borderId="14" xfId="0" applyNumberFormat="1" applyFont="1" applyFill="1" applyBorder="1" applyAlignment="1" applyProtection="1">
      <alignment horizontal="center" vertical="center"/>
      <protection hidden="1"/>
    </xf>
    <xf numFmtId="0" fontId="19" fillId="15" borderId="47" xfId="0" applyFont="1" applyFill="1" applyBorder="1" applyAlignment="1" applyProtection="1">
      <alignment horizontal="left" vertical="center"/>
      <protection hidden="1"/>
    </xf>
    <xf numFmtId="0" fontId="19" fillId="15" borderId="59" xfId="0" applyFont="1" applyFill="1" applyBorder="1" applyAlignment="1" applyProtection="1">
      <alignment horizontal="left" vertical="center"/>
      <protection hidden="1"/>
    </xf>
    <xf numFmtId="0" fontId="45" fillId="21" borderId="0" xfId="0" applyFont="1" applyFill="1" applyAlignment="1" applyProtection="1">
      <alignment horizontal="center"/>
      <protection hidden="1"/>
    </xf>
    <xf numFmtId="0" fontId="46" fillId="22" borderId="0" xfId="0" applyFont="1" applyFill="1" applyBorder="1" applyAlignment="1" applyProtection="1">
      <alignment horizontal="center"/>
      <protection hidden="1"/>
    </xf>
    <xf numFmtId="0" fontId="51" fillId="0" borderId="0" xfId="0" applyFont="1" applyBorder="1" applyAlignment="1" applyProtection="1">
      <alignment horizontal="center"/>
      <protection hidden="1"/>
    </xf>
    <xf numFmtId="0" fontId="51" fillId="0" borderId="25" xfId="0" applyFont="1" applyBorder="1" applyAlignment="1" applyProtection="1">
      <alignment horizontal="center"/>
      <protection hidden="1"/>
    </xf>
    <xf numFmtId="0" fontId="50" fillId="16" borderId="1" xfId="0" applyFont="1" applyFill="1" applyBorder="1" applyAlignment="1" applyProtection="1">
      <alignment horizontal="center"/>
      <protection hidden="1"/>
    </xf>
    <xf numFmtId="0" fontId="50" fillId="16" borderId="26" xfId="0" applyFont="1" applyFill="1" applyBorder="1" applyAlignment="1" applyProtection="1">
      <alignment horizontal="center"/>
      <protection hidden="1"/>
    </xf>
    <xf numFmtId="0" fontId="50" fillId="16" borderId="27" xfId="0" applyFont="1" applyFill="1" applyBorder="1" applyAlignment="1" applyProtection="1">
      <alignment horizontal="center"/>
      <protection hidden="1"/>
    </xf>
    <xf numFmtId="0" fontId="10" fillId="0" borderId="26" xfId="0" applyFont="1" applyBorder="1" applyAlignment="1" applyProtection="1">
      <alignment horizontal="center" vertical="center" textRotation="90" wrapText="1"/>
      <protection hidden="1"/>
    </xf>
    <xf numFmtId="0" fontId="10" fillId="0" borderId="26" xfId="0" applyFont="1" applyBorder="1" applyAlignment="1" applyProtection="1">
      <alignment horizontal="center" vertical="center" textRotation="90"/>
      <protection hidden="1"/>
    </xf>
    <xf numFmtId="0" fontId="0" fillId="0" borderId="3" xfId="0" applyFont="1" applyBorder="1" applyAlignment="1" applyProtection="1">
      <alignment horizontal="center" vertical="top"/>
      <protection hidden="1"/>
    </xf>
    <xf numFmtId="0" fontId="0" fillId="15" borderId="6" xfId="0" applyFont="1" applyFill="1" applyBorder="1" applyAlignment="1" applyProtection="1">
      <alignment horizontal="left" vertical="center"/>
      <protection hidden="1"/>
    </xf>
    <xf numFmtId="0" fontId="0" fillId="15" borderId="31" xfId="0" applyFont="1" applyFill="1" applyBorder="1" applyAlignment="1" applyProtection="1">
      <alignment horizontal="left" vertical="center"/>
      <protection hidden="1"/>
    </xf>
    <xf numFmtId="0" fontId="0" fillId="14" borderId="63" xfId="0" applyFont="1" applyFill="1" applyBorder="1" applyAlignment="1" applyProtection="1">
      <alignment horizontal="left" vertical="top" wrapText="1"/>
      <protection hidden="1"/>
    </xf>
    <xf numFmtId="0" fontId="0" fillId="14" borderId="55" xfId="0" applyFont="1" applyFill="1" applyBorder="1" applyAlignment="1" applyProtection="1">
      <alignment horizontal="left" vertical="top" wrapText="1"/>
      <protection hidden="1"/>
    </xf>
    <xf numFmtId="0" fontId="0" fillId="14" borderId="44" xfId="0" applyFont="1" applyFill="1" applyBorder="1" applyAlignment="1" applyProtection="1">
      <alignment horizontal="left" vertical="top" wrapText="1"/>
      <protection hidden="1"/>
    </xf>
    <xf numFmtId="0" fontId="0" fillId="14" borderId="62" xfId="0" applyFont="1" applyFill="1" applyBorder="1" applyAlignment="1" applyProtection="1">
      <alignment horizontal="left" vertical="top" wrapText="1"/>
      <protection hidden="1"/>
    </xf>
    <xf numFmtId="0" fontId="0" fillId="14" borderId="46" xfId="0" applyFont="1" applyFill="1" applyBorder="1" applyAlignment="1" applyProtection="1">
      <alignment horizontal="left" vertical="top" wrapText="1"/>
      <protection hidden="1"/>
    </xf>
    <xf numFmtId="0" fontId="0" fillId="14" borderId="43" xfId="0" applyFont="1" applyFill="1" applyBorder="1" applyAlignment="1" applyProtection="1">
      <alignment horizontal="left" vertical="top" wrapText="1"/>
      <protection hidden="1"/>
    </xf>
    <xf numFmtId="0" fontId="0" fillId="0" borderId="17" xfId="0" applyFont="1" applyBorder="1" applyAlignment="1" applyProtection="1">
      <alignment horizontal="center"/>
      <protection hidden="1"/>
    </xf>
    <xf numFmtId="0" fontId="14" fillId="0" borderId="3" xfId="0" applyFont="1" applyBorder="1"/>
    <xf numFmtId="0" fontId="14" fillId="0" borderId="56" xfId="0" applyFont="1" applyBorder="1" applyAlignment="1">
      <alignment horizontal="center" wrapText="1"/>
    </xf>
    <xf numFmtId="0" fontId="14" fillId="0" borderId="58" xfId="0" applyFont="1" applyBorder="1" applyAlignment="1">
      <alignment horizontal="center" wrapText="1"/>
    </xf>
    <xf numFmtId="0" fontId="14" fillId="0" borderId="57" xfId="0" applyFont="1" applyBorder="1" applyAlignment="1">
      <alignment horizontal="center" wrapText="1"/>
    </xf>
    <xf numFmtId="0" fontId="14" fillId="0" borderId="3" xfId="0" applyFont="1" applyBorder="1" applyAlignment="1">
      <alignment wrapText="1"/>
    </xf>
    <xf numFmtId="0" fontId="14" fillId="0" borderId="56"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57" xfId="0" applyFont="1" applyBorder="1" applyAlignment="1">
      <alignment horizontal="center" vertical="center" wrapText="1"/>
    </xf>
    <xf numFmtId="0" fontId="0" fillId="0" borderId="26" xfId="0" applyFont="1" applyBorder="1" applyAlignment="1" applyProtection="1">
      <alignment horizontal="left" vertical="center"/>
      <protection hidden="1"/>
    </xf>
    <xf numFmtId="0" fontId="0" fillId="0" borderId="0" xfId="0" applyFont="1" applyBorder="1" applyAlignment="1" applyProtection="1">
      <alignment horizontal="left" vertical="center"/>
      <protection hidden="1"/>
    </xf>
    <xf numFmtId="0" fontId="0" fillId="0" borderId="25" xfId="0" applyFont="1" applyBorder="1" applyAlignment="1" applyProtection="1">
      <alignment horizontal="left" vertical="center"/>
      <protection hidden="1"/>
    </xf>
    <xf numFmtId="0" fontId="0" fillId="15" borderId="4" xfId="0" applyFont="1" applyFill="1" applyBorder="1" applyAlignment="1" applyProtection="1">
      <alignment horizontal="center" vertical="center" wrapText="1"/>
      <protection hidden="1"/>
    </xf>
    <xf numFmtId="9" fontId="33" fillId="14" borderId="61" xfId="13" applyFont="1" applyFill="1" applyBorder="1" applyAlignment="1" applyProtection="1">
      <alignment horizontal="center" vertical="center" wrapText="1"/>
      <protection hidden="1"/>
    </xf>
    <xf numFmtId="0" fontId="0" fillId="14" borderId="31" xfId="0" applyFont="1" applyFill="1" applyBorder="1" applyAlignment="1" applyProtection="1">
      <alignment horizontal="left" vertical="top" wrapText="1"/>
      <protection hidden="1"/>
    </xf>
    <xf numFmtId="0" fontId="0" fillId="14" borderId="29" xfId="0" applyFont="1" applyFill="1" applyBorder="1" applyAlignment="1" applyProtection="1">
      <alignment horizontal="left" vertical="top" wrapText="1"/>
      <protection hidden="1"/>
    </xf>
    <xf numFmtId="0" fontId="0" fillId="15" borderId="47" xfId="0" applyFont="1" applyFill="1" applyBorder="1" applyAlignment="1" applyProtection="1">
      <alignment horizontal="left" vertical="center" wrapText="1"/>
      <protection hidden="1"/>
    </xf>
    <xf numFmtId="0" fontId="0" fillId="15" borderId="59" xfId="0" applyFont="1" applyFill="1" applyBorder="1" applyAlignment="1" applyProtection="1">
      <alignment horizontal="left" vertical="center" wrapText="1"/>
      <protection hidden="1"/>
    </xf>
    <xf numFmtId="0" fontId="0" fillId="15" borderId="60" xfId="0" applyFont="1" applyFill="1" applyBorder="1" applyAlignment="1" applyProtection="1">
      <alignment horizontal="left" vertical="center" wrapText="1"/>
      <protection hidden="1"/>
    </xf>
    <xf numFmtId="0" fontId="0" fillId="14" borderId="33" xfId="0" applyFont="1" applyFill="1" applyBorder="1" applyAlignment="1" applyProtection="1">
      <alignment horizontal="left" vertical="top" wrapText="1"/>
      <protection hidden="1"/>
    </xf>
    <xf numFmtId="0" fontId="0" fillId="14" borderId="34" xfId="0" applyFont="1" applyFill="1" applyBorder="1" applyAlignment="1" applyProtection="1">
      <alignment horizontal="left" vertical="top" wrapText="1"/>
      <protection hidden="1"/>
    </xf>
    <xf numFmtId="0" fontId="0" fillId="15" borderId="6" xfId="0" applyFont="1" applyFill="1" applyBorder="1" applyAlignment="1" applyProtection="1">
      <alignment horizontal="left" vertical="center" wrapText="1"/>
      <protection hidden="1"/>
    </xf>
    <xf numFmtId="0" fontId="0" fillId="15" borderId="31" xfId="0" applyFont="1" applyFill="1" applyBorder="1" applyAlignment="1" applyProtection="1">
      <alignment horizontal="left" vertical="center" wrapText="1"/>
      <protection hidden="1"/>
    </xf>
    <xf numFmtId="0" fontId="34" fillId="0" borderId="22" xfId="5" applyFont="1" applyFill="1" applyBorder="1" applyAlignment="1" applyProtection="1">
      <alignment horizontal="right"/>
      <protection hidden="1"/>
    </xf>
    <xf numFmtId="0" fontId="34" fillId="0" borderId="23" xfId="5" applyFont="1" applyFill="1" applyBorder="1" applyAlignment="1" applyProtection="1">
      <alignment horizontal="right"/>
      <protection hidden="1"/>
    </xf>
    <xf numFmtId="0" fontId="34" fillId="0" borderId="24" xfId="5" applyFont="1" applyFill="1" applyBorder="1" applyAlignment="1" applyProtection="1">
      <alignment horizontal="right"/>
      <protection hidden="1"/>
    </xf>
    <xf numFmtId="0" fontId="48" fillId="21" borderId="26" xfId="0" applyFont="1" applyFill="1" applyBorder="1" applyAlignment="1" applyProtection="1">
      <alignment horizontal="center" vertical="center"/>
      <protection hidden="1"/>
    </xf>
    <xf numFmtId="0" fontId="48" fillId="21" borderId="0" xfId="0" applyFont="1" applyFill="1" applyBorder="1" applyAlignment="1" applyProtection="1">
      <alignment horizontal="center" vertical="center"/>
      <protection hidden="1"/>
    </xf>
    <xf numFmtId="164" fontId="34" fillId="6" borderId="9" xfId="0" applyNumberFormat="1" applyFont="1" applyFill="1" applyBorder="1" applyAlignment="1" applyProtection="1">
      <alignment horizontal="center" vertical="center"/>
      <protection hidden="1"/>
    </xf>
    <xf numFmtId="0" fontId="47" fillId="21" borderId="0" xfId="0" applyFont="1" applyFill="1" applyBorder="1" applyAlignment="1" applyProtection="1">
      <alignment horizontal="center" vertical="center"/>
      <protection hidden="1"/>
    </xf>
    <xf numFmtId="0" fontId="47" fillId="21" borderId="25" xfId="0" applyFont="1" applyFill="1" applyBorder="1" applyAlignment="1" applyProtection="1">
      <alignment horizontal="center" vertical="center"/>
      <protection hidden="1"/>
    </xf>
    <xf numFmtId="0" fontId="47" fillId="21" borderId="17" xfId="0" applyFont="1" applyFill="1" applyBorder="1" applyAlignment="1" applyProtection="1">
      <alignment horizontal="center" vertical="center"/>
      <protection hidden="1"/>
    </xf>
    <xf numFmtId="0" fontId="47" fillId="21" borderId="28" xfId="0" applyFont="1" applyFill="1" applyBorder="1" applyAlignment="1" applyProtection="1">
      <alignment horizontal="center" vertical="center"/>
      <protection hidden="1"/>
    </xf>
    <xf numFmtId="164" fontId="34" fillId="6" borderId="11" xfId="0" applyNumberFormat="1" applyFont="1" applyFill="1" applyBorder="1" applyAlignment="1" applyProtection="1">
      <alignment horizontal="center"/>
      <protection hidden="1"/>
    </xf>
    <xf numFmtId="0" fontId="0" fillId="15" borderId="7" xfId="0" applyFont="1" applyFill="1" applyBorder="1" applyAlignment="1" applyProtection="1">
      <alignment horizontal="left" vertical="center" wrapText="1"/>
      <protection hidden="1"/>
    </xf>
    <xf numFmtId="0" fontId="0" fillId="15" borderId="35" xfId="0" applyFont="1" applyFill="1" applyBorder="1" applyAlignment="1" applyProtection="1">
      <alignment horizontal="left" vertical="center" wrapText="1"/>
      <protection hidden="1"/>
    </xf>
    <xf numFmtId="164" fontId="34" fillId="6" borderId="9" xfId="0" applyNumberFormat="1" applyFont="1" applyFill="1" applyBorder="1" applyAlignment="1" applyProtection="1">
      <alignment horizontal="center"/>
      <protection hidden="1"/>
    </xf>
    <xf numFmtId="0" fontId="19" fillId="15" borderId="57" xfId="0" applyFont="1" applyFill="1" applyBorder="1" applyAlignment="1" applyProtection="1">
      <alignment horizontal="center" vertical="center" textRotation="90"/>
      <protection hidden="1"/>
    </xf>
    <xf numFmtId="0" fontId="13" fillId="0" borderId="62" xfId="0" applyFont="1" applyFill="1" applyBorder="1" applyAlignment="1">
      <alignment horizontal="center"/>
    </xf>
    <xf numFmtId="0" fontId="13" fillId="0" borderId="65" xfId="0" applyFont="1" applyFill="1" applyBorder="1" applyAlignment="1">
      <alignment horizontal="center"/>
    </xf>
    <xf numFmtId="2" fontId="12" fillId="0" borderId="31" xfId="0" applyNumberFormat="1" applyFont="1" applyFill="1" applyBorder="1" applyAlignment="1">
      <alignment horizontal="center"/>
    </xf>
    <xf numFmtId="1" fontId="12" fillId="0" borderId="31" xfId="0" applyNumberFormat="1" applyFont="1" applyFill="1" applyBorder="1" applyAlignment="1">
      <alignment horizontal="center"/>
    </xf>
    <xf numFmtId="1" fontId="12" fillId="0" borderId="29" xfId="0" applyNumberFormat="1" applyFont="1" applyFill="1" applyBorder="1" applyAlignment="1">
      <alignment horizontal="center"/>
    </xf>
    <xf numFmtId="2" fontId="12" fillId="0" borderId="35" xfId="0" applyNumberFormat="1" applyFont="1" applyFill="1" applyBorder="1" applyAlignment="1">
      <alignment horizontal="center"/>
    </xf>
    <xf numFmtId="1" fontId="12" fillId="0" borderId="35" xfId="0" applyNumberFormat="1" applyFont="1" applyFill="1" applyBorder="1" applyAlignment="1">
      <alignment horizontal="center"/>
    </xf>
    <xf numFmtId="1" fontId="12" fillId="0" borderId="30" xfId="0" applyNumberFormat="1" applyFont="1" applyFill="1" applyBorder="1" applyAlignment="1">
      <alignment horizontal="center"/>
    </xf>
    <xf numFmtId="0" fontId="12" fillId="0" borderId="62" xfId="0" applyFont="1" applyFill="1" applyBorder="1" applyAlignment="1">
      <alignment horizontal="center"/>
    </xf>
    <xf numFmtId="0" fontId="12" fillId="0" borderId="65" xfId="0" applyFont="1" applyFill="1" applyBorder="1" applyAlignment="1">
      <alignment horizontal="center"/>
    </xf>
    <xf numFmtId="0" fontId="13" fillId="0" borderId="31" xfId="0" applyFont="1" applyFill="1" applyBorder="1" applyAlignment="1">
      <alignment horizontal="center"/>
    </xf>
    <xf numFmtId="2" fontId="13" fillId="0" borderId="31" xfId="0" applyNumberFormat="1" applyFont="1" applyFill="1" applyBorder="1" applyAlignment="1">
      <alignment horizontal="center"/>
    </xf>
    <xf numFmtId="1" fontId="13" fillId="0" borderId="31" xfId="0" applyNumberFormat="1" applyFont="1" applyFill="1" applyBorder="1" applyAlignment="1">
      <alignment horizontal="center"/>
    </xf>
    <xf numFmtId="1" fontId="13" fillId="0" borderId="29" xfId="0" applyNumberFormat="1" applyFont="1" applyFill="1" applyBorder="1" applyAlignment="1">
      <alignment horizontal="center"/>
    </xf>
    <xf numFmtId="0" fontId="12" fillId="3" borderId="22" xfId="0" applyFont="1" applyFill="1" applyBorder="1" applyAlignment="1">
      <alignment horizontal="center"/>
    </xf>
    <xf numFmtId="0" fontId="12" fillId="3" borderId="24" xfId="0" applyFont="1" applyFill="1" applyBorder="1" applyAlignment="1">
      <alignment horizontal="center"/>
    </xf>
    <xf numFmtId="0" fontId="12" fillId="4" borderId="64" xfId="0" applyFont="1" applyFill="1" applyBorder="1" applyAlignment="1">
      <alignment horizontal="center"/>
    </xf>
    <xf numFmtId="0" fontId="12" fillId="4" borderId="61" xfId="0" applyFont="1" applyFill="1" applyBorder="1" applyAlignment="1">
      <alignment horizontal="center"/>
    </xf>
    <xf numFmtId="0" fontId="13" fillId="0" borderId="73" xfId="0" applyFont="1" applyFill="1" applyBorder="1" applyAlignment="1">
      <alignment horizontal="center"/>
    </xf>
    <xf numFmtId="0" fontId="13" fillId="0" borderId="60" xfId="0" applyFont="1" applyFill="1" applyBorder="1" applyAlignment="1">
      <alignment horizontal="center"/>
    </xf>
    <xf numFmtId="2" fontId="13" fillId="0" borderId="66" xfId="0" applyNumberFormat="1" applyFont="1" applyFill="1" applyBorder="1" applyAlignment="1">
      <alignment horizontal="center"/>
    </xf>
    <xf numFmtId="2" fontId="13" fillId="0" borderId="60" xfId="0" applyNumberFormat="1" applyFont="1" applyFill="1" applyBorder="1" applyAlignment="1">
      <alignment horizontal="center"/>
    </xf>
    <xf numFmtId="1" fontId="13" fillId="0" borderId="66" xfId="0" applyNumberFormat="1" applyFont="1" applyFill="1" applyBorder="1" applyAlignment="1">
      <alignment horizontal="center"/>
    </xf>
    <xf numFmtId="1" fontId="13" fillId="0" borderId="67" xfId="0" applyNumberFormat="1" applyFont="1" applyFill="1" applyBorder="1" applyAlignment="1">
      <alignment horizontal="center"/>
    </xf>
    <xf numFmtId="2" fontId="13" fillId="0" borderId="62" xfId="0" applyNumberFormat="1" applyFont="1" applyFill="1" applyBorder="1" applyAlignment="1">
      <alignment horizontal="center"/>
    </xf>
    <xf numFmtId="2" fontId="13" fillId="0" borderId="65" xfId="0" applyNumberFormat="1" applyFont="1" applyFill="1" applyBorder="1" applyAlignment="1">
      <alignment horizontal="center"/>
    </xf>
    <xf numFmtId="2" fontId="13" fillId="0" borderId="35" xfId="0" applyNumberFormat="1" applyFont="1" applyFill="1" applyBorder="1" applyAlignment="1">
      <alignment horizontal="center"/>
    </xf>
    <xf numFmtId="1" fontId="13" fillId="0" borderId="35" xfId="0" applyNumberFormat="1" applyFont="1" applyFill="1" applyBorder="1" applyAlignment="1">
      <alignment horizontal="center"/>
    </xf>
    <xf numFmtId="1" fontId="13" fillId="0" borderId="30" xfId="0" applyNumberFormat="1" applyFont="1" applyFill="1" applyBorder="1" applyAlignment="1">
      <alignment horizontal="center"/>
    </xf>
    <xf numFmtId="2" fontId="12" fillId="0" borderId="70" xfId="0" applyNumberFormat="1" applyFont="1" applyFill="1" applyBorder="1" applyAlignment="1">
      <alignment horizontal="center"/>
    </xf>
    <xf numFmtId="1" fontId="12" fillId="0" borderId="70" xfId="0" applyNumberFormat="1" applyFont="1" applyFill="1" applyBorder="1" applyAlignment="1">
      <alignment horizontal="center"/>
    </xf>
    <xf numFmtId="1" fontId="12" fillId="0" borderId="71" xfId="0" applyNumberFormat="1" applyFont="1" applyFill="1" applyBorder="1" applyAlignment="1">
      <alignment horizontal="center"/>
    </xf>
    <xf numFmtId="2" fontId="12" fillId="0" borderId="66" xfId="0" applyNumberFormat="1" applyFont="1" applyFill="1" applyBorder="1" applyAlignment="1">
      <alignment horizontal="center"/>
    </xf>
    <xf numFmtId="1" fontId="12" fillId="0" borderId="66" xfId="0" applyNumberFormat="1" applyFont="1" applyFill="1" applyBorder="1" applyAlignment="1">
      <alignment horizontal="center"/>
    </xf>
    <xf numFmtId="1" fontId="12" fillId="0" borderId="67" xfId="0" applyNumberFormat="1" applyFont="1" applyFill="1" applyBorder="1" applyAlignment="1">
      <alignment horizontal="center"/>
    </xf>
    <xf numFmtId="0" fontId="13" fillId="0" borderId="66" xfId="0" applyFont="1" applyFill="1" applyBorder="1" applyAlignment="1">
      <alignment horizontal="center"/>
    </xf>
    <xf numFmtId="0" fontId="13" fillId="0" borderId="35" xfId="0" applyFont="1" applyFill="1" applyBorder="1" applyAlignment="1">
      <alignment horizontal="center"/>
    </xf>
    <xf numFmtId="0" fontId="12" fillId="0" borderId="66" xfId="0" applyFont="1" applyFill="1" applyBorder="1" applyAlignment="1">
      <alignment horizontal="center"/>
    </xf>
    <xf numFmtId="0" fontId="12" fillId="0" borderId="31" xfId="0" applyFont="1" applyFill="1" applyBorder="1" applyAlignment="1">
      <alignment horizontal="center"/>
    </xf>
    <xf numFmtId="0" fontId="12" fillId="0" borderId="35" xfId="0" applyFont="1" applyFill="1" applyBorder="1" applyAlignment="1">
      <alignment horizontal="center"/>
    </xf>
    <xf numFmtId="0" fontId="13" fillId="0" borderId="66" xfId="0" applyFont="1" applyBorder="1" applyAlignment="1">
      <alignment horizontal="center"/>
    </xf>
    <xf numFmtId="0" fontId="13" fillId="0" borderId="73" xfId="0" applyFont="1" applyBorder="1" applyAlignment="1">
      <alignment horizontal="center"/>
    </xf>
    <xf numFmtId="0" fontId="13" fillId="0" borderId="60" xfId="0" applyFont="1" applyBorder="1" applyAlignment="1">
      <alignment horizontal="center"/>
    </xf>
    <xf numFmtId="2" fontId="13" fillId="0" borderId="66" xfId="0" applyNumberFormat="1" applyFont="1" applyBorder="1" applyAlignment="1">
      <alignment horizontal="center"/>
    </xf>
    <xf numFmtId="2" fontId="13" fillId="0" borderId="60" xfId="0" applyNumberFormat="1" applyFont="1" applyBorder="1" applyAlignment="1">
      <alignment horizontal="center"/>
    </xf>
    <xf numFmtId="1" fontId="13" fillId="0" borderId="66" xfId="0" applyNumberFormat="1" applyFont="1" applyBorder="1" applyAlignment="1">
      <alignment horizontal="center"/>
    </xf>
    <xf numFmtId="1" fontId="13" fillId="0" borderId="67" xfId="0" applyNumberFormat="1" applyFont="1" applyBorder="1" applyAlignment="1">
      <alignment horizontal="center"/>
    </xf>
    <xf numFmtId="0" fontId="13" fillId="0" borderId="62" xfId="0" applyFont="1" applyBorder="1" applyAlignment="1">
      <alignment horizontal="center"/>
    </xf>
    <xf numFmtId="0" fontId="13" fillId="0" borderId="65" xfId="0" applyFont="1" applyBorder="1" applyAlignment="1">
      <alignment horizontal="center"/>
    </xf>
    <xf numFmtId="2" fontId="13" fillId="0" borderId="62" xfId="0" applyNumberFormat="1" applyFont="1" applyBorder="1" applyAlignment="1">
      <alignment horizontal="center"/>
    </xf>
    <xf numFmtId="2" fontId="13" fillId="0" borderId="65" xfId="0" applyNumberFormat="1" applyFont="1" applyBorder="1" applyAlignment="1">
      <alignment horizontal="center"/>
    </xf>
    <xf numFmtId="2" fontId="13" fillId="0" borderId="31" xfId="0" applyNumberFormat="1" applyFont="1" applyBorder="1" applyAlignment="1">
      <alignment horizontal="center"/>
    </xf>
    <xf numFmtId="1" fontId="13" fillId="0" borderId="31" xfId="0" applyNumberFormat="1" applyFont="1" applyBorder="1" applyAlignment="1">
      <alignment horizontal="center"/>
    </xf>
    <xf numFmtId="1" fontId="13" fillId="0" borderId="29" xfId="0" applyNumberFormat="1" applyFont="1" applyBorder="1" applyAlignment="1">
      <alignment horizontal="center"/>
    </xf>
    <xf numFmtId="2" fontId="13" fillId="0" borderId="35" xfId="0" applyNumberFormat="1" applyFont="1" applyBorder="1" applyAlignment="1">
      <alignment horizontal="center"/>
    </xf>
    <xf numFmtId="1" fontId="13" fillId="0" borderId="35" xfId="0" applyNumberFormat="1" applyFont="1" applyBorder="1" applyAlignment="1">
      <alignment horizontal="center"/>
    </xf>
    <xf numFmtId="1" fontId="13" fillId="0" borderId="30" xfId="0" applyNumberFormat="1" applyFont="1" applyBorder="1" applyAlignment="1">
      <alignment horizontal="center"/>
    </xf>
    <xf numFmtId="2" fontId="12" fillId="0" borderId="66" xfId="0" applyNumberFormat="1" applyFont="1" applyBorder="1" applyAlignment="1">
      <alignment horizontal="center"/>
    </xf>
    <xf numFmtId="1" fontId="12" fillId="0" borderId="66" xfId="0" applyNumberFormat="1" applyFont="1" applyBorder="1" applyAlignment="1">
      <alignment horizontal="center"/>
    </xf>
    <xf numFmtId="1" fontId="12" fillId="0" borderId="67" xfId="0" applyNumberFormat="1" applyFont="1" applyBorder="1" applyAlignment="1">
      <alignment horizontal="center"/>
    </xf>
    <xf numFmtId="2" fontId="12" fillId="0" borderId="31" xfId="0" applyNumberFormat="1" applyFont="1" applyBorder="1" applyAlignment="1">
      <alignment horizontal="center"/>
    </xf>
    <xf numFmtId="1" fontId="12" fillId="0" borderId="31" xfId="0" applyNumberFormat="1" applyFont="1" applyBorder="1" applyAlignment="1">
      <alignment horizontal="center"/>
    </xf>
    <xf numFmtId="1" fontId="12" fillId="0" borderId="29" xfId="0" applyNumberFormat="1" applyFont="1" applyBorder="1" applyAlignment="1">
      <alignment horizontal="center"/>
    </xf>
    <xf numFmtId="2" fontId="12" fillId="0" borderId="70" xfId="0" applyNumberFormat="1" applyFont="1" applyBorder="1" applyAlignment="1">
      <alignment horizontal="center"/>
    </xf>
    <xf numFmtId="1" fontId="12" fillId="0" borderId="70" xfId="0" applyNumberFormat="1" applyFont="1" applyBorder="1" applyAlignment="1">
      <alignment horizontal="center"/>
    </xf>
    <xf numFmtId="1" fontId="12" fillId="0" borderId="71" xfId="0" applyNumberFormat="1" applyFont="1" applyBorder="1" applyAlignment="1">
      <alignment horizontal="center"/>
    </xf>
    <xf numFmtId="2" fontId="12" fillId="0" borderId="35" xfId="0" applyNumberFormat="1" applyFont="1" applyBorder="1" applyAlignment="1">
      <alignment horizontal="center"/>
    </xf>
    <xf numFmtId="1" fontId="12" fillId="0" borderId="35" xfId="0" applyNumberFormat="1" applyFont="1" applyBorder="1" applyAlignment="1">
      <alignment horizontal="center"/>
    </xf>
    <xf numFmtId="1" fontId="12" fillId="0" borderId="30" xfId="0" applyNumberFormat="1" applyFont="1" applyBorder="1" applyAlignment="1">
      <alignment horizontal="center"/>
    </xf>
    <xf numFmtId="0" fontId="12" fillId="0" borderId="35" xfId="0" applyFont="1" applyBorder="1" applyAlignment="1">
      <alignment horizontal="center"/>
    </xf>
    <xf numFmtId="0" fontId="0" fillId="0" borderId="0" xfId="0" applyFont="1" applyBorder="1" applyAlignment="1" applyProtection="1">
      <alignment vertical="center"/>
      <protection locked="0" hidden="1"/>
    </xf>
    <xf numFmtId="0" fontId="28" fillId="0" borderId="0" xfId="0" applyFont="1" applyFill="1" applyAlignment="1" applyProtection="1">
      <alignment vertical="center"/>
      <protection locked="0" hidden="1"/>
    </xf>
    <xf numFmtId="0" fontId="0" fillId="0" borderId="0" xfId="0" applyFont="1" applyAlignment="1" applyProtection="1">
      <alignment vertical="center"/>
      <protection locked="0" hidden="1"/>
    </xf>
    <xf numFmtId="0" fontId="0" fillId="0" borderId="0" xfId="0" applyAlignment="1" applyProtection="1">
      <alignment vertical="center"/>
      <protection locked="0" hidden="1"/>
    </xf>
    <xf numFmtId="0" fontId="84" fillId="25" borderId="0" xfId="15" applyFont="1" applyFill="1" applyAlignment="1" applyProtection="1">
      <alignment vertical="center"/>
      <protection locked="0" hidden="1"/>
    </xf>
    <xf numFmtId="0" fontId="10" fillId="0" borderId="0" xfId="0" applyFont="1" applyAlignment="1" applyProtection="1">
      <alignment vertical="center"/>
      <protection locked="0" hidden="1"/>
    </xf>
    <xf numFmtId="49" fontId="10" fillId="0" borderId="0" xfId="0" applyNumberFormat="1" applyFont="1" applyAlignment="1" applyProtection="1">
      <alignment vertical="center"/>
      <protection locked="0" hidden="1"/>
    </xf>
    <xf numFmtId="0" fontId="84" fillId="25" borderId="0" xfId="15" applyFont="1" applyFill="1" applyBorder="1" applyAlignment="1" applyProtection="1">
      <alignment vertical="center"/>
      <protection locked="0" hidden="1"/>
    </xf>
    <xf numFmtId="0" fontId="10" fillId="0" borderId="0" xfId="0" applyFont="1" applyBorder="1" applyAlignment="1" applyProtection="1">
      <alignment vertical="center"/>
      <protection locked="0" hidden="1"/>
    </xf>
    <xf numFmtId="0" fontId="10" fillId="0" borderId="0" xfId="0" applyNumberFormat="1" applyFont="1" applyAlignment="1" applyProtection="1">
      <alignment vertical="center"/>
      <protection locked="0" hidden="1"/>
    </xf>
    <xf numFmtId="0" fontId="10" fillId="25" borderId="0" xfId="0" applyFont="1" applyFill="1" applyBorder="1" applyAlignment="1" applyProtection="1">
      <alignment horizontal="center" vertical="center"/>
      <protection locked="0" hidden="1"/>
    </xf>
    <xf numFmtId="0" fontId="84" fillId="0" borderId="0" xfId="15" applyFont="1" applyFill="1" applyAlignment="1" applyProtection="1">
      <alignment vertical="center"/>
      <protection locked="0" hidden="1"/>
    </xf>
    <xf numFmtId="0" fontId="28" fillId="25" borderId="0" xfId="0" applyFont="1" applyFill="1" applyAlignment="1" applyProtection="1">
      <alignment vertical="center"/>
      <protection locked="0" hidden="1"/>
    </xf>
    <xf numFmtId="0" fontId="0" fillId="25" borderId="0" xfId="0" applyFont="1" applyFill="1" applyAlignment="1" applyProtection="1">
      <alignment vertical="center"/>
      <protection locked="0" hidden="1"/>
    </xf>
    <xf numFmtId="0" fontId="0" fillId="25" borderId="0" xfId="0" applyFill="1" applyAlignment="1" applyProtection="1">
      <alignment vertical="center"/>
      <protection locked="0" hidden="1"/>
    </xf>
    <xf numFmtId="0" fontId="49" fillId="25" borderId="0" xfId="0" applyFont="1" applyFill="1" applyBorder="1" applyAlignment="1" applyProtection="1">
      <alignment vertical="center" wrapText="1"/>
      <protection locked="0" hidden="1"/>
    </xf>
    <xf numFmtId="0" fontId="10" fillId="25" borderId="0" xfId="0" applyFont="1" applyFill="1" applyAlignment="1" applyProtection="1">
      <alignment vertical="center"/>
      <protection locked="0" hidden="1"/>
    </xf>
    <xf numFmtId="0" fontId="10" fillId="25" borderId="0" xfId="0" applyFont="1" applyFill="1" applyBorder="1" applyAlignment="1" applyProtection="1">
      <alignment vertical="center"/>
      <protection locked="0" hidden="1"/>
    </xf>
    <xf numFmtId="0" fontId="10" fillId="25" borderId="0" xfId="0" applyNumberFormat="1" applyFont="1" applyFill="1" applyBorder="1" applyAlignment="1" applyProtection="1">
      <alignment vertical="center"/>
      <protection locked="0" hidden="1"/>
    </xf>
    <xf numFmtId="0" fontId="10" fillId="0" borderId="0" xfId="0" applyFont="1" applyFill="1" applyAlignment="1" applyProtection="1">
      <alignment vertical="center"/>
      <protection locked="0" hidden="1"/>
    </xf>
    <xf numFmtId="0" fontId="10" fillId="0" borderId="0" xfId="0" applyFont="1" applyFill="1" applyBorder="1" applyAlignment="1" applyProtection="1">
      <alignment vertical="center"/>
      <protection locked="0" hidden="1"/>
    </xf>
    <xf numFmtId="0" fontId="35" fillId="25" borderId="0" xfId="0" applyFont="1" applyFill="1" applyBorder="1" applyAlignment="1" applyProtection="1">
      <alignment vertical="center"/>
      <protection locked="0" hidden="1"/>
    </xf>
    <xf numFmtId="0" fontId="41" fillId="0" borderId="0" xfId="0" applyFont="1" applyAlignment="1" applyProtection="1">
      <alignment vertical="center"/>
      <protection locked="0" hidden="1"/>
    </xf>
    <xf numFmtId="0" fontId="35" fillId="0" borderId="0" xfId="0" applyFont="1" applyFill="1" applyBorder="1" applyAlignment="1" applyProtection="1">
      <alignment vertical="center"/>
      <protection locked="0" hidden="1"/>
    </xf>
    <xf numFmtId="0" fontId="41" fillId="0" borderId="0" xfId="0" applyFont="1" applyFill="1" applyAlignment="1" applyProtection="1">
      <alignment vertical="center"/>
      <protection locked="0" hidden="1"/>
    </xf>
    <xf numFmtId="0" fontId="0" fillId="0" borderId="0" xfId="0" applyFont="1" applyFill="1" applyAlignment="1" applyProtection="1">
      <alignment vertical="center"/>
      <protection locked="0" hidden="1"/>
    </xf>
    <xf numFmtId="0" fontId="0" fillId="0" borderId="0" xfId="0" applyFill="1" applyAlignment="1" applyProtection="1">
      <alignment vertical="center"/>
      <protection locked="0" hidden="1"/>
    </xf>
    <xf numFmtId="0" fontId="0" fillId="0" borderId="0" xfId="0" applyFont="1" applyFill="1" applyBorder="1" applyAlignment="1" applyProtection="1">
      <alignment vertical="center"/>
      <protection locked="0" hidden="1"/>
    </xf>
    <xf numFmtId="0" fontId="35" fillId="0" borderId="0" xfId="0" applyFont="1" applyAlignment="1" applyProtection="1">
      <alignment vertical="center"/>
      <protection locked="0" hidden="1"/>
    </xf>
    <xf numFmtId="0" fontId="35" fillId="0" borderId="0" xfId="0" applyFont="1" applyFill="1" applyAlignment="1" applyProtection="1">
      <alignment vertical="center"/>
      <protection locked="0" hidden="1"/>
    </xf>
    <xf numFmtId="0" fontId="61" fillId="0" borderId="0" xfId="0" applyFont="1" applyFill="1" applyBorder="1" applyAlignment="1" applyProtection="1">
      <alignment vertical="center"/>
      <protection locked="0" hidden="1"/>
    </xf>
    <xf numFmtId="49" fontId="10" fillId="0" borderId="0" xfId="0" applyNumberFormat="1" applyFont="1" applyFill="1" applyBorder="1" applyAlignment="1" applyProtection="1">
      <alignment vertical="center"/>
      <protection locked="0" hidden="1"/>
    </xf>
  </cellXfs>
  <cellStyles count="19">
    <cellStyle name="Hypertextový odkaz" xfId="1" builtinId="8"/>
    <cellStyle name="Hypertextový odkaz 2" xfId="16" xr:uid="{807DBF4B-0756-4495-BE32-3C6168501F15}"/>
    <cellStyle name="Měna" xfId="14" builtinId="4"/>
    <cellStyle name="Měna 2" xfId="18" xr:uid="{D95572C1-DF66-46C3-B868-B1467F02FEB6}"/>
    <cellStyle name="Normální" xfId="0" builtinId="0"/>
    <cellStyle name="normální 10" xfId="2" xr:uid="{00000000-0005-0000-0000-000002000000}"/>
    <cellStyle name="normální 11" xfId="3" xr:uid="{00000000-0005-0000-0000-000003000000}"/>
    <cellStyle name="normální 12" xfId="4" xr:uid="{00000000-0005-0000-0000-000004000000}"/>
    <cellStyle name="Normální 13" xfId="15" xr:uid="{AA1A37B3-68C3-4E0C-9081-CF97EE68B330}"/>
    <cellStyle name="Normální 13 2" xfId="17" xr:uid="{5C1C58C6-0E0A-42AE-B100-20CD953D7CD5}"/>
    <cellStyle name="normální 2" xfId="5" xr:uid="{00000000-0005-0000-0000-000005000000}"/>
    <cellStyle name="normální 3" xfId="6" xr:uid="{00000000-0005-0000-0000-000006000000}"/>
    <cellStyle name="normální 4" xfId="7" xr:uid="{00000000-0005-0000-0000-000007000000}"/>
    <cellStyle name="normální 5" xfId="8" xr:uid="{00000000-0005-0000-0000-000008000000}"/>
    <cellStyle name="normální 6" xfId="9" xr:uid="{00000000-0005-0000-0000-000009000000}"/>
    <cellStyle name="normální 7" xfId="10" xr:uid="{00000000-0005-0000-0000-00000A000000}"/>
    <cellStyle name="normální 8" xfId="11" xr:uid="{00000000-0005-0000-0000-00000B000000}"/>
    <cellStyle name="normální 9" xfId="12" xr:uid="{00000000-0005-0000-0000-00000C000000}"/>
    <cellStyle name="Procenta" xfId="13" builtinId="5"/>
  </cellStyles>
  <dxfs count="796">
    <dxf>
      <font>
        <color rgb="FFFF0000"/>
      </font>
      <fill>
        <patternFill>
          <bgColor rgb="FFFF0000"/>
        </patternFill>
      </fill>
    </dxf>
    <dxf>
      <font>
        <strike val="0"/>
        <color rgb="FFFF0000"/>
        <name val="Cambria"/>
        <scheme val="none"/>
      </font>
      <fill>
        <patternFill>
          <bgColor rgb="FFFF0000"/>
        </patternFill>
      </fill>
    </dxf>
    <dxf>
      <font>
        <color rgb="FFFF0000"/>
      </font>
      <fill>
        <patternFill>
          <bgColor rgb="FFFF0000"/>
        </patternFill>
      </fill>
    </dxf>
    <dxf>
      <font>
        <strike val="0"/>
        <color rgb="FFFF0000"/>
        <name val="Cambria"/>
        <scheme val="none"/>
      </font>
      <fill>
        <patternFill>
          <bgColor rgb="FFFF0000"/>
        </patternFill>
      </fill>
    </dxf>
    <dxf>
      <font>
        <color rgb="FFFF0000"/>
      </font>
      <fill>
        <patternFill>
          <bgColor rgb="FFFF0000"/>
        </patternFill>
      </fill>
    </dxf>
    <dxf>
      <font>
        <strike val="0"/>
        <color rgb="FFFF0000"/>
        <name val="Cambria"/>
        <scheme val="none"/>
      </font>
      <fill>
        <patternFill>
          <bgColor rgb="FFFF0000"/>
        </patternFill>
      </fill>
    </dxf>
    <dxf>
      <font>
        <color rgb="FFFF0000"/>
      </font>
      <fill>
        <patternFill>
          <bgColor rgb="FFFF0000"/>
        </patternFill>
      </fill>
    </dxf>
    <dxf>
      <font>
        <strike val="0"/>
        <color rgb="FFFF0000"/>
        <name val="Cambria"/>
        <scheme val="none"/>
      </font>
      <fill>
        <patternFill>
          <bgColor rgb="FFFF0000"/>
        </patternFill>
      </fill>
    </dxf>
    <dxf>
      <font>
        <color rgb="FFFF0000"/>
      </font>
      <fill>
        <patternFill>
          <bgColor rgb="FFFF0000"/>
        </patternFill>
      </fill>
    </dxf>
    <dxf>
      <font>
        <strike val="0"/>
        <color rgb="FFFF0000"/>
        <name val="Cambria"/>
        <scheme val="none"/>
      </font>
      <fill>
        <patternFill>
          <bgColor rgb="FFFF0000"/>
        </patternFill>
      </fill>
    </dxf>
    <dxf>
      <font>
        <color rgb="FFFF0000"/>
      </font>
      <fill>
        <patternFill>
          <bgColor rgb="FFFF0000"/>
        </patternFill>
      </fill>
    </dxf>
    <dxf>
      <font>
        <strike val="0"/>
        <color rgb="FFFF0000"/>
        <name val="Cambria"/>
        <scheme val="none"/>
      </font>
      <fill>
        <patternFill>
          <bgColor rgb="FFFF0000"/>
        </patternFill>
      </fill>
    </dxf>
    <dxf>
      <numFmt numFmtId="170" formatCode="#,##0.00\ &quot;Kč&quot;"/>
    </dxf>
    <dxf>
      <numFmt numFmtId="171" formatCode="#,##0.00\ [$€-1]"/>
    </dxf>
    <dxf>
      <numFmt numFmtId="172" formatCode="#,##0.00\ [$zł-415]"/>
    </dxf>
    <dxf>
      <numFmt numFmtId="173" formatCode="#,##0.00\ [$Ft-40E]"/>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theme="0"/>
      </font>
      <fill>
        <patternFill>
          <bgColor theme="0"/>
        </patternFill>
      </fill>
      <border>
        <left/>
        <right/>
        <top style="dotted">
          <color auto="1"/>
        </top>
        <bottom style="dotted">
          <color auto="1"/>
        </bottom>
        <vertical/>
        <horizontal/>
      </border>
    </dxf>
    <dxf>
      <font>
        <color rgb="FF009EE0"/>
      </font>
    </dxf>
    <dxf>
      <numFmt numFmtId="170" formatCode="#,##0.00\ &quot;Kč&quot;"/>
    </dxf>
    <dxf>
      <numFmt numFmtId="171" formatCode="#,##0.00\ [$€-1]"/>
    </dxf>
    <dxf>
      <numFmt numFmtId="172" formatCode="#,##0.00\ [$zł-415]"/>
    </dxf>
    <dxf>
      <numFmt numFmtId="173" formatCode="#,##0.00\ [$Ft-40E]"/>
    </dxf>
    <dxf>
      <numFmt numFmtId="170" formatCode="#,##0.00\ &quot;Kč&quot;"/>
    </dxf>
    <dxf>
      <numFmt numFmtId="171" formatCode="#,##0.00\ [$€-1]"/>
    </dxf>
    <dxf>
      <numFmt numFmtId="172" formatCode="#,##0.00\ [$zł-415]"/>
    </dxf>
    <dxf>
      <numFmt numFmtId="173" formatCode="#,##0.00\ [$Ft-40E]"/>
    </dxf>
    <dxf>
      <font>
        <color rgb="FF009E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79998168889431442"/>
        </patternFill>
      </fill>
    </dxf>
    <dxf>
      <font>
        <b/>
        <i val="0"/>
        <strike val="0"/>
        <color rgb="FFFF0000"/>
      </font>
    </dxf>
    <dxf>
      <font>
        <color rgb="FF009EE0"/>
      </font>
    </dxf>
    <dxf>
      <numFmt numFmtId="170" formatCode="#,##0.00\ &quot;Kč&quot;"/>
    </dxf>
    <dxf>
      <numFmt numFmtId="171" formatCode="#,##0.00\ [$€-1]"/>
    </dxf>
    <dxf>
      <numFmt numFmtId="172" formatCode="#,##0.00\ [$zł-415]"/>
    </dxf>
    <dxf>
      <numFmt numFmtId="173" formatCode="#,##0.00\ [$Ft-40E]"/>
    </dxf>
    <dxf>
      <font>
        <color theme="0"/>
      </font>
      <fill>
        <patternFill>
          <bgColor theme="0"/>
        </patternFill>
      </fill>
      <border>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bottom/>
        <vertical/>
        <horizontal/>
      </border>
    </dxf>
    <dxf>
      <font>
        <b/>
        <i val="0"/>
        <color theme="1"/>
      </font>
      <fill>
        <patternFill>
          <bgColor rgb="FF92D050"/>
        </patternFill>
      </fill>
    </dxf>
    <dxf>
      <font>
        <color theme="0"/>
      </font>
      <fill>
        <patternFill>
          <bgColor theme="0"/>
        </patternFill>
      </fill>
    </dxf>
    <dxf>
      <font>
        <color theme="0"/>
      </font>
      <fill>
        <patternFill>
          <bgColor theme="0"/>
        </patternFill>
      </fill>
    </dxf>
    <dxf>
      <font>
        <strike val="0"/>
        <color theme="1"/>
      </font>
      <fill>
        <patternFill>
          <bgColor theme="6" tint="0.79998168889431442"/>
        </patternFill>
      </fill>
      <border>
        <left style="hair">
          <color auto="1"/>
        </left>
        <right style="hair">
          <color auto="1"/>
        </right>
        <top style="hair">
          <color auto="1"/>
        </top>
        <bottom style="hair">
          <color auto="1"/>
        </bottom>
        <vertical/>
        <horizontal/>
      </border>
    </dxf>
    <dxf>
      <font>
        <strike val="0"/>
        <color theme="1"/>
      </font>
      <fill>
        <patternFill>
          <bgColor theme="6" tint="0.79998168889431442"/>
        </patternFill>
      </fill>
      <border>
        <left style="hair">
          <color auto="1"/>
        </left>
        <right style="hair">
          <color auto="1"/>
        </right>
        <top style="hair">
          <color auto="1"/>
        </top>
        <bottom style="hair">
          <color auto="1"/>
        </bottom>
        <vertical/>
        <horizontal/>
      </border>
    </dxf>
    <dxf>
      <font>
        <strike val="0"/>
        <color theme="1"/>
      </font>
      <fill>
        <patternFill>
          <bgColor theme="6" tint="0.79998168889431442"/>
        </patternFill>
      </fill>
      <border>
        <left style="hair">
          <color auto="1"/>
        </left>
        <right style="hair">
          <color auto="1"/>
        </right>
        <top style="hair">
          <color auto="1"/>
        </top>
        <bottom style="hair">
          <color auto="1"/>
        </bottom>
        <vertical/>
        <horizontal/>
      </border>
    </dxf>
    <dxf>
      <font>
        <strike val="0"/>
        <color theme="1"/>
      </font>
      <fill>
        <patternFill>
          <bgColor theme="6" tint="0.79998168889431442"/>
        </patternFill>
      </fill>
      <border>
        <left style="hair">
          <color auto="1"/>
        </left>
        <right style="hair">
          <color auto="1"/>
        </right>
        <top style="hair">
          <color auto="1"/>
        </top>
        <bottom style="hair">
          <color auto="1"/>
        </bottom>
        <vertical/>
        <horizontal/>
      </border>
    </dxf>
    <dxf>
      <font>
        <color theme="0"/>
      </font>
      <fill>
        <patternFill>
          <bgColor theme="3"/>
        </patternFill>
      </fill>
    </dxf>
    <dxf>
      <font>
        <color theme="0"/>
      </font>
      <fill>
        <patternFill>
          <bgColor theme="0"/>
        </patternFill>
      </fill>
      <border>
        <bottom/>
        <vertical/>
        <horizontal/>
      </border>
    </dxf>
    <dxf>
      <font>
        <color theme="0"/>
      </font>
      <fill>
        <patternFill>
          <bgColor theme="0"/>
        </patternFill>
      </fill>
      <border>
        <bottom/>
        <vertical/>
        <horizontal/>
      </border>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1"/>
      </font>
    </dxf>
    <dxf>
      <font>
        <strike val="0"/>
        <color theme="1"/>
      </font>
    </dxf>
    <dxf>
      <font>
        <color theme="1"/>
      </font>
    </dxf>
    <dxf>
      <fill>
        <patternFill>
          <bgColor rgb="FFFF0000"/>
        </patternFill>
      </fill>
    </dxf>
    <dxf>
      <fill>
        <patternFill>
          <bgColor rgb="FFFF0000"/>
        </patternFill>
      </fill>
    </dxf>
    <dxf>
      <fill>
        <patternFill>
          <bgColor rgb="FFFF0000"/>
        </patternFill>
      </fill>
    </dxf>
    <dxf>
      <fill>
        <patternFill>
          <bgColor rgb="FFFF0000"/>
        </patternFill>
      </fill>
    </dxf>
    <dxf>
      <border>
        <right style="dotted">
          <color auto="1"/>
        </right>
        <vertical/>
        <horizontal/>
      </border>
    </dxf>
    <dxf>
      <border>
        <right style="dotted">
          <color auto="1"/>
        </right>
        <vertical/>
        <horizontal/>
      </border>
    </dxf>
    <dxf>
      <border>
        <bottom style="dotted">
          <color auto="1"/>
        </bottom>
        <vertical/>
        <horizontal/>
      </border>
    </dxf>
    <dxf>
      <border>
        <bottom style="dotted">
          <color auto="1"/>
        </bottom>
        <vertical/>
        <horizontal/>
      </border>
    </dxf>
    <dxf>
      <font>
        <b val="0"/>
        <i val="0"/>
        <strike val="0"/>
        <color theme="1"/>
      </font>
    </dxf>
    <dxf>
      <font>
        <b val="0"/>
        <i val="0"/>
        <strike val="0"/>
        <color theme="1"/>
      </font>
    </dxf>
    <dxf>
      <font>
        <b val="0"/>
        <i val="0"/>
        <strike val="0"/>
        <color theme="1"/>
      </font>
    </dxf>
    <dxf>
      <font>
        <b val="0"/>
        <i val="0"/>
        <strike val="0"/>
        <color theme="1"/>
      </font>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1"/>
      </font>
      <fill>
        <patternFill>
          <bgColor theme="6" tint="0.79998168889431442"/>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theme="6" tint="0.79998168889431442"/>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theme="6" tint="0.79998168889431442"/>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theme="6" tint="0.79998168889431442"/>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color theme="0"/>
      </font>
      <fill>
        <patternFill>
          <bgColor theme="0"/>
        </patternFill>
      </fill>
    </dxf>
    <dxf>
      <font>
        <color theme="0"/>
      </font>
      <fill>
        <patternFill>
          <bgColor theme="3"/>
        </patternFill>
      </fill>
    </dxf>
    <dxf>
      <border>
        <bottom style="dotted">
          <color auto="1"/>
        </bottom>
        <vertical/>
        <horizontal/>
      </border>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79998168889431442"/>
        </patternFill>
      </fill>
    </dxf>
    <dxf>
      <numFmt numFmtId="170" formatCode="#,##0.00\ &quot;Kč&quot;"/>
    </dxf>
    <dxf>
      <numFmt numFmtId="171" formatCode="#,##0.00\ [$€-1]"/>
    </dxf>
    <dxf>
      <numFmt numFmtId="172" formatCode="#,##0.00\ [$zł-415]"/>
    </dxf>
    <dxf>
      <numFmt numFmtId="173" formatCode="#,##0.00\ [$Ft-40E]"/>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dxf>
    <dxf>
      <font>
        <color theme="0"/>
      </font>
      <fill>
        <patternFill>
          <bgColor theme="0"/>
        </patternFill>
      </fill>
      <border>
        <bottom/>
        <vertical/>
        <horizontal/>
      </border>
    </dxf>
    <dxf>
      <font>
        <color theme="0" tint="-0.34998626667073579"/>
      </font>
      <fill>
        <patternFill>
          <bgColor theme="0" tint="-0.34998626667073579"/>
        </patternFill>
      </fill>
    </dxf>
    <dxf>
      <font>
        <color theme="0"/>
      </font>
      <fill>
        <patternFill>
          <bgColor theme="0"/>
        </patternFill>
      </fill>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right style="dotted">
          <color auto="1"/>
        </right>
        <vertical/>
        <horizontal/>
      </border>
    </dxf>
    <dxf>
      <border>
        <right style="dotted">
          <color auto="1"/>
        </right>
        <vertical/>
        <horizontal/>
      </border>
    </dxf>
    <dxf>
      <border>
        <bottom style="dotted">
          <color auto="1"/>
        </bottom>
        <vertical/>
        <horizontal/>
      </border>
    </dxf>
    <dxf>
      <border>
        <bottom style="dotted">
          <color auto="1"/>
        </bottom>
        <vertical/>
        <horizontal/>
      </border>
    </dxf>
    <dxf>
      <font>
        <b val="0"/>
        <i val="0"/>
        <strike val="0"/>
        <color theme="1"/>
      </font>
    </dxf>
    <dxf>
      <font>
        <b val="0"/>
        <i val="0"/>
        <strike val="0"/>
        <color theme="1"/>
      </font>
    </dxf>
    <dxf>
      <font>
        <b val="0"/>
        <i val="0"/>
        <strike val="0"/>
        <color theme="1"/>
      </font>
    </dxf>
    <dxf>
      <font>
        <b val="0"/>
        <i val="0"/>
        <strike val="0"/>
        <color theme="1"/>
      </font>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color theme="0" tint="-0.34998626667073579"/>
      </font>
      <fill>
        <patternFill>
          <bgColor theme="0" tint="-0.34998626667073579"/>
        </patternFill>
      </fill>
    </dxf>
    <dxf>
      <font>
        <color theme="0" tint="-0.499984740745262"/>
      </font>
      <fill>
        <patternFill>
          <bgColor theme="0" tint="-0.499984740745262"/>
        </patternFill>
      </fill>
    </dxf>
    <dxf>
      <font>
        <color theme="0"/>
      </font>
    </dxf>
    <dxf>
      <font>
        <color theme="0" tint="-0.499984740745262"/>
      </font>
      <fill>
        <patternFill>
          <bgColor theme="0" tint="-0.499984740745262"/>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color theme="0"/>
      </font>
    </dxf>
    <dxf>
      <font>
        <color theme="0"/>
      </font>
      <fill>
        <patternFill>
          <bgColor theme="0"/>
        </patternFill>
      </fill>
    </dxf>
    <dxf>
      <font>
        <color theme="0"/>
      </font>
      <fill>
        <patternFill>
          <bgColor theme="0"/>
        </patternFill>
      </fill>
    </dxf>
    <dxf>
      <font>
        <color theme="0"/>
      </font>
      <fill>
        <patternFill>
          <bgColor theme="3"/>
        </patternFill>
      </fill>
    </dxf>
    <dxf>
      <font>
        <strike val="0"/>
        <color theme="0"/>
      </font>
      <fill>
        <patternFill>
          <bgColor theme="0"/>
        </patternFill>
      </fill>
      <border>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1"/>
      </font>
      <fill>
        <patternFill>
          <bgColor rgb="FF92D050"/>
        </patternFill>
      </fill>
    </dxf>
    <dxf>
      <font>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79998168889431442"/>
        </patternFill>
      </fill>
    </dxf>
    <dxf>
      <numFmt numFmtId="170" formatCode="#,##0.00\ &quot;Kč&quot;"/>
    </dxf>
    <dxf>
      <numFmt numFmtId="171" formatCode="#,##0.00\ [$€-1]"/>
    </dxf>
    <dxf>
      <numFmt numFmtId="172" formatCode="#,##0.00\ [$zł-415]"/>
    </dxf>
    <dxf>
      <numFmt numFmtId="173" formatCode="#,##0.00\ [$Ft-40E]"/>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dxf>
    <dxf>
      <font>
        <color theme="0"/>
      </font>
      <fill>
        <patternFill>
          <bgColor theme="0"/>
        </patternFill>
      </fill>
      <border>
        <bottom/>
        <vertical/>
        <horizontal/>
      </border>
    </dxf>
    <dxf>
      <font>
        <color theme="0" tint="-0.34998626667073579"/>
      </font>
      <fill>
        <patternFill>
          <bgColor theme="0" tint="-0.34998626667073579"/>
        </patternFill>
      </fill>
    </dxf>
    <dxf>
      <font>
        <color theme="0"/>
      </font>
      <fill>
        <patternFill>
          <bgColor theme="0"/>
        </patternFill>
      </fill>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right style="dotted">
          <color auto="1"/>
        </right>
        <vertical/>
        <horizontal/>
      </border>
    </dxf>
    <dxf>
      <border>
        <right style="dotted">
          <color auto="1"/>
        </right>
        <vertical/>
        <horizontal/>
      </border>
    </dxf>
    <dxf>
      <border>
        <bottom style="dotted">
          <color auto="1"/>
        </bottom>
        <vertical/>
        <horizontal/>
      </border>
    </dxf>
    <dxf>
      <border>
        <bottom style="dotted">
          <color auto="1"/>
        </bottom>
        <vertical/>
        <horizontal/>
      </border>
    </dxf>
    <dxf>
      <font>
        <b val="0"/>
        <i val="0"/>
        <strike val="0"/>
        <color theme="1"/>
      </font>
    </dxf>
    <dxf>
      <font>
        <b val="0"/>
        <i val="0"/>
        <strike val="0"/>
        <color theme="1"/>
      </font>
    </dxf>
    <dxf>
      <font>
        <b val="0"/>
        <i val="0"/>
        <strike val="0"/>
        <color theme="1"/>
      </font>
    </dxf>
    <dxf>
      <font>
        <b val="0"/>
        <i val="0"/>
        <strike val="0"/>
        <color theme="1"/>
      </font>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color theme="0" tint="-0.34998626667073579"/>
      </font>
      <fill>
        <patternFill>
          <bgColor theme="0" tint="-0.34998626667073579"/>
        </patternFill>
      </fill>
    </dxf>
    <dxf>
      <font>
        <color theme="0" tint="-0.499984740745262"/>
      </font>
      <fill>
        <patternFill>
          <bgColor theme="0" tint="-0.499984740745262"/>
        </patternFill>
      </fill>
    </dxf>
    <dxf>
      <font>
        <color theme="0"/>
      </font>
    </dxf>
    <dxf>
      <font>
        <color theme="0" tint="-0.499984740745262"/>
      </font>
      <fill>
        <patternFill>
          <bgColor theme="0" tint="-0.499984740745262"/>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color theme="0"/>
      </font>
    </dxf>
    <dxf>
      <font>
        <color theme="0"/>
      </font>
      <fill>
        <patternFill>
          <bgColor theme="0"/>
        </patternFill>
      </fill>
    </dxf>
    <dxf>
      <font>
        <color theme="0"/>
      </font>
      <fill>
        <patternFill>
          <bgColor theme="0"/>
        </patternFill>
      </fill>
    </dxf>
    <dxf>
      <font>
        <color theme="0"/>
      </font>
      <fill>
        <patternFill>
          <bgColor theme="3"/>
        </patternFill>
      </fill>
    </dxf>
    <dxf>
      <font>
        <strike val="0"/>
        <color theme="0"/>
      </font>
      <fill>
        <patternFill>
          <bgColor theme="0"/>
        </patternFill>
      </fill>
      <border>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1"/>
      </font>
      <fill>
        <patternFill>
          <bgColor rgb="FF92D050"/>
        </patternFill>
      </fill>
    </dxf>
    <dxf>
      <font>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79998168889431442"/>
        </patternFill>
      </fill>
    </dxf>
    <dxf>
      <numFmt numFmtId="170" formatCode="#,##0.00\ &quot;Kč&quot;"/>
    </dxf>
    <dxf>
      <numFmt numFmtId="171" formatCode="#,##0.00\ [$€-1]"/>
    </dxf>
    <dxf>
      <numFmt numFmtId="172" formatCode="#,##0.00\ [$zł-415]"/>
    </dxf>
    <dxf>
      <numFmt numFmtId="173" formatCode="#,##0.00\ [$Ft-40E]"/>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dxf>
    <dxf>
      <font>
        <color theme="0"/>
      </font>
      <fill>
        <patternFill>
          <bgColor theme="0"/>
        </patternFill>
      </fill>
      <border>
        <bottom/>
        <vertical/>
        <horizontal/>
      </border>
    </dxf>
    <dxf>
      <font>
        <color theme="0" tint="-0.34998626667073579"/>
      </font>
      <fill>
        <patternFill>
          <bgColor theme="0" tint="-0.34998626667073579"/>
        </patternFill>
      </fill>
    </dxf>
    <dxf>
      <font>
        <color theme="0"/>
      </font>
      <fill>
        <patternFill>
          <bgColor theme="0"/>
        </patternFill>
      </fill>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right style="dotted">
          <color auto="1"/>
        </right>
        <vertical/>
        <horizontal/>
      </border>
    </dxf>
    <dxf>
      <border>
        <right style="dotted">
          <color auto="1"/>
        </right>
        <vertical/>
        <horizontal/>
      </border>
    </dxf>
    <dxf>
      <border>
        <bottom style="dotted">
          <color auto="1"/>
        </bottom>
        <vertical/>
        <horizontal/>
      </border>
    </dxf>
    <dxf>
      <border>
        <bottom style="dotted">
          <color auto="1"/>
        </bottom>
        <vertical/>
        <horizontal/>
      </border>
    </dxf>
    <dxf>
      <font>
        <b val="0"/>
        <i val="0"/>
        <strike val="0"/>
        <color theme="1"/>
      </font>
    </dxf>
    <dxf>
      <font>
        <b val="0"/>
        <i val="0"/>
        <strike val="0"/>
        <color theme="1"/>
      </font>
    </dxf>
    <dxf>
      <font>
        <b val="0"/>
        <i val="0"/>
        <strike val="0"/>
        <color theme="1"/>
      </font>
    </dxf>
    <dxf>
      <font>
        <b val="0"/>
        <i val="0"/>
        <strike val="0"/>
        <color theme="1"/>
      </font>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color theme="0" tint="-0.34998626667073579"/>
      </font>
      <fill>
        <patternFill>
          <bgColor theme="0" tint="-0.34998626667073579"/>
        </patternFill>
      </fill>
    </dxf>
    <dxf>
      <font>
        <color theme="0" tint="-0.499984740745262"/>
      </font>
      <fill>
        <patternFill>
          <bgColor theme="0" tint="-0.499984740745262"/>
        </patternFill>
      </fill>
    </dxf>
    <dxf>
      <font>
        <color theme="0"/>
      </font>
    </dxf>
    <dxf>
      <font>
        <color theme="0" tint="-0.499984740745262"/>
      </font>
      <fill>
        <patternFill>
          <bgColor theme="0" tint="-0.499984740745262"/>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color theme="0"/>
      </font>
    </dxf>
    <dxf>
      <font>
        <color theme="0"/>
      </font>
      <fill>
        <patternFill>
          <bgColor theme="0"/>
        </patternFill>
      </fill>
    </dxf>
    <dxf>
      <font>
        <color theme="0"/>
      </font>
      <fill>
        <patternFill>
          <bgColor theme="0"/>
        </patternFill>
      </fill>
    </dxf>
    <dxf>
      <font>
        <color theme="0"/>
      </font>
      <fill>
        <patternFill>
          <bgColor theme="3"/>
        </patternFill>
      </fill>
    </dxf>
    <dxf>
      <font>
        <strike val="0"/>
        <color theme="0"/>
      </font>
      <fill>
        <patternFill>
          <bgColor theme="0"/>
        </patternFill>
      </fill>
      <border>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1"/>
      </font>
      <fill>
        <patternFill>
          <bgColor rgb="FF92D050"/>
        </patternFill>
      </fill>
    </dxf>
    <dxf>
      <font>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79998168889431442"/>
        </patternFill>
      </fill>
    </dxf>
    <dxf>
      <numFmt numFmtId="170" formatCode="#,##0.00\ &quot;Kč&quot;"/>
    </dxf>
    <dxf>
      <numFmt numFmtId="171" formatCode="#,##0.00\ [$€-1]"/>
    </dxf>
    <dxf>
      <numFmt numFmtId="172" formatCode="#,##0.00\ [$zł-415]"/>
    </dxf>
    <dxf>
      <numFmt numFmtId="173" formatCode="#,##0.00\ [$Ft-40E]"/>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dxf>
    <dxf>
      <font>
        <color theme="0"/>
      </font>
      <fill>
        <patternFill>
          <bgColor theme="0"/>
        </patternFill>
      </fill>
      <border>
        <bottom/>
        <vertical/>
        <horizontal/>
      </border>
    </dxf>
    <dxf>
      <font>
        <color theme="0" tint="-0.34998626667073579"/>
      </font>
      <fill>
        <patternFill>
          <bgColor theme="0" tint="-0.34998626667073579"/>
        </patternFill>
      </fill>
    </dxf>
    <dxf>
      <font>
        <color theme="0"/>
      </font>
      <fill>
        <patternFill>
          <bgColor theme="0"/>
        </patternFill>
      </fill>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right style="dotted">
          <color auto="1"/>
        </right>
        <vertical/>
        <horizontal/>
      </border>
    </dxf>
    <dxf>
      <border>
        <right style="dotted">
          <color auto="1"/>
        </right>
        <vertical/>
        <horizontal/>
      </border>
    </dxf>
    <dxf>
      <border>
        <bottom style="dotted">
          <color auto="1"/>
        </bottom>
        <vertical/>
        <horizontal/>
      </border>
    </dxf>
    <dxf>
      <border>
        <bottom style="dotted">
          <color auto="1"/>
        </bottom>
        <vertical/>
        <horizontal/>
      </border>
    </dxf>
    <dxf>
      <font>
        <b val="0"/>
        <i val="0"/>
        <strike val="0"/>
        <color theme="1"/>
      </font>
    </dxf>
    <dxf>
      <font>
        <b val="0"/>
        <i val="0"/>
        <strike val="0"/>
        <color theme="1"/>
      </font>
    </dxf>
    <dxf>
      <font>
        <b val="0"/>
        <i val="0"/>
        <strike val="0"/>
        <color theme="1"/>
      </font>
    </dxf>
    <dxf>
      <font>
        <b val="0"/>
        <i val="0"/>
        <strike val="0"/>
        <color theme="1"/>
      </font>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color theme="0" tint="-0.34998626667073579"/>
      </font>
      <fill>
        <patternFill>
          <bgColor theme="0" tint="-0.34998626667073579"/>
        </patternFill>
      </fill>
    </dxf>
    <dxf>
      <font>
        <color theme="0" tint="-0.499984740745262"/>
      </font>
      <fill>
        <patternFill>
          <bgColor theme="0" tint="-0.499984740745262"/>
        </patternFill>
      </fill>
    </dxf>
    <dxf>
      <font>
        <color theme="0"/>
      </font>
    </dxf>
    <dxf>
      <font>
        <color theme="0" tint="-0.499984740745262"/>
      </font>
      <fill>
        <patternFill>
          <bgColor theme="0" tint="-0.499984740745262"/>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color theme="0"/>
      </font>
    </dxf>
    <dxf>
      <font>
        <color theme="0"/>
      </font>
      <fill>
        <patternFill>
          <bgColor theme="0"/>
        </patternFill>
      </fill>
    </dxf>
    <dxf>
      <font>
        <color theme="0"/>
      </font>
      <fill>
        <patternFill>
          <bgColor theme="0"/>
        </patternFill>
      </fill>
    </dxf>
    <dxf>
      <font>
        <color theme="0"/>
      </font>
      <fill>
        <patternFill>
          <bgColor theme="3"/>
        </patternFill>
      </fill>
    </dxf>
    <dxf>
      <font>
        <strike val="0"/>
        <color theme="0"/>
      </font>
      <fill>
        <patternFill>
          <bgColor theme="0"/>
        </patternFill>
      </fill>
      <border>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1"/>
      </font>
      <fill>
        <patternFill>
          <bgColor rgb="FF92D050"/>
        </patternFill>
      </fill>
    </dxf>
    <dxf>
      <font>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79998168889431442"/>
        </patternFill>
      </fill>
    </dxf>
    <dxf>
      <numFmt numFmtId="170" formatCode="#,##0.00\ &quot;Kč&quot;"/>
    </dxf>
    <dxf>
      <numFmt numFmtId="171" formatCode="#,##0.00\ [$€-1]"/>
    </dxf>
    <dxf>
      <numFmt numFmtId="172" formatCode="#,##0.00\ [$zł-415]"/>
    </dxf>
    <dxf>
      <numFmt numFmtId="173" formatCode="#,##0.00\ [$Ft-40E]"/>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dxf>
    <dxf>
      <font>
        <color theme="0"/>
      </font>
      <fill>
        <patternFill>
          <bgColor theme="0"/>
        </patternFill>
      </fill>
      <border>
        <bottom/>
        <vertical/>
        <horizontal/>
      </border>
    </dxf>
    <dxf>
      <font>
        <color theme="0" tint="-0.34998626667073579"/>
      </font>
      <fill>
        <patternFill>
          <bgColor theme="0" tint="-0.34998626667073579"/>
        </patternFill>
      </fill>
    </dxf>
    <dxf>
      <font>
        <color theme="0"/>
      </font>
      <fill>
        <patternFill>
          <bgColor theme="0"/>
        </patternFill>
      </fill>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right style="dotted">
          <color auto="1"/>
        </right>
        <vertical/>
        <horizontal/>
      </border>
    </dxf>
    <dxf>
      <border>
        <right style="dotted">
          <color auto="1"/>
        </right>
        <vertical/>
        <horizontal/>
      </border>
    </dxf>
    <dxf>
      <border>
        <bottom style="dotted">
          <color auto="1"/>
        </bottom>
        <vertical/>
        <horizontal/>
      </border>
    </dxf>
    <dxf>
      <border>
        <bottom style="dotted">
          <color auto="1"/>
        </bottom>
        <vertical/>
        <horizontal/>
      </border>
    </dxf>
    <dxf>
      <font>
        <b val="0"/>
        <i val="0"/>
        <strike val="0"/>
        <color theme="1"/>
      </font>
    </dxf>
    <dxf>
      <font>
        <b val="0"/>
        <i val="0"/>
        <strike val="0"/>
        <color theme="1"/>
      </font>
    </dxf>
    <dxf>
      <font>
        <b val="0"/>
        <i val="0"/>
        <strike val="0"/>
        <color theme="1"/>
      </font>
    </dxf>
    <dxf>
      <font>
        <b val="0"/>
        <i val="0"/>
        <strike val="0"/>
        <color theme="1"/>
      </font>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color theme="0" tint="-0.34998626667073579"/>
      </font>
      <fill>
        <patternFill>
          <bgColor theme="0" tint="-0.34998626667073579"/>
        </patternFill>
      </fill>
    </dxf>
    <dxf>
      <font>
        <color theme="0" tint="-0.499984740745262"/>
      </font>
      <fill>
        <patternFill>
          <bgColor theme="0" tint="-0.499984740745262"/>
        </patternFill>
      </fill>
    </dxf>
    <dxf>
      <font>
        <color theme="0"/>
      </font>
    </dxf>
    <dxf>
      <font>
        <color theme="0" tint="-0.499984740745262"/>
      </font>
      <fill>
        <patternFill>
          <bgColor theme="0" tint="-0.499984740745262"/>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color theme="0"/>
      </font>
    </dxf>
    <dxf>
      <font>
        <color theme="0"/>
      </font>
      <fill>
        <patternFill>
          <bgColor theme="0"/>
        </patternFill>
      </fill>
    </dxf>
    <dxf>
      <font>
        <color theme="0"/>
      </font>
      <fill>
        <patternFill>
          <bgColor theme="0"/>
        </patternFill>
      </fill>
    </dxf>
    <dxf>
      <font>
        <color theme="0"/>
      </font>
      <fill>
        <patternFill>
          <bgColor theme="3"/>
        </patternFill>
      </fill>
    </dxf>
    <dxf>
      <font>
        <strike val="0"/>
        <color theme="0"/>
      </font>
      <fill>
        <patternFill>
          <bgColor theme="0"/>
        </patternFill>
      </fill>
      <border>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1"/>
      </font>
      <fill>
        <patternFill>
          <bgColor rgb="FF92D050"/>
        </patternFill>
      </fill>
    </dxf>
    <dxf>
      <font>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79998168889431442"/>
        </patternFill>
      </fill>
    </dxf>
    <dxf>
      <numFmt numFmtId="170" formatCode="#,##0.00\ &quot;Kč&quot;"/>
    </dxf>
    <dxf>
      <numFmt numFmtId="171" formatCode="#,##0.00\ [$€-1]"/>
    </dxf>
    <dxf>
      <numFmt numFmtId="172" formatCode="#,##0.00\ [$zł-415]"/>
    </dxf>
    <dxf>
      <numFmt numFmtId="173" formatCode="#,##0.00\ [$Ft-40E]"/>
    </dxf>
    <dxf>
      <font>
        <color theme="0"/>
      </font>
      <fill>
        <patternFill>
          <bgColor theme="0"/>
        </patternFill>
      </fill>
      <border>
        <bottom/>
        <vertical/>
        <horizontal/>
      </border>
    </dxf>
    <dxf>
      <font>
        <color theme="0"/>
      </font>
    </dxf>
    <dxf>
      <font>
        <color theme="0" tint="-0.499984740745262"/>
      </font>
      <fill>
        <patternFill>
          <bgColor theme="0" tint="-0.499984740745262"/>
        </patternFill>
      </fill>
    </dxf>
    <dxf>
      <font>
        <color theme="0" tint="-0.34998626667073579"/>
      </font>
      <fill>
        <patternFill>
          <bgColor theme="0" tint="-0.34998626667073579"/>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fill>
        <patternFill>
          <bgColor theme="0"/>
        </patternFill>
      </fill>
    </dxf>
    <dxf>
      <font>
        <strike val="0"/>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theme="0"/>
      </font>
    </dxf>
    <dxf>
      <font>
        <color theme="0"/>
      </font>
      <fill>
        <patternFill>
          <bgColor theme="3"/>
        </patternFill>
      </fill>
    </dxf>
    <dxf>
      <font>
        <color theme="0"/>
      </font>
      <fill>
        <patternFill>
          <bgColor theme="0"/>
        </patternFill>
      </fill>
    </dxf>
    <dxf>
      <font>
        <color theme="0"/>
      </font>
      <fill>
        <patternFill>
          <bgColor theme="0"/>
        </patternFill>
      </fill>
    </dxf>
    <dxf>
      <font>
        <color theme="0"/>
      </font>
      <fill>
        <patternFill>
          <bgColor theme="0"/>
        </patternFill>
      </fill>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border>
        <top style="hair">
          <color theme="0" tint="-0.24994659260841701"/>
        </top>
        <bottom style="hair">
          <color theme="0" tint="-0.24994659260841701"/>
        </bottom>
        <vertical/>
        <horizontal/>
      </border>
    </dxf>
    <dxf>
      <border>
        <left style="hair">
          <color theme="0" tint="-0.24994659260841701"/>
        </left>
        <right style="hair">
          <color theme="0" tint="-0.24994659260841701"/>
        </right>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theme="0"/>
      </font>
      <fill>
        <patternFill>
          <bgColor theme="0"/>
        </patternFill>
      </fill>
      <border>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border>
        <right style="dotted">
          <color auto="1"/>
        </right>
        <vertical/>
        <horizontal/>
      </border>
    </dxf>
    <dxf>
      <border>
        <right style="dotted">
          <color auto="1"/>
        </right>
        <vertical/>
        <horizontal/>
      </border>
    </dxf>
    <dxf>
      <border>
        <bottom style="dotted">
          <color auto="1"/>
        </bottom>
        <vertical/>
        <horizontal/>
      </border>
    </dxf>
    <dxf>
      <border>
        <bottom style="dotted">
          <color auto="1"/>
        </bottom>
        <vertical/>
        <horizontal/>
      </border>
    </dxf>
    <dxf>
      <font>
        <b val="0"/>
        <i val="0"/>
        <strike val="0"/>
        <color theme="1"/>
      </font>
    </dxf>
    <dxf>
      <font>
        <b val="0"/>
        <i val="0"/>
        <strike val="0"/>
        <color theme="1"/>
      </font>
    </dxf>
    <dxf>
      <font>
        <b val="0"/>
        <i val="0"/>
        <strike val="0"/>
        <color theme="1"/>
      </font>
    </dxf>
    <dxf>
      <font>
        <b val="0"/>
        <i val="0"/>
        <strike val="0"/>
        <color theme="1"/>
      </font>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strike val="0"/>
        <color theme="1"/>
      </font>
      <fill>
        <patternFill>
          <bgColor rgb="FF92D050"/>
        </patternFill>
      </fill>
      <border>
        <left style="hair">
          <color auto="1"/>
        </left>
        <right style="hair">
          <color auto="1"/>
        </right>
        <top style="hair">
          <color auto="1"/>
        </top>
        <bottom style="hair">
          <color auto="1"/>
        </bottom>
        <vertical/>
        <horizontal/>
      </border>
    </dxf>
    <dxf>
      <font>
        <strike val="0"/>
        <color theme="0"/>
      </font>
      <fill>
        <patternFill>
          <bgColor theme="1" tint="0.499984740745262"/>
        </patternFill>
      </fill>
      <border>
        <left style="hair">
          <color auto="1"/>
        </left>
        <right style="hair">
          <color auto="1"/>
        </right>
        <top style="hair">
          <color auto="1"/>
        </top>
        <bottom style="hair">
          <color auto="1"/>
        </bottom>
        <vertical/>
        <horizontal/>
      </border>
    </dxf>
    <dxf>
      <font>
        <color theme="0"/>
      </font>
      <fill>
        <patternFill>
          <bgColor theme="0"/>
        </patternFill>
      </fill>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strike val="0"/>
        <color theme="0"/>
      </font>
      <fill>
        <patternFill>
          <bgColor theme="0"/>
        </patternFill>
      </fill>
      <border>
        <bottom/>
        <vertical/>
        <horizontal/>
      </border>
    </dxf>
    <dxf>
      <font>
        <strike val="0"/>
        <color theme="0"/>
      </font>
      <fill>
        <patternFill>
          <bgColor theme="0"/>
        </patternFill>
      </fill>
      <border>
        <bottom/>
        <vertical/>
        <horizontal/>
      </border>
    </dxf>
    <dxf>
      <font>
        <color rgb="FF9C0006"/>
      </font>
      <fill>
        <patternFill>
          <bgColor rgb="FFFFC7CE"/>
        </patternFill>
      </fill>
    </dxf>
    <dxf>
      <numFmt numFmtId="170" formatCode="#,##0.00\ &quot;Kč&quot;"/>
    </dxf>
    <dxf>
      <numFmt numFmtId="171" formatCode="#,##0.00\ [$€-1]"/>
    </dxf>
    <dxf>
      <numFmt numFmtId="172" formatCode="#,##0.00\ [$zł-415]"/>
    </dxf>
    <dxf>
      <numFmt numFmtId="173" formatCode="#,##0.00\ [$Ft-40E]"/>
    </dxf>
    <dxf>
      <font>
        <color theme="0"/>
      </font>
      <fill>
        <patternFill>
          <bgColor theme="0"/>
        </patternFill>
      </fill>
      <border>
        <bottom/>
        <vertical/>
        <horizontal/>
      </border>
    </dxf>
    <dxf>
      <font>
        <b/>
        <i val="0"/>
        <color theme="1"/>
      </font>
      <fill>
        <patternFill>
          <bgColor rgb="FF92D050"/>
        </patternFill>
      </fill>
    </dxf>
  </dxfs>
  <tableStyles count="0" defaultTableStyle="TableStyleMedium9" defaultPivotStyle="PivotStyleLight16"/>
  <colors>
    <mruColors>
      <color rgb="FF009EE0"/>
      <color rgb="FF004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Radio" checked="Checked" firstButton="1" fmlaLink="'Translate &amp; Prices'!$D$1" lockText="1"/>
</file>

<file path=xl/ctrlProps/ctrlProp10.xml><?xml version="1.0" encoding="utf-8"?>
<formControlPr xmlns="http://schemas.microsoft.com/office/spreadsheetml/2009/9/main" objectType="Radio" lockText="1"/>
</file>

<file path=xl/ctrlProps/ctrlProp11.xml><?xml version="1.0" encoding="utf-8"?>
<formControlPr xmlns="http://schemas.microsoft.com/office/spreadsheetml/2009/9/main" objectType="CheckBox" fmlaLink="#REF!"/>
</file>

<file path=xl/ctrlProps/ctrlProp12.xml><?xml version="1.0" encoding="utf-8"?>
<formControlPr xmlns="http://schemas.microsoft.com/office/spreadsheetml/2009/9/main" objectType="Radio" checked="Checked" firstButton="1" fmlaLink="kombinace_1!$V$1" lockText="1"/>
</file>

<file path=xl/ctrlProps/ctrlProp13.xml><?xml version="1.0" encoding="utf-8"?>
<formControlPr xmlns="http://schemas.microsoft.com/office/spreadsheetml/2009/9/main" objectType="Radio" lockText="1"/>
</file>

<file path=xl/ctrlProps/ctrlProp14.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kombinace_1!$H$1"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Radio" checked="Checked" firstButton="1" fmlaLink="kombinace_3!$V$1" lockText="1"/>
</file>

<file path=xl/ctrlProps/ctrlProp23.xml><?xml version="1.0" encoding="utf-8"?>
<formControlPr xmlns="http://schemas.microsoft.com/office/spreadsheetml/2009/9/main" objectType="Radio"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CheckBox" fmlaLink="kombinace_3!$H$1" lockText="1"/>
</file>

<file path=xl/ctrlProps/ctrlProp26.xml><?xml version="1.0" encoding="utf-8"?>
<formControlPr xmlns="http://schemas.microsoft.com/office/spreadsheetml/2009/9/main" objectType="CheckBox" fmlaLink="#REF!"/>
</file>

<file path=xl/ctrlProps/ctrlProp27.xml><?xml version="1.0" encoding="utf-8"?>
<formControlPr xmlns="http://schemas.microsoft.com/office/spreadsheetml/2009/9/main" objectType="Radio" checked="Checked" firstButton="1" fmlaLink="kombinace_4!$V$1"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kombinace_4!$H$1" lockText="1"/>
</file>

<file path=xl/ctrlProps/ctrlProp31.xml><?xml version="1.0" encoding="utf-8"?>
<formControlPr xmlns="http://schemas.microsoft.com/office/spreadsheetml/2009/9/main" objectType="CheckBox" fmlaLink="#REF!"/>
</file>

<file path=xl/ctrlProps/ctrlProp32.xml><?xml version="1.0" encoding="utf-8"?>
<formControlPr xmlns="http://schemas.microsoft.com/office/spreadsheetml/2009/9/main" objectType="Radio" checked="Checked" firstButton="1" fmlaLink="kombinace_5!$V$1"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CheckBox" fmlaLink="kombinace_5!$H$1" lockText="1"/>
</file>

<file path=xl/ctrlProps/ctrlProp36.xml><?xml version="1.0" encoding="utf-8"?>
<formControlPr xmlns="http://schemas.microsoft.com/office/spreadsheetml/2009/9/main" objectType="CheckBox" fmlaLink="#REF!"/>
</file>

<file path=xl/ctrlProps/ctrlProp37.xml><?xml version="1.0" encoding="utf-8"?>
<formControlPr xmlns="http://schemas.microsoft.com/office/spreadsheetml/2009/9/main" objectType="Radio" checked="Checked" firstButton="1" fmlaLink="kombinace_6!$V$1"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kombinace_6!$H$1" lockText="1"/>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Radio" checked="Checked" firstButton="1" fmlaLink="kombinace_2!$V$1"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CheckBox" fmlaLink="kombinace_2!$H$1" lockText="1"/>
</file>

<file path=xl/ctrlProps/ctrlProp46.xml><?xml version="1.0" encoding="utf-8"?>
<formControlPr xmlns="http://schemas.microsoft.com/office/spreadsheetml/2009/9/main" objectType="CheckBox" fmlaLink="#REF!"/>
</file>

<file path=xl/ctrlProps/ctrlProp47.xml><?xml version="1.0" encoding="utf-8"?>
<formControlPr xmlns="http://schemas.microsoft.com/office/spreadsheetml/2009/9/main" objectType="CheckBox" checked="Checked" fmlaLink="$AQ$22" lockText="1"/>
</file>

<file path=xl/ctrlProps/ctrlProp48.xml><?xml version="1.0" encoding="utf-8"?>
<formControlPr xmlns="http://schemas.microsoft.com/office/spreadsheetml/2009/9/main" objectType="CheckBox" fmlaLink="#REF!"/>
</file>

<file path=xl/ctrlProps/ctrlProp49.xml><?xml version="1.0" encoding="utf-8"?>
<formControlPr xmlns="http://schemas.microsoft.com/office/spreadsheetml/2009/9/main" objectType="CheckBox" checked="Checked" fmlaLink="$AJ$4"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checked="Checked" fmlaLink="AF35"/>
</file>

<file path=xl/ctrlProps/ctrlProp51.xml><?xml version="1.0" encoding="utf-8"?>
<formControlPr xmlns="http://schemas.microsoft.com/office/spreadsheetml/2009/9/main" objectType="CheckBox" checked="Checked" fmlaLink="AF35"/>
</file>

<file path=xl/ctrlProps/ctrlProp52.xml><?xml version="1.0" encoding="utf-8"?>
<formControlPr xmlns="http://schemas.microsoft.com/office/spreadsheetml/2009/9/main" objectType="CheckBox" checked="Checked" fmlaLink="AF35"/>
</file>

<file path=xl/ctrlProps/ctrlProp53.xml><?xml version="1.0" encoding="utf-8"?>
<formControlPr xmlns="http://schemas.microsoft.com/office/spreadsheetml/2009/9/main" objectType="CheckBox" checked="Checked" fmlaLink="AF35"/>
</file>

<file path=xl/ctrlProps/ctrlProp54.xml><?xml version="1.0" encoding="utf-8"?>
<formControlPr xmlns="http://schemas.microsoft.com/office/spreadsheetml/2009/9/main" objectType="CheckBox" checked="Checked" fmlaLink="AF35"/>
</file>

<file path=xl/ctrlProps/ctrlProp55.xml><?xml version="1.0" encoding="utf-8"?>
<formControlPr xmlns="http://schemas.microsoft.com/office/spreadsheetml/2009/9/main" objectType="CheckBox" checked="Checked" fmlaLink="AF35"/>
</file>

<file path=xl/ctrlProps/ctrlProp56.xml><?xml version="1.0" encoding="utf-8"?>
<formControlPr xmlns="http://schemas.microsoft.com/office/spreadsheetml/2009/9/main" objectType="CheckBox" checked="Checked" fmlaLink="AF35"/>
</file>

<file path=xl/ctrlProps/ctrlProp6.xml><?xml version="1.0" encoding="utf-8"?>
<formControlPr xmlns="http://schemas.microsoft.com/office/spreadsheetml/2009/9/main" objectType="CheckBox" fmlaLink="#REF!"/>
</file>

<file path=xl/ctrlProps/ctrlProp7.xml><?xml version="1.0" encoding="utf-8"?>
<formControlPr xmlns="http://schemas.microsoft.com/office/spreadsheetml/2009/9/main" objectType="CheckBox" fmlaLink="#REF!"/>
</file>

<file path=xl/ctrlProps/ctrlProp8.xml><?xml version="1.0" encoding="utf-8"?>
<formControlPr xmlns="http://schemas.microsoft.com/office/spreadsheetml/2009/9/main" objectType="Radio" checked="Checked" firstButton="1" fmlaLink="$W$3" lockText="1"/>
</file>

<file path=xl/ctrlProps/ctrlProp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Sklo!A1"/><Relationship Id="rId3" Type="http://schemas.openxmlformats.org/officeDocument/2006/relationships/image" Target="../media/image2.png"/><Relationship Id="rId7" Type="http://schemas.openxmlformats.org/officeDocument/2006/relationships/image" Target="../media/image5.png"/><Relationship Id="rId12" Type="http://schemas.openxmlformats.org/officeDocument/2006/relationships/hyperlink" Target="#Zakaznik!A1"/><Relationship Id="rId2" Type="http://schemas.openxmlformats.org/officeDocument/2006/relationships/hyperlink" Target="#Barevnice!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Typy profil&#367;'!A1"/><Relationship Id="rId5" Type="http://schemas.openxmlformats.org/officeDocument/2006/relationships/image" Target="../media/image3.png"/><Relationship Id="rId10" Type="http://schemas.openxmlformats.org/officeDocument/2006/relationships/image" Target="../media/image8.png"/><Relationship Id="rId4" Type="http://schemas.openxmlformats.org/officeDocument/2006/relationships/hyperlink" Target="#Posuv!A1"/><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7.emf"/><Relationship Id="rId13" Type="http://schemas.openxmlformats.org/officeDocument/2006/relationships/image" Target="../media/image22.emf"/><Relationship Id="rId3" Type="http://schemas.openxmlformats.org/officeDocument/2006/relationships/image" Target="../media/image12.emf"/><Relationship Id="rId7" Type="http://schemas.openxmlformats.org/officeDocument/2006/relationships/image" Target="../media/image16.emf"/><Relationship Id="rId12" Type="http://schemas.openxmlformats.org/officeDocument/2006/relationships/image" Target="../media/image21.emf"/><Relationship Id="rId2" Type="http://schemas.openxmlformats.org/officeDocument/2006/relationships/image" Target="../media/image11.emf"/><Relationship Id="rId1" Type="http://schemas.openxmlformats.org/officeDocument/2006/relationships/image" Target="../media/image1.png"/><Relationship Id="rId6" Type="http://schemas.openxmlformats.org/officeDocument/2006/relationships/image" Target="../media/image15.emf"/><Relationship Id="rId11" Type="http://schemas.openxmlformats.org/officeDocument/2006/relationships/image" Target="../media/image20.emf"/><Relationship Id="rId5" Type="http://schemas.openxmlformats.org/officeDocument/2006/relationships/image" Target="../media/image14.emf"/><Relationship Id="rId15" Type="http://schemas.openxmlformats.org/officeDocument/2006/relationships/image" Target="../media/image24.emf"/><Relationship Id="rId10" Type="http://schemas.openxmlformats.org/officeDocument/2006/relationships/image" Target="../media/image19.emf"/><Relationship Id="rId4" Type="http://schemas.openxmlformats.org/officeDocument/2006/relationships/image" Target="../media/image13.emf"/><Relationship Id="rId9" Type="http://schemas.openxmlformats.org/officeDocument/2006/relationships/image" Target="../media/image18.emf"/><Relationship Id="rId14" Type="http://schemas.openxmlformats.org/officeDocument/2006/relationships/image" Target="../media/image23.emf"/></Relationships>
</file>

<file path=xl/drawings/_rels/drawing13.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34" Type="http://schemas.openxmlformats.org/officeDocument/2006/relationships/image" Target="../media/image71.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33" Type="http://schemas.openxmlformats.org/officeDocument/2006/relationships/image" Target="../media/image70.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29" Type="http://schemas.openxmlformats.org/officeDocument/2006/relationships/image" Target="../media/image66.png"/><Relationship Id="rId1" Type="http://schemas.openxmlformats.org/officeDocument/2006/relationships/image" Target="../media/image1.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32" Type="http://schemas.openxmlformats.org/officeDocument/2006/relationships/image" Target="../media/image69.png"/><Relationship Id="rId37" Type="http://schemas.openxmlformats.org/officeDocument/2006/relationships/image" Target="../media/image74.emf"/><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28" Type="http://schemas.openxmlformats.org/officeDocument/2006/relationships/image" Target="../media/image65.png"/><Relationship Id="rId36" Type="http://schemas.openxmlformats.org/officeDocument/2006/relationships/image" Target="../media/image73.png"/><Relationship Id="rId10" Type="http://schemas.openxmlformats.org/officeDocument/2006/relationships/image" Target="../media/image47.png"/><Relationship Id="rId19" Type="http://schemas.openxmlformats.org/officeDocument/2006/relationships/image" Target="../media/image56.png"/><Relationship Id="rId31" Type="http://schemas.openxmlformats.org/officeDocument/2006/relationships/image" Target="../media/image68.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 Id="rId27" Type="http://schemas.openxmlformats.org/officeDocument/2006/relationships/image" Target="../media/image64.png"/><Relationship Id="rId30" Type="http://schemas.openxmlformats.org/officeDocument/2006/relationships/image" Target="../media/image67.png"/><Relationship Id="rId35" Type="http://schemas.openxmlformats.org/officeDocument/2006/relationships/image" Target="../media/image7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81.jpeg"/><Relationship Id="rId13" Type="http://schemas.openxmlformats.org/officeDocument/2006/relationships/image" Target="../media/image86.jpeg"/><Relationship Id="rId18" Type="http://schemas.openxmlformats.org/officeDocument/2006/relationships/image" Target="../media/image91.jpeg"/><Relationship Id="rId3" Type="http://schemas.openxmlformats.org/officeDocument/2006/relationships/image" Target="../media/image1.png"/><Relationship Id="rId7" Type="http://schemas.openxmlformats.org/officeDocument/2006/relationships/image" Target="../media/image80.png"/><Relationship Id="rId12" Type="http://schemas.openxmlformats.org/officeDocument/2006/relationships/image" Target="../media/image85.jpeg"/><Relationship Id="rId17" Type="http://schemas.openxmlformats.org/officeDocument/2006/relationships/image" Target="../media/image90.jpeg"/><Relationship Id="rId2" Type="http://schemas.openxmlformats.org/officeDocument/2006/relationships/image" Target="../media/image76.png"/><Relationship Id="rId16" Type="http://schemas.openxmlformats.org/officeDocument/2006/relationships/image" Target="../media/image89.jpeg"/><Relationship Id="rId20" Type="http://schemas.openxmlformats.org/officeDocument/2006/relationships/image" Target="../media/image93.png"/><Relationship Id="rId1" Type="http://schemas.openxmlformats.org/officeDocument/2006/relationships/image" Target="../media/image75.png"/><Relationship Id="rId6" Type="http://schemas.openxmlformats.org/officeDocument/2006/relationships/image" Target="../media/image79.png"/><Relationship Id="rId11" Type="http://schemas.openxmlformats.org/officeDocument/2006/relationships/image" Target="../media/image84.jpeg"/><Relationship Id="rId5" Type="http://schemas.openxmlformats.org/officeDocument/2006/relationships/image" Target="../media/image78.jpeg"/><Relationship Id="rId15" Type="http://schemas.openxmlformats.org/officeDocument/2006/relationships/image" Target="../media/image88.jpeg"/><Relationship Id="rId10" Type="http://schemas.openxmlformats.org/officeDocument/2006/relationships/image" Target="../media/image83.jpeg"/><Relationship Id="rId19" Type="http://schemas.openxmlformats.org/officeDocument/2006/relationships/image" Target="../media/image92.png"/><Relationship Id="rId4" Type="http://schemas.openxmlformats.org/officeDocument/2006/relationships/image" Target="../media/image77.jpeg"/><Relationship Id="rId9" Type="http://schemas.openxmlformats.org/officeDocument/2006/relationships/image" Target="../media/image82.jpeg"/><Relationship Id="rId14" Type="http://schemas.openxmlformats.org/officeDocument/2006/relationships/image" Target="../media/image87.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101.emf"/><Relationship Id="rId13" Type="http://schemas.openxmlformats.org/officeDocument/2006/relationships/image" Target="../media/image106.emf"/><Relationship Id="rId3" Type="http://schemas.openxmlformats.org/officeDocument/2006/relationships/image" Target="../media/image96.emf"/><Relationship Id="rId7" Type="http://schemas.openxmlformats.org/officeDocument/2006/relationships/image" Target="../media/image100.emf"/><Relationship Id="rId12" Type="http://schemas.openxmlformats.org/officeDocument/2006/relationships/image" Target="../media/image105.emf"/><Relationship Id="rId2" Type="http://schemas.openxmlformats.org/officeDocument/2006/relationships/image" Target="../media/image95.emf"/><Relationship Id="rId1" Type="http://schemas.openxmlformats.org/officeDocument/2006/relationships/image" Target="../media/image94.emf"/><Relationship Id="rId6" Type="http://schemas.openxmlformats.org/officeDocument/2006/relationships/image" Target="../media/image99.emf"/><Relationship Id="rId11" Type="http://schemas.openxmlformats.org/officeDocument/2006/relationships/image" Target="../media/image104.emf"/><Relationship Id="rId5" Type="http://schemas.openxmlformats.org/officeDocument/2006/relationships/image" Target="../media/image98.emf"/><Relationship Id="rId10" Type="http://schemas.openxmlformats.org/officeDocument/2006/relationships/image" Target="../media/image103.emf"/><Relationship Id="rId4" Type="http://schemas.openxmlformats.org/officeDocument/2006/relationships/image" Target="../media/image97.emf"/><Relationship Id="rId9" Type="http://schemas.openxmlformats.org/officeDocument/2006/relationships/image" Target="../media/image102.emf"/><Relationship Id="rId14" Type="http://schemas.openxmlformats.org/officeDocument/2006/relationships/image" Target="../media/image107.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2.v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image" Target="../media/image37.emf"/><Relationship Id="rId3" Type="http://schemas.openxmlformats.org/officeDocument/2006/relationships/image" Target="../media/image27.emf"/><Relationship Id="rId7" Type="http://schemas.openxmlformats.org/officeDocument/2006/relationships/image" Target="../media/image31.emf"/><Relationship Id="rId12" Type="http://schemas.openxmlformats.org/officeDocument/2006/relationships/image" Target="../media/image36.emf"/><Relationship Id="rId2" Type="http://schemas.openxmlformats.org/officeDocument/2006/relationships/image" Target="../media/image26.emf"/><Relationship Id="rId1" Type="http://schemas.openxmlformats.org/officeDocument/2006/relationships/image" Target="../media/image25.emf"/><Relationship Id="rId6" Type="http://schemas.openxmlformats.org/officeDocument/2006/relationships/image" Target="../media/image30.emf"/><Relationship Id="rId11" Type="http://schemas.openxmlformats.org/officeDocument/2006/relationships/image" Target="../media/image35.emf"/><Relationship Id="rId5" Type="http://schemas.openxmlformats.org/officeDocument/2006/relationships/image" Target="../media/image29.emf"/><Relationship Id="rId10" Type="http://schemas.openxmlformats.org/officeDocument/2006/relationships/image" Target="../media/image34.emf"/><Relationship Id="rId4" Type="http://schemas.openxmlformats.org/officeDocument/2006/relationships/image" Target="../media/image28.emf"/><Relationship Id="rId9" Type="http://schemas.openxmlformats.org/officeDocument/2006/relationships/image" Target="../media/image33.emf"/><Relationship Id="rId14" Type="http://schemas.openxmlformats.org/officeDocument/2006/relationships/image" Target="../media/image38.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15.emf"/><Relationship Id="rId13" Type="http://schemas.openxmlformats.org/officeDocument/2006/relationships/image" Target="../media/image120.emf"/><Relationship Id="rId3" Type="http://schemas.openxmlformats.org/officeDocument/2006/relationships/image" Target="../media/image110.emf"/><Relationship Id="rId7" Type="http://schemas.openxmlformats.org/officeDocument/2006/relationships/image" Target="../media/image114.emf"/><Relationship Id="rId12" Type="http://schemas.openxmlformats.org/officeDocument/2006/relationships/image" Target="../media/image119.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3.emf"/><Relationship Id="rId11" Type="http://schemas.openxmlformats.org/officeDocument/2006/relationships/image" Target="../media/image118.emf"/><Relationship Id="rId5" Type="http://schemas.openxmlformats.org/officeDocument/2006/relationships/image" Target="../media/image112.emf"/><Relationship Id="rId10" Type="http://schemas.openxmlformats.org/officeDocument/2006/relationships/image" Target="../media/image117.emf"/><Relationship Id="rId4" Type="http://schemas.openxmlformats.org/officeDocument/2006/relationships/image" Target="../media/image111.emf"/><Relationship Id="rId9" Type="http://schemas.openxmlformats.org/officeDocument/2006/relationships/image" Target="../media/image116.emf"/><Relationship Id="rId14" Type="http://schemas.openxmlformats.org/officeDocument/2006/relationships/image" Target="../media/image121.emf"/></Relationships>
</file>

<file path=xl/drawings/drawing1.xml><?xml version="1.0" encoding="utf-8"?>
<xdr:wsDr xmlns:xdr="http://schemas.openxmlformats.org/drawingml/2006/spreadsheetDrawing" xmlns:a="http://schemas.openxmlformats.org/drawingml/2006/main">
  <xdr:twoCellAnchor editAs="oneCell">
    <xdr:from>
      <xdr:col>2</xdr:col>
      <xdr:colOff>228597</xdr:colOff>
      <xdr:row>0</xdr:row>
      <xdr:rowOff>0</xdr:rowOff>
    </xdr:from>
    <xdr:to>
      <xdr:col>9</xdr:col>
      <xdr:colOff>239269</xdr:colOff>
      <xdr:row>6</xdr:row>
      <xdr:rowOff>55110</xdr:rowOff>
    </xdr:to>
    <xdr:pic>
      <xdr:nvPicPr>
        <xdr:cNvPr id="2" name="Obráze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977" y="0"/>
          <a:ext cx="2336677"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545122</xdr:colOff>
      <xdr:row>23</xdr:row>
      <xdr:rowOff>23707</xdr:rowOff>
    </xdr:from>
    <xdr:to>
      <xdr:col>7</xdr:col>
      <xdr:colOff>19171</xdr:colOff>
      <xdr:row>36</xdr:row>
      <xdr:rowOff>19983</xdr:rowOff>
    </xdr:to>
    <xdr:pic>
      <xdr:nvPicPr>
        <xdr:cNvPr id="3" name="Obrázek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alphaModFix/>
          <a:extLst>
            <a:ext uri="{28A0092B-C50C-407E-A947-70E740481C1C}">
              <a14:useLocalDpi xmlns:a14="http://schemas.microsoft.com/office/drawing/2010/main" val="0"/>
            </a:ext>
          </a:extLst>
        </a:blip>
        <a:srcRect/>
        <a:stretch>
          <a:fillRect/>
        </a:stretch>
      </xdr:blipFill>
      <xdr:spPr bwMode="auto">
        <a:xfrm>
          <a:off x="545122" y="3810847"/>
          <a:ext cx="2276304" cy="2011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299614</xdr:colOff>
      <xdr:row>10</xdr:row>
      <xdr:rowOff>132075</xdr:rowOff>
    </xdr:from>
    <xdr:to>
      <xdr:col>21</xdr:col>
      <xdr:colOff>91443</xdr:colOff>
      <xdr:row>22</xdr:row>
      <xdr:rowOff>113535</xdr:rowOff>
    </xdr:to>
    <xdr:pic>
      <xdr:nvPicPr>
        <xdr:cNvPr id="4" name="Obrázek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alphaModFix/>
          <a:extLst>
            <a:ext uri="{28A0092B-C50C-407E-A947-70E740481C1C}">
              <a14:useLocalDpi xmlns:a14="http://schemas.microsoft.com/office/drawing/2010/main" val="0"/>
            </a:ext>
          </a:extLst>
        </a:blip>
        <a:srcRect/>
        <a:stretch>
          <a:fillRect/>
        </a:stretch>
      </xdr:blipFill>
      <xdr:spPr bwMode="auto">
        <a:xfrm>
          <a:off x="5595514" y="1739895"/>
          <a:ext cx="2275949" cy="2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10</xdr:col>
          <xdr:colOff>419100</xdr:colOff>
          <xdr:row>1</xdr:row>
          <xdr:rowOff>0</xdr:rowOff>
        </xdr:from>
        <xdr:to>
          <xdr:col>11</xdr:col>
          <xdr:colOff>121920</xdr:colOff>
          <xdr:row>3</xdr:row>
          <xdr:rowOff>0</xdr:rowOff>
        </xdr:to>
        <xdr:sp macro="" textlink="">
          <xdr:nvSpPr>
            <xdr:cNvPr id="385025" name="Option Button 1" hidden="1">
              <a:extLst>
                <a:ext uri="{63B3BB69-23CF-44E3-9099-C40C66FF867C}">
                  <a14:compatExt spid="_x0000_s385025"/>
                </a:ext>
                <a:ext uri="{FF2B5EF4-FFF2-40B4-BE49-F238E27FC236}">
                  <a16:creationId xmlns:a16="http://schemas.microsoft.com/office/drawing/2014/main" id="{00000000-0008-0000-0000-000001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403860</xdr:colOff>
          <xdr:row>1</xdr:row>
          <xdr:rowOff>0</xdr:rowOff>
        </xdr:from>
        <xdr:to>
          <xdr:col>13</xdr:col>
          <xdr:colOff>114300</xdr:colOff>
          <xdr:row>3</xdr:row>
          <xdr:rowOff>0</xdr:rowOff>
        </xdr:to>
        <xdr:sp macro="" textlink="">
          <xdr:nvSpPr>
            <xdr:cNvPr id="385026" name="Option Button 2" hidden="1">
              <a:extLst>
                <a:ext uri="{63B3BB69-23CF-44E3-9099-C40C66FF867C}">
                  <a14:compatExt spid="_x0000_s385026"/>
                </a:ext>
                <a:ext uri="{FF2B5EF4-FFF2-40B4-BE49-F238E27FC236}">
                  <a16:creationId xmlns:a16="http://schemas.microsoft.com/office/drawing/2014/main" id="{00000000-0008-0000-0000-000002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388620</xdr:colOff>
          <xdr:row>1</xdr:row>
          <xdr:rowOff>0</xdr:rowOff>
        </xdr:from>
        <xdr:to>
          <xdr:col>15</xdr:col>
          <xdr:colOff>144780</xdr:colOff>
          <xdr:row>3</xdr:row>
          <xdr:rowOff>0</xdr:rowOff>
        </xdr:to>
        <xdr:sp macro="" textlink="">
          <xdr:nvSpPr>
            <xdr:cNvPr id="385027" name="Option Button 3" hidden="1">
              <a:extLst>
                <a:ext uri="{63B3BB69-23CF-44E3-9099-C40C66FF867C}">
                  <a14:compatExt spid="_x0000_s385027"/>
                </a:ext>
                <a:ext uri="{FF2B5EF4-FFF2-40B4-BE49-F238E27FC236}">
                  <a16:creationId xmlns:a16="http://schemas.microsoft.com/office/drawing/2014/main" id="{00000000-0008-0000-0000-000003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320040</xdr:colOff>
          <xdr:row>1</xdr:row>
          <xdr:rowOff>0</xdr:rowOff>
        </xdr:from>
        <xdr:to>
          <xdr:col>17</xdr:col>
          <xdr:colOff>0</xdr:colOff>
          <xdr:row>3</xdr:row>
          <xdr:rowOff>0</xdr:rowOff>
        </xdr:to>
        <xdr:sp macro="" textlink="">
          <xdr:nvSpPr>
            <xdr:cNvPr id="385028" name="Option Button 4" hidden="1">
              <a:extLst>
                <a:ext uri="{63B3BB69-23CF-44E3-9099-C40C66FF867C}">
                  <a14:compatExt spid="_x0000_s385028"/>
                </a:ext>
                <a:ext uri="{FF2B5EF4-FFF2-40B4-BE49-F238E27FC236}">
                  <a16:creationId xmlns:a16="http://schemas.microsoft.com/office/drawing/2014/main" id="{00000000-0008-0000-0000-000004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335280</xdr:colOff>
          <xdr:row>1</xdr:row>
          <xdr:rowOff>0</xdr:rowOff>
        </xdr:from>
        <xdr:to>
          <xdr:col>19</xdr:col>
          <xdr:colOff>22860</xdr:colOff>
          <xdr:row>3</xdr:row>
          <xdr:rowOff>0</xdr:rowOff>
        </xdr:to>
        <xdr:sp macro="" textlink="">
          <xdr:nvSpPr>
            <xdr:cNvPr id="385029" name="Option Button 5" hidden="1">
              <a:extLst>
                <a:ext uri="{63B3BB69-23CF-44E3-9099-C40C66FF867C}">
                  <a14:compatExt spid="_x0000_s385029"/>
                </a:ext>
                <a:ext uri="{FF2B5EF4-FFF2-40B4-BE49-F238E27FC236}">
                  <a16:creationId xmlns:a16="http://schemas.microsoft.com/office/drawing/2014/main" id="{00000000-0008-0000-0000-000005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219075</xdr:colOff>
      <xdr:row>3</xdr:row>
      <xdr:rowOff>22860</xdr:rowOff>
    </xdr:from>
    <xdr:to>
      <xdr:col>12</xdr:col>
      <xdr:colOff>59479</xdr:colOff>
      <xdr:row>4</xdr:row>
      <xdr:rowOff>114060</xdr:rowOff>
    </xdr:to>
    <xdr:pic>
      <xdr:nvPicPr>
        <xdr:cNvPr id="10" name="Obráze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stretch>
          <a:fillRect/>
        </a:stretch>
      </xdr:blipFill>
      <xdr:spPr>
        <a:xfrm>
          <a:off x="3549015" y="457200"/>
          <a:ext cx="594784" cy="396000"/>
        </a:xfrm>
        <a:prstGeom prst="rect">
          <a:avLst/>
        </a:prstGeom>
      </xdr:spPr>
    </xdr:pic>
    <xdr:clientData/>
  </xdr:twoCellAnchor>
  <xdr:twoCellAnchor editAs="oneCell">
    <xdr:from>
      <xdr:col>12</xdr:col>
      <xdr:colOff>219075</xdr:colOff>
      <xdr:row>3</xdr:row>
      <xdr:rowOff>22860</xdr:rowOff>
    </xdr:from>
    <xdr:to>
      <xdr:col>14</xdr:col>
      <xdr:colOff>55345</xdr:colOff>
      <xdr:row>4</xdr:row>
      <xdr:rowOff>114060</xdr:rowOff>
    </xdr:to>
    <xdr:pic>
      <xdr:nvPicPr>
        <xdr:cNvPr id="11" name="Obráze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4295775" y="457200"/>
          <a:ext cx="592555" cy="396000"/>
        </a:xfrm>
        <a:prstGeom prst="rect">
          <a:avLst/>
        </a:prstGeom>
      </xdr:spPr>
    </xdr:pic>
    <xdr:clientData/>
  </xdr:twoCellAnchor>
  <xdr:twoCellAnchor editAs="oneCell">
    <xdr:from>
      <xdr:col>14</xdr:col>
      <xdr:colOff>219075</xdr:colOff>
      <xdr:row>3</xdr:row>
      <xdr:rowOff>22860</xdr:rowOff>
    </xdr:from>
    <xdr:to>
      <xdr:col>15</xdr:col>
      <xdr:colOff>339256</xdr:colOff>
      <xdr:row>4</xdr:row>
      <xdr:rowOff>114060</xdr:rowOff>
    </xdr:to>
    <xdr:pic>
      <xdr:nvPicPr>
        <xdr:cNvPr id="12" name="Obráze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5042535" y="457200"/>
          <a:ext cx="592621" cy="396000"/>
        </a:xfrm>
        <a:prstGeom prst="rect">
          <a:avLst/>
        </a:prstGeom>
      </xdr:spPr>
    </xdr:pic>
    <xdr:clientData/>
  </xdr:twoCellAnchor>
  <xdr:twoCellAnchor editAs="oneCell">
    <xdr:from>
      <xdr:col>16</xdr:col>
      <xdr:colOff>142875</xdr:colOff>
      <xdr:row>3</xdr:row>
      <xdr:rowOff>22860</xdr:rowOff>
    </xdr:from>
    <xdr:to>
      <xdr:col>17</xdr:col>
      <xdr:colOff>173734</xdr:colOff>
      <xdr:row>4</xdr:row>
      <xdr:rowOff>114060</xdr:rowOff>
    </xdr:to>
    <xdr:pic>
      <xdr:nvPicPr>
        <xdr:cNvPr id="13" name="Obráze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stretch>
          <a:fillRect/>
        </a:stretch>
      </xdr:blipFill>
      <xdr:spPr>
        <a:xfrm>
          <a:off x="5804535" y="457200"/>
          <a:ext cx="587119" cy="396000"/>
        </a:xfrm>
        <a:prstGeom prst="rect">
          <a:avLst/>
        </a:prstGeom>
      </xdr:spPr>
    </xdr:pic>
    <xdr:clientData/>
  </xdr:twoCellAnchor>
  <xdr:twoCellAnchor editAs="oneCell">
    <xdr:from>
      <xdr:col>18</xdr:col>
      <xdr:colOff>142875</xdr:colOff>
      <xdr:row>3</xdr:row>
      <xdr:rowOff>22860</xdr:rowOff>
    </xdr:from>
    <xdr:to>
      <xdr:col>19</xdr:col>
      <xdr:colOff>174552</xdr:colOff>
      <xdr:row>4</xdr:row>
      <xdr:rowOff>114060</xdr:rowOff>
    </xdr:to>
    <xdr:pic>
      <xdr:nvPicPr>
        <xdr:cNvPr id="14" name="Obrázek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a:stretch>
          <a:fillRect/>
        </a:stretch>
      </xdr:blipFill>
      <xdr:spPr>
        <a:xfrm>
          <a:off x="6566535" y="457200"/>
          <a:ext cx="576507" cy="396000"/>
        </a:xfrm>
        <a:prstGeom prst="rect">
          <a:avLst/>
        </a:prstGeom>
      </xdr:spPr>
    </xdr:pic>
    <xdr:clientData/>
  </xdr:twoCellAnchor>
  <xdr:twoCellAnchor editAs="oneCell">
    <xdr:from>
      <xdr:col>15</xdr:col>
      <xdr:colOff>300681</xdr:colOff>
      <xdr:row>23</xdr:row>
      <xdr:rowOff>23707</xdr:rowOff>
    </xdr:from>
    <xdr:to>
      <xdr:col>21</xdr:col>
      <xdr:colOff>75930</xdr:colOff>
      <xdr:row>36</xdr:row>
      <xdr:rowOff>19983</xdr:rowOff>
    </xdr:to>
    <xdr:pic>
      <xdr:nvPicPr>
        <xdr:cNvPr id="15" name="Obrázek 14">
          <a:hlinkClick xmlns:r="http://schemas.openxmlformats.org/officeDocument/2006/relationships" r:id="rId1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alphaModFix/>
          <a:extLst>
            <a:ext uri="{28A0092B-C50C-407E-A947-70E740481C1C}">
              <a14:useLocalDpi xmlns:a14="http://schemas.microsoft.com/office/drawing/2010/main" val="0"/>
            </a:ext>
          </a:extLst>
        </a:blip>
        <a:srcRect/>
        <a:stretch>
          <a:fillRect/>
        </a:stretch>
      </xdr:blipFill>
      <xdr:spPr bwMode="auto">
        <a:xfrm>
          <a:off x="5596581" y="3810847"/>
          <a:ext cx="2266989" cy="2011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545122</xdr:colOff>
      <xdr:row>10</xdr:row>
      <xdr:rowOff>132075</xdr:rowOff>
    </xdr:from>
    <xdr:to>
      <xdr:col>7</xdr:col>
      <xdr:colOff>19171</xdr:colOff>
      <xdr:row>22</xdr:row>
      <xdr:rowOff>113535</xdr:rowOff>
    </xdr:to>
    <xdr:pic>
      <xdr:nvPicPr>
        <xdr:cNvPr id="16" name="Obrázek 15">
          <a:hlinkClick xmlns:r="http://schemas.openxmlformats.org/officeDocument/2006/relationships" r:id="rId12"/>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alphaModFix/>
          <a:extLst>
            <a:ext uri="{28A0092B-C50C-407E-A947-70E740481C1C}">
              <a14:useLocalDpi xmlns:a14="http://schemas.microsoft.com/office/drawing/2010/main" val="0"/>
            </a:ext>
          </a:extLst>
        </a:blip>
        <a:srcRect/>
        <a:stretch>
          <a:fillRect/>
        </a:stretch>
      </xdr:blipFill>
      <xdr:spPr bwMode="auto">
        <a:xfrm>
          <a:off x="545122" y="1739895"/>
          <a:ext cx="2276304" cy="2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333464</xdr:colOff>
      <xdr:row>15</xdr:row>
      <xdr:rowOff>98209</xdr:rowOff>
    </xdr:from>
    <xdr:to>
      <xdr:col>15</xdr:col>
      <xdr:colOff>55374</xdr:colOff>
      <xdr:row>28</xdr:row>
      <xdr:rowOff>155869</xdr:rowOff>
    </xdr:to>
    <xdr:pic>
      <xdr:nvPicPr>
        <xdr:cNvPr id="17" name="Obrázek 16">
          <a:hlinkClick xmlns:r="http://schemas.openxmlformats.org/officeDocument/2006/relationships" r:id="rId13"/>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alphaModFix/>
          <a:extLst>
            <a:ext uri="{28A0092B-C50C-407E-A947-70E740481C1C}">
              <a14:useLocalDpi xmlns:a14="http://schemas.microsoft.com/office/drawing/2010/main" val="0"/>
            </a:ext>
          </a:extLst>
        </a:blip>
        <a:srcRect/>
        <a:stretch>
          <a:fillRect/>
        </a:stretch>
      </xdr:blipFill>
      <xdr:spPr bwMode="auto">
        <a:xfrm>
          <a:off x="3084284" y="2727109"/>
          <a:ext cx="2270800" cy="202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0</xdr:row>
          <xdr:rowOff>175260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2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228597</xdr:colOff>
      <xdr:row>0</xdr:row>
      <xdr:rowOff>0</xdr:rowOff>
    </xdr:from>
    <xdr:to>
      <xdr:col>7</xdr:col>
      <xdr:colOff>151427</xdr:colOff>
      <xdr:row>7</xdr:row>
      <xdr:rowOff>74160</xdr:rowOff>
    </xdr:to>
    <xdr:pic>
      <xdr:nvPicPr>
        <xdr:cNvPr id="3" name="Obrázek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8757" y="0"/>
          <a:ext cx="232313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114300</xdr:colOff>
          <xdr:row>33</xdr:row>
          <xdr:rowOff>160020</xdr:rowOff>
        </xdr:from>
        <xdr:to>
          <xdr:col>9</xdr:col>
          <xdr:colOff>411480</xdr:colOff>
          <xdr:row>35</xdr:row>
          <xdr:rowOff>53340</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2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33</xdr:row>
          <xdr:rowOff>160020</xdr:rowOff>
        </xdr:from>
        <xdr:to>
          <xdr:col>12</xdr:col>
          <xdr:colOff>411480</xdr:colOff>
          <xdr:row>35</xdr:row>
          <xdr:rowOff>53340</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2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160020</xdr:rowOff>
        </xdr:from>
        <xdr:to>
          <xdr:col>16</xdr:col>
          <xdr:colOff>99060</xdr:colOff>
          <xdr:row>35</xdr:row>
          <xdr:rowOff>53340</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2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xdr:row>
          <xdr:rowOff>205740</xdr:rowOff>
        </xdr:from>
        <xdr:to>
          <xdr:col>9</xdr:col>
          <xdr:colOff>480060</xdr:colOff>
          <xdr:row>13</xdr:row>
          <xdr:rowOff>30480</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2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1</xdr:row>
          <xdr:rowOff>68580</xdr:rowOff>
        </xdr:to>
        <xdr:sp macro="" textlink="">
          <xdr:nvSpPr>
            <xdr:cNvPr id="187393" name="Check Box 1967" hidden="1">
              <a:extLst>
                <a:ext uri="{63B3BB69-23CF-44E3-9099-C40C66FF867C}">
                  <a14:compatExt spid="_x0000_s187393"/>
                </a:ext>
                <a:ext uri="{FF2B5EF4-FFF2-40B4-BE49-F238E27FC236}">
                  <a16:creationId xmlns:a16="http://schemas.microsoft.com/office/drawing/2014/main" id="{00000000-0008-0000-1300-000001DC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228597</xdr:colOff>
      <xdr:row>0</xdr:row>
      <xdr:rowOff>0</xdr:rowOff>
    </xdr:from>
    <xdr:to>
      <xdr:col>2</xdr:col>
      <xdr:colOff>228597</xdr:colOff>
      <xdr:row>6</xdr:row>
      <xdr:rowOff>137025</xdr:rowOff>
    </xdr:to>
    <xdr:pic>
      <xdr:nvPicPr>
        <xdr:cNvPr id="3" name="Obrázek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7" y="0"/>
          <a:ext cx="232313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17</xdr:col>
          <xdr:colOff>289560</xdr:colOff>
          <xdr:row>20</xdr:row>
          <xdr:rowOff>160020</xdr:rowOff>
        </xdr:from>
        <xdr:to>
          <xdr:col>18</xdr:col>
          <xdr:colOff>251460</xdr:colOff>
          <xdr:row>22</xdr:row>
          <xdr:rowOff>22860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3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0</xdr:row>
      <xdr:rowOff>0</xdr:rowOff>
    </xdr:from>
    <xdr:to>
      <xdr:col>3</xdr:col>
      <xdr:colOff>322368</xdr:colOff>
      <xdr:row>3</xdr:row>
      <xdr:rowOff>37888</xdr:rowOff>
    </xdr:to>
    <xdr:pic>
      <xdr:nvPicPr>
        <xdr:cNvPr id="6" name="Obrázek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0"/>
          <a:ext cx="1417743" cy="428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228597</xdr:colOff>
      <xdr:row>0</xdr:row>
      <xdr:rowOff>0</xdr:rowOff>
    </xdr:from>
    <xdr:to>
      <xdr:col>10</xdr:col>
      <xdr:colOff>115444</xdr:colOff>
      <xdr:row>5</xdr:row>
      <xdr:rowOff>173220</xdr:rowOff>
    </xdr:to>
    <xdr:pic>
      <xdr:nvPicPr>
        <xdr:cNvPr id="3" name="Obrázek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7" y="0"/>
          <a:ext cx="2325247"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243841</xdr:colOff>
          <xdr:row>11</xdr:row>
          <xdr:rowOff>1</xdr:rowOff>
        </xdr:from>
        <xdr:to>
          <xdr:col>24</xdr:col>
          <xdr:colOff>289560</xdr:colOff>
          <xdr:row>34</xdr:row>
          <xdr:rowOff>125793</xdr:rowOff>
        </xdr:to>
        <xdr:pic>
          <xdr:nvPicPr>
            <xdr:cNvPr id="42" name="Obrázek 41">
              <a:extLst>
                <a:ext uri="{FF2B5EF4-FFF2-40B4-BE49-F238E27FC236}">
                  <a16:creationId xmlns:a16="http://schemas.microsoft.com/office/drawing/2014/main" id="{00000000-0008-0000-1500-00002A000000}"/>
                </a:ext>
              </a:extLst>
            </xdr:cNvPr>
            <xdr:cNvPicPr>
              <a:picLocks noChangeAspect="1" noChangeArrowheads="1"/>
              <a:extLst>
                <a:ext uri="{84589F7E-364E-4C9E-8A38-B11213B215E9}">
                  <a14:cameraTool cellRange="Ram_1!$B$7:$Q$33" spid="_x0000_s506082"/>
                </a:ext>
              </a:extLst>
            </xdr:cNvPicPr>
          </xdr:nvPicPr>
          <xdr:blipFill>
            <a:blip xmlns:r="http://schemas.openxmlformats.org/officeDocument/2006/relationships" r:embed="rId2"/>
            <a:srcRect/>
            <a:stretch>
              <a:fillRect/>
            </a:stretch>
          </xdr:blipFill>
          <xdr:spPr bwMode="auto">
            <a:xfrm>
              <a:off x="2987041" y="2011681"/>
              <a:ext cx="4617719" cy="433203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213360</xdr:colOff>
          <xdr:row>11</xdr:row>
          <xdr:rowOff>0</xdr:rowOff>
        </xdr:from>
        <xdr:to>
          <xdr:col>41</xdr:col>
          <xdr:colOff>91440</xdr:colOff>
          <xdr:row>34</xdr:row>
          <xdr:rowOff>113761</xdr:rowOff>
        </xdr:to>
        <xdr:pic>
          <xdr:nvPicPr>
            <xdr:cNvPr id="48" name="Obrázek 47">
              <a:extLst>
                <a:ext uri="{FF2B5EF4-FFF2-40B4-BE49-F238E27FC236}">
                  <a16:creationId xmlns:a16="http://schemas.microsoft.com/office/drawing/2014/main" id="{00000000-0008-0000-1500-000030000000}"/>
                </a:ext>
              </a:extLst>
            </xdr:cNvPr>
            <xdr:cNvPicPr>
              <a:picLocks noChangeAspect="1" noChangeArrowheads="1"/>
              <a:extLst>
                <a:ext uri="{84589F7E-364E-4C9E-8A38-B11213B215E9}">
                  <a14:cameraTool cellRange="Ram_1!$AA$6:$AR$30" spid="_x0000_s506083"/>
                </a:ext>
              </a:extLst>
            </xdr:cNvPicPr>
          </xdr:nvPicPr>
          <xdr:blipFill>
            <a:blip xmlns:r="http://schemas.openxmlformats.org/officeDocument/2006/relationships" r:embed="rId3"/>
            <a:srcRect/>
            <a:stretch>
              <a:fillRect/>
            </a:stretch>
          </xdr:blipFill>
          <xdr:spPr bwMode="auto">
            <a:xfrm>
              <a:off x="7833360" y="2011680"/>
              <a:ext cx="4754880" cy="4320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14</xdr:row>
          <xdr:rowOff>137161</xdr:rowOff>
        </xdr:from>
        <xdr:to>
          <xdr:col>9</xdr:col>
          <xdr:colOff>93133</xdr:colOff>
          <xdr:row>26</xdr:row>
          <xdr:rowOff>50800</xdr:rowOff>
        </xdr:to>
        <xdr:pic>
          <xdr:nvPicPr>
            <xdr:cNvPr id="15" name="Obrázek 14">
              <a:extLst>
                <a:ext uri="{FF2B5EF4-FFF2-40B4-BE49-F238E27FC236}">
                  <a16:creationId xmlns:a16="http://schemas.microsoft.com/office/drawing/2014/main" id="{00000000-0008-0000-1500-00000F000000}"/>
                </a:ext>
              </a:extLst>
            </xdr:cNvPr>
            <xdr:cNvPicPr>
              <a:picLocks noChangeAspect="1" noChangeArrowheads="1"/>
              <a:extLst>
                <a:ext uri="{84589F7E-364E-4C9E-8A38-B11213B215E9}">
                  <a14:cameraTool cellRange="Ram_1!$S$24:$Y$32" spid="_x0000_s506084"/>
                </a:ext>
              </a:extLst>
            </xdr:cNvPicPr>
          </xdr:nvPicPr>
          <xdr:blipFill>
            <a:blip xmlns:r="http://schemas.openxmlformats.org/officeDocument/2006/relationships" r:embed="rId4"/>
            <a:srcRect/>
            <a:stretch>
              <a:fillRect/>
            </a:stretch>
          </xdr:blipFill>
          <xdr:spPr bwMode="auto">
            <a:xfrm>
              <a:off x="617220" y="2981961"/>
              <a:ext cx="2219113" cy="214883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oneCellAnchor>
        <xdr:from>
          <xdr:col>9</xdr:col>
          <xdr:colOff>243841</xdr:colOff>
          <xdr:row>38</xdr:row>
          <xdr:rowOff>1</xdr:rowOff>
        </xdr:from>
        <xdr:ext cx="4625339" cy="4330800"/>
        <xdr:pic>
          <xdr:nvPicPr>
            <xdr:cNvPr id="31" name="Obrázek 30">
              <a:extLst>
                <a:ext uri="{FF2B5EF4-FFF2-40B4-BE49-F238E27FC236}">
                  <a16:creationId xmlns:a16="http://schemas.microsoft.com/office/drawing/2014/main" id="{00000000-0008-0000-1500-00001F000000}"/>
                </a:ext>
              </a:extLst>
            </xdr:cNvPr>
            <xdr:cNvPicPr>
              <a:picLocks noChangeAspect="1" noChangeArrowheads="1"/>
              <a:extLst>
                <a:ext uri="{84589F7E-364E-4C9E-8A38-B11213B215E9}">
                  <a14:cameraTool cellRange="Ram_2!$B$7:$Q$33" spid="_x0000_s506085"/>
                </a:ext>
              </a:extLst>
            </xdr:cNvPicPr>
          </xdr:nvPicPr>
          <xdr:blipFill>
            <a:blip xmlns:r="http://schemas.openxmlformats.org/officeDocument/2006/relationships" r:embed="rId5"/>
            <a:srcRect/>
            <a:stretch>
              <a:fillRect/>
            </a:stretch>
          </xdr:blipFill>
          <xdr:spPr bwMode="auto">
            <a:xfrm>
              <a:off x="2987041" y="6949441"/>
              <a:ext cx="4625339" cy="43308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25</xdr:col>
          <xdr:colOff>213360</xdr:colOff>
          <xdr:row>38</xdr:row>
          <xdr:rowOff>0</xdr:rowOff>
        </xdr:from>
        <xdr:ext cx="4785360" cy="4320000"/>
        <xdr:pic>
          <xdr:nvPicPr>
            <xdr:cNvPr id="32" name="Obrázek 31">
              <a:extLst>
                <a:ext uri="{FF2B5EF4-FFF2-40B4-BE49-F238E27FC236}">
                  <a16:creationId xmlns:a16="http://schemas.microsoft.com/office/drawing/2014/main" id="{00000000-0008-0000-1500-000020000000}"/>
                </a:ext>
              </a:extLst>
            </xdr:cNvPr>
            <xdr:cNvPicPr>
              <a:picLocks noChangeAspect="1" noChangeArrowheads="1"/>
              <a:extLst>
                <a:ext uri="{84589F7E-364E-4C9E-8A38-B11213B215E9}">
                  <a14:cameraTool cellRange="Ram_2!$AA$6:$AR$30" spid="_x0000_s506086"/>
                </a:ext>
              </a:extLst>
            </xdr:cNvPicPr>
          </xdr:nvPicPr>
          <xdr:blipFill>
            <a:blip xmlns:r="http://schemas.openxmlformats.org/officeDocument/2006/relationships" r:embed="rId6"/>
            <a:srcRect/>
            <a:stretch>
              <a:fillRect/>
            </a:stretch>
          </xdr:blipFill>
          <xdr:spPr bwMode="auto">
            <a:xfrm>
              <a:off x="7833360" y="6949440"/>
              <a:ext cx="4785360" cy="43200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7620</xdr:colOff>
          <xdr:row>41</xdr:row>
          <xdr:rowOff>137159</xdr:rowOff>
        </xdr:from>
        <xdr:ext cx="2217600" cy="2149200"/>
        <xdr:pic>
          <xdr:nvPicPr>
            <xdr:cNvPr id="33" name="Obrázek 32">
              <a:extLst>
                <a:ext uri="{FF2B5EF4-FFF2-40B4-BE49-F238E27FC236}">
                  <a16:creationId xmlns:a16="http://schemas.microsoft.com/office/drawing/2014/main" id="{00000000-0008-0000-1500-000021000000}"/>
                </a:ext>
              </a:extLst>
            </xdr:cNvPr>
            <xdr:cNvPicPr>
              <a:picLocks noChangeArrowheads="1"/>
              <a:extLst>
                <a:ext uri="{84589F7E-364E-4C9E-8A38-B11213B215E9}">
                  <a14:cameraTool cellRange="Ram_2!$S$24:$Y$32" spid="_x0000_s506087"/>
                </a:ext>
              </a:extLst>
            </xdr:cNvPicPr>
          </xdr:nvPicPr>
          <xdr:blipFill>
            <a:blip xmlns:r="http://schemas.openxmlformats.org/officeDocument/2006/relationships" r:embed="rId7"/>
            <a:srcRect/>
            <a:stretch>
              <a:fillRect/>
            </a:stretch>
          </xdr:blipFill>
          <xdr:spPr bwMode="auto">
            <a:xfrm>
              <a:off x="617220" y="8011159"/>
              <a:ext cx="2217600" cy="21492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9</xdr:col>
          <xdr:colOff>243841</xdr:colOff>
          <xdr:row>65</xdr:row>
          <xdr:rowOff>1</xdr:rowOff>
        </xdr:from>
        <xdr:ext cx="4626000" cy="4330800"/>
        <xdr:pic>
          <xdr:nvPicPr>
            <xdr:cNvPr id="34" name="Obrázek 33">
              <a:extLst>
                <a:ext uri="{FF2B5EF4-FFF2-40B4-BE49-F238E27FC236}">
                  <a16:creationId xmlns:a16="http://schemas.microsoft.com/office/drawing/2014/main" id="{00000000-0008-0000-1500-000022000000}"/>
                </a:ext>
              </a:extLst>
            </xdr:cNvPr>
            <xdr:cNvPicPr>
              <a:picLocks noChangeArrowheads="1"/>
              <a:extLst>
                <a:ext uri="{84589F7E-364E-4C9E-8A38-B11213B215E9}">
                  <a14:cameraTool cellRange="Ram_3!$B$7:$Q$33" spid="_x0000_s506088"/>
                </a:ext>
              </a:extLst>
            </xdr:cNvPicPr>
          </xdr:nvPicPr>
          <xdr:blipFill>
            <a:blip xmlns:r="http://schemas.openxmlformats.org/officeDocument/2006/relationships" r:embed="rId8"/>
            <a:srcRect/>
            <a:stretch>
              <a:fillRect/>
            </a:stretch>
          </xdr:blipFill>
          <xdr:spPr bwMode="auto">
            <a:xfrm>
              <a:off x="2987041" y="11887201"/>
              <a:ext cx="4626000" cy="43308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25</xdr:col>
          <xdr:colOff>213360</xdr:colOff>
          <xdr:row>65</xdr:row>
          <xdr:rowOff>0</xdr:rowOff>
        </xdr:from>
        <xdr:ext cx="4784400" cy="4320000"/>
        <xdr:pic>
          <xdr:nvPicPr>
            <xdr:cNvPr id="35" name="Obrázek 34">
              <a:extLst>
                <a:ext uri="{FF2B5EF4-FFF2-40B4-BE49-F238E27FC236}">
                  <a16:creationId xmlns:a16="http://schemas.microsoft.com/office/drawing/2014/main" id="{00000000-0008-0000-1500-000023000000}"/>
                </a:ext>
              </a:extLst>
            </xdr:cNvPr>
            <xdr:cNvPicPr>
              <a:picLocks noChangeArrowheads="1"/>
              <a:extLst>
                <a:ext uri="{84589F7E-364E-4C9E-8A38-B11213B215E9}">
                  <a14:cameraTool cellRange="Ram_3!$AA$6:$AR$30" spid="_x0000_s506089"/>
                </a:ext>
              </a:extLst>
            </xdr:cNvPicPr>
          </xdr:nvPicPr>
          <xdr:blipFill>
            <a:blip xmlns:r="http://schemas.openxmlformats.org/officeDocument/2006/relationships" r:embed="rId9"/>
            <a:srcRect/>
            <a:stretch>
              <a:fillRect/>
            </a:stretch>
          </xdr:blipFill>
          <xdr:spPr bwMode="auto">
            <a:xfrm>
              <a:off x="7833360" y="11887200"/>
              <a:ext cx="4784400" cy="43200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7620</xdr:colOff>
          <xdr:row>68</xdr:row>
          <xdr:rowOff>137158</xdr:rowOff>
        </xdr:from>
        <xdr:ext cx="2217600" cy="2149200"/>
        <xdr:pic>
          <xdr:nvPicPr>
            <xdr:cNvPr id="36" name="Obrázek 35">
              <a:extLst>
                <a:ext uri="{FF2B5EF4-FFF2-40B4-BE49-F238E27FC236}">
                  <a16:creationId xmlns:a16="http://schemas.microsoft.com/office/drawing/2014/main" id="{00000000-0008-0000-1500-000024000000}"/>
                </a:ext>
              </a:extLst>
            </xdr:cNvPr>
            <xdr:cNvPicPr>
              <a:picLocks noChangeArrowheads="1"/>
              <a:extLst>
                <a:ext uri="{84589F7E-364E-4C9E-8A38-B11213B215E9}">
                  <a14:cameraTool cellRange="Ram_3!$S$24:$Y$32" spid="_x0000_s506090"/>
                </a:ext>
              </a:extLst>
            </xdr:cNvPicPr>
          </xdr:nvPicPr>
          <xdr:blipFill>
            <a:blip xmlns:r="http://schemas.openxmlformats.org/officeDocument/2006/relationships" r:embed="rId7"/>
            <a:srcRect/>
            <a:stretch>
              <a:fillRect/>
            </a:stretch>
          </xdr:blipFill>
          <xdr:spPr bwMode="auto">
            <a:xfrm>
              <a:off x="617220" y="13040358"/>
              <a:ext cx="2217600" cy="21492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9</xdr:col>
          <xdr:colOff>243841</xdr:colOff>
          <xdr:row>92</xdr:row>
          <xdr:rowOff>1</xdr:rowOff>
        </xdr:from>
        <xdr:ext cx="4626000" cy="4330800"/>
        <xdr:pic>
          <xdr:nvPicPr>
            <xdr:cNvPr id="40" name="Obrázek 39">
              <a:extLst>
                <a:ext uri="{FF2B5EF4-FFF2-40B4-BE49-F238E27FC236}">
                  <a16:creationId xmlns:a16="http://schemas.microsoft.com/office/drawing/2014/main" id="{00000000-0008-0000-1500-000028000000}"/>
                </a:ext>
              </a:extLst>
            </xdr:cNvPr>
            <xdr:cNvPicPr>
              <a:picLocks noChangeArrowheads="1"/>
              <a:extLst>
                <a:ext uri="{84589F7E-364E-4C9E-8A38-B11213B215E9}">
                  <a14:cameraTool cellRange="Ram_4!$B$7:$Q$33" spid="_x0000_s506091"/>
                </a:ext>
              </a:extLst>
            </xdr:cNvPicPr>
          </xdr:nvPicPr>
          <xdr:blipFill>
            <a:blip xmlns:r="http://schemas.openxmlformats.org/officeDocument/2006/relationships" r:embed="rId10"/>
            <a:srcRect/>
            <a:stretch>
              <a:fillRect/>
            </a:stretch>
          </xdr:blipFill>
          <xdr:spPr bwMode="auto">
            <a:xfrm>
              <a:off x="2987041" y="16824961"/>
              <a:ext cx="4626000" cy="43308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25</xdr:col>
          <xdr:colOff>213360</xdr:colOff>
          <xdr:row>92</xdr:row>
          <xdr:rowOff>0</xdr:rowOff>
        </xdr:from>
        <xdr:ext cx="4784400" cy="4320000"/>
        <xdr:pic>
          <xdr:nvPicPr>
            <xdr:cNvPr id="41" name="Obrázek 40">
              <a:extLst>
                <a:ext uri="{FF2B5EF4-FFF2-40B4-BE49-F238E27FC236}">
                  <a16:creationId xmlns:a16="http://schemas.microsoft.com/office/drawing/2014/main" id="{00000000-0008-0000-1500-000029000000}"/>
                </a:ext>
              </a:extLst>
            </xdr:cNvPr>
            <xdr:cNvPicPr>
              <a:picLocks noChangeArrowheads="1"/>
              <a:extLst>
                <a:ext uri="{84589F7E-364E-4C9E-8A38-B11213B215E9}">
                  <a14:cameraTool cellRange="Ram_4!$AA$6:$AR$30" spid="_x0000_s506092"/>
                </a:ext>
              </a:extLst>
            </xdr:cNvPicPr>
          </xdr:nvPicPr>
          <xdr:blipFill>
            <a:blip xmlns:r="http://schemas.openxmlformats.org/officeDocument/2006/relationships" r:embed="rId11"/>
            <a:srcRect/>
            <a:stretch>
              <a:fillRect/>
            </a:stretch>
          </xdr:blipFill>
          <xdr:spPr bwMode="auto">
            <a:xfrm>
              <a:off x="7833360" y="16824960"/>
              <a:ext cx="4784400" cy="43200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7620</xdr:colOff>
          <xdr:row>95</xdr:row>
          <xdr:rowOff>137157</xdr:rowOff>
        </xdr:from>
        <xdr:ext cx="2217600" cy="2149200"/>
        <xdr:pic>
          <xdr:nvPicPr>
            <xdr:cNvPr id="43" name="Obrázek 42">
              <a:extLst>
                <a:ext uri="{FF2B5EF4-FFF2-40B4-BE49-F238E27FC236}">
                  <a16:creationId xmlns:a16="http://schemas.microsoft.com/office/drawing/2014/main" id="{00000000-0008-0000-1500-00002B000000}"/>
                </a:ext>
              </a:extLst>
            </xdr:cNvPr>
            <xdr:cNvPicPr>
              <a:picLocks noChangeArrowheads="1"/>
              <a:extLst>
                <a:ext uri="{84589F7E-364E-4C9E-8A38-B11213B215E9}">
                  <a14:cameraTool cellRange="Ram_4!$S$24:$Y$32" spid="_x0000_s506093"/>
                </a:ext>
              </a:extLst>
            </xdr:cNvPicPr>
          </xdr:nvPicPr>
          <xdr:blipFill>
            <a:blip xmlns:r="http://schemas.openxmlformats.org/officeDocument/2006/relationships" r:embed="rId7"/>
            <a:srcRect/>
            <a:stretch>
              <a:fillRect/>
            </a:stretch>
          </xdr:blipFill>
          <xdr:spPr bwMode="auto">
            <a:xfrm>
              <a:off x="617220" y="18069557"/>
              <a:ext cx="2217600" cy="21492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9</xdr:col>
          <xdr:colOff>243841</xdr:colOff>
          <xdr:row>119</xdr:row>
          <xdr:rowOff>1</xdr:rowOff>
        </xdr:from>
        <xdr:ext cx="4626000" cy="4330800"/>
        <xdr:pic>
          <xdr:nvPicPr>
            <xdr:cNvPr id="44" name="Obrázek 43">
              <a:extLst>
                <a:ext uri="{FF2B5EF4-FFF2-40B4-BE49-F238E27FC236}">
                  <a16:creationId xmlns:a16="http://schemas.microsoft.com/office/drawing/2014/main" id="{00000000-0008-0000-1500-00002C000000}"/>
                </a:ext>
              </a:extLst>
            </xdr:cNvPr>
            <xdr:cNvPicPr>
              <a:picLocks noChangeArrowheads="1"/>
              <a:extLst>
                <a:ext uri="{84589F7E-364E-4C9E-8A38-B11213B215E9}">
                  <a14:cameraTool cellRange="Ram_5!$B$7:$Q$33" spid="_x0000_s506094"/>
                </a:ext>
              </a:extLst>
            </xdr:cNvPicPr>
          </xdr:nvPicPr>
          <xdr:blipFill>
            <a:blip xmlns:r="http://schemas.openxmlformats.org/officeDocument/2006/relationships" r:embed="rId12"/>
            <a:srcRect/>
            <a:stretch>
              <a:fillRect/>
            </a:stretch>
          </xdr:blipFill>
          <xdr:spPr bwMode="auto">
            <a:xfrm>
              <a:off x="2987041" y="21762721"/>
              <a:ext cx="4626000" cy="43308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25</xdr:col>
          <xdr:colOff>213360</xdr:colOff>
          <xdr:row>119</xdr:row>
          <xdr:rowOff>0</xdr:rowOff>
        </xdr:from>
        <xdr:ext cx="4784400" cy="4320000"/>
        <xdr:pic>
          <xdr:nvPicPr>
            <xdr:cNvPr id="45" name="Obrázek 44">
              <a:extLst>
                <a:ext uri="{FF2B5EF4-FFF2-40B4-BE49-F238E27FC236}">
                  <a16:creationId xmlns:a16="http://schemas.microsoft.com/office/drawing/2014/main" id="{00000000-0008-0000-1500-00002D000000}"/>
                </a:ext>
              </a:extLst>
            </xdr:cNvPr>
            <xdr:cNvPicPr>
              <a:picLocks noChangeArrowheads="1"/>
              <a:extLst>
                <a:ext uri="{84589F7E-364E-4C9E-8A38-B11213B215E9}">
                  <a14:cameraTool cellRange="Ram_5!$AA$6:$AR$30" spid="_x0000_s506095"/>
                </a:ext>
              </a:extLst>
            </xdr:cNvPicPr>
          </xdr:nvPicPr>
          <xdr:blipFill>
            <a:blip xmlns:r="http://schemas.openxmlformats.org/officeDocument/2006/relationships" r:embed="rId13"/>
            <a:srcRect/>
            <a:stretch>
              <a:fillRect/>
            </a:stretch>
          </xdr:blipFill>
          <xdr:spPr bwMode="auto">
            <a:xfrm>
              <a:off x="7833360" y="21762720"/>
              <a:ext cx="4784400" cy="43200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7620</xdr:colOff>
          <xdr:row>122</xdr:row>
          <xdr:rowOff>137156</xdr:rowOff>
        </xdr:from>
        <xdr:ext cx="2217600" cy="2149200"/>
        <xdr:pic>
          <xdr:nvPicPr>
            <xdr:cNvPr id="47" name="Obrázek 46">
              <a:extLst>
                <a:ext uri="{FF2B5EF4-FFF2-40B4-BE49-F238E27FC236}">
                  <a16:creationId xmlns:a16="http://schemas.microsoft.com/office/drawing/2014/main" id="{00000000-0008-0000-1500-00002F000000}"/>
                </a:ext>
              </a:extLst>
            </xdr:cNvPr>
            <xdr:cNvPicPr>
              <a:picLocks noChangeArrowheads="1"/>
              <a:extLst>
                <a:ext uri="{84589F7E-364E-4C9E-8A38-B11213B215E9}">
                  <a14:cameraTool cellRange="Ram_5!$S$24:$Y$32" spid="_x0000_s506096"/>
                </a:ext>
              </a:extLst>
            </xdr:cNvPicPr>
          </xdr:nvPicPr>
          <xdr:blipFill>
            <a:blip xmlns:r="http://schemas.openxmlformats.org/officeDocument/2006/relationships" r:embed="rId7"/>
            <a:srcRect/>
            <a:stretch>
              <a:fillRect/>
            </a:stretch>
          </xdr:blipFill>
          <xdr:spPr bwMode="auto">
            <a:xfrm>
              <a:off x="617220" y="23098756"/>
              <a:ext cx="2217600" cy="21492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9</xdr:col>
          <xdr:colOff>243841</xdr:colOff>
          <xdr:row>146</xdr:row>
          <xdr:rowOff>1</xdr:rowOff>
        </xdr:from>
        <xdr:ext cx="4626000" cy="4330800"/>
        <xdr:pic>
          <xdr:nvPicPr>
            <xdr:cNvPr id="53" name="Obrázek 52">
              <a:extLst>
                <a:ext uri="{FF2B5EF4-FFF2-40B4-BE49-F238E27FC236}">
                  <a16:creationId xmlns:a16="http://schemas.microsoft.com/office/drawing/2014/main" id="{00000000-0008-0000-1500-000035000000}"/>
                </a:ext>
              </a:extLst>
            </xdr:cNvPr>
            <xdr:cNvPicPr>
              <a:picLocks noChangeArrowheads="1"/>
              <a:extLst>
                <a:ext uri="{84589F7E-364E-4C9E-8A38-B11213B215E9}">
                  <a14:cameraTool cellRange="Ram_6!$B$7:$Q$33" spid="_x0000_s506097"/>
                </a:ext>
              </a:extLst>
            </xdr:cNvPicPr>
          </xdr:nvPicPr>
          <xdr:blipFill>
            <a:blip xmlns:r="http://schemas.openxmlformats.org/officeDocument/2006/relationships" r:embed="rId14"/>
            <a:srcRect/>
            <a:stretch>
              <a:fillRect/>
            </a:stretch>
          </xdr:blipFill>
          <xdr:spPr bwMode="auto">
            <a:xfrm>
              <a:off x="2987041" y="26700481"/>
              <a:ext cx="4626000" cy="43308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25</xdr:col>
          <xdr:colOff>213360</xdr:colOff>
          <xdr:row>146</xdr:row>
          <xdr:rowOff>0</xdr:rowOff>
        </xdr:from>
        <xdr:ext cx="4784400" cy="4320000"/>
        <xdr:pic>
          <xdr:nvPicPr>
            <xdr:cNvPr id="59" name="Obrázek 58">
              <a:extLst>
                <a:ext uri="{FF2B5EF4-FFF2-40B4-BE49-F238E27FC236}">
                  <a16:creationId xmlns:a16="http://schemas.microsoft.com/office/drawing/2014/main" id="{00000000-0008-0000-1500-00003B000000}"/>
                </a:ext>
              </a:extLst>
            </xdr:cNvPr>
            <xdr:cNvPicPr>
              <a:picLocks noChangeArrowheads="1"/>
              <a:extLst>
                <a:ext uri="{84589F7E-364E-4C9E-8A38-B11213B215E9}">
                  <a14:cameraTool cellRange="Ram_6!$AA$6:$AR$30" spid="_x0000_s506098"/>
                </a:ext>
              </a:extLst>
            </xdr:cNvPicPr>
          </xdr:nvPicPr>
          <xdr:blipFill>
            <a:blip xmlns:r="http://schemas.openxmlformats.org/officeDocument/2006/relationships" r:embed="rId15"/>
            <a:srcRect/>
            <a:stretch>
              <a:fillRect/>
            </a:stretch>
          </xdr:blipFill>
          <xdr:spPr bwMode="auto">
            <a:xfrm>
              <a:off x="7833360" y="26700480"/>
              <a:ext cx="4784400" cy="43200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7620</xdr:colOff>
          <xdr:row>149</xdr:row>
          <xdr:rowOff>137155</xdr:rowOff>
        </xdr:from>
        <xdr:ext cx="2217600" cy="2149200"/>
        <xdr:pic>
          <xdr:nvPicPr>
            <xdr:cNvPr id="60" name="Obrázek 59">
              <a:extLst>
                <a:ext uri="{FF2B5EF4-FFF2-40B4-BE49-F238E27FC236}">
                  <a16:creationId xmlns:a16="http://schemas.microsoft.com/office/drawing/2014/main" id="{00000000-0008-0000-1500-00003C000000}"/>
                </a:ext>
              </a:extLst>
            </xdr:cNvPr>
            <xdr:cNvPicPr>
              <a:picLocks noChangeArrowheads="1"/>
              <a:extLst>
                <a:ext uri="{84589F7E-364E-4C9E-8A38-B11213B215E9}">
                  <a14:cameraTool cellRange="Ram_6!$S$24:$Y$32" spid="_x0000_s506099"/>
                </a:ext>
              </a:extLst>
            </xdr:cNvPicPr>
          </xdr:nvPicPr>
          <xdr:blipFill>
            <a:blip xmlns:r="http://schemas.openxmlformats.org/officeDocument/2006/relationships" r:embed="rId7"/>
            <a:srcRect/>
            <a:stretch>
              <a:fillRect/>
            </a:stretch>
          </xdr:blipFill>
          <xdr:spPr bwMode="auto">
            <a:xfrm>
              <a:off x="617220" y="28127955"/>
              <a:ext cx="2217600" cy="2149200"/>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228597</xdr:colOff>
      <xdr:row>0</xdr:row>
      <xdr:rowOff>0</xdr:rowOff>
    </xdr:from>
    <xdr:to>
      <xdr:col>10</xdr:col>
      <xdr:colOff>115444</xdr:colOff>
      <xdr:row>6</xdr:row>
      <xdr:rowOff>74160</xdr:rowOff>
    </xdr:to>
    <xdr:pic>
      <xdr:nvPicPr>
        <xdr:cNvPr id="3" name="Obrázek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7" y="0"/>
          <a:ext cx="2325247"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304799</xdr:colOff>
      <xdr:row>33</xdr:row>
      <xdr:rowOff>0</xdr:rowOff>
    </xdr:from>
    <xdr:to>
      <xdr:col>4</xdr:col>
      <xdr:colOff>283199</xdr:colOff>
      <xdr:row>36</xdr:row>
      <xdr:rowOff>16560</xdr:rowOff>
    </xdr:to>
    <xdr:pic>
      <xdr:nvPicPr>
        <xdr:cNvPr id="7" name="Obrázek 6">
          <a:extLst>
            <a:ext uri="{FF2B5EF4-FFF2-40B4-BE49-F238E27FC236}">
              <a16:creationId xmlns:a16="http://schemas.microsoft.com/office/drawing/2014/main" id="{00000000-0008-0000-1600-000007000000}"/>
            </a:ext>
          </a:extLst>
        </xdr:cNvPr>
        <xdr:cNvPicPr preferRelativeResize="0">
          <a:picLocks/>
        </xdr:cNvPicPr>
      </xdr:nvPicPr>
      <xdr:blipFill>
        <a:blip xmlns:r="http://schemas.openxmlformats.org/officeDocument/2006/relationships" r:embed="rId2"/>
        <a:stretch>
          <a:fillRect/>
        </a:stretch>
      </xdr:blipFill>
      <xdr:spPr>
        <a:xfrm>
          <a:off x="609599" y="1783080"/>
          <a:ext cx="892800" cy="565200"/>
        </a:xfrm>
        <a:prstGeom prst="rect">
          <a:avLst/>
        </a:prstGeom>
      </xdr:spPr>
    </xdr:pic>
    <xdr:clientData/>
  </xdr:twoCellAnchor>
  <xdr:twoCellAnchor editAs="oneCell">
    <xdr:from>
      <xdr:col>5</xdr:col>
      <xdr:colOff>304799</xdr:colOff>
      <xdr:row>33</xdr:row>
      <xdr:rowOff>0</xdr:rowOff>
    </xdr:from>
    <xdr:to>
      <xdr:col>8</xdr:col>
      <xdr:colOff>283199</xdr:colOff>
      <xdr:row>36</xdr:row>
      <xdr:rowOff>16560</xdr:rowOff>
    </xdr:to>
    <xdr:pic>
      <xdr:nvPicPr>
        <xdr:cNvPr id="8" name="Obrázek 7">
          <a:extLst>
            <a:ext uri="{FF2B5EF4-FFF2-40B4-BE49-F238E27FC236}">
              <a16:creationId xmlns:a16="http://schemas.microsoft.com/office/drawing/2014/main" id="{00000000-0008-0000-1600-000008000000}"/>
            </a:ext>
          </a:extLst>
        </xdr:cNvPr>
        <xdr:cNvPicPr preferRelativeResize="0">
          <a:picLocks/>
        </xdr:cNvPicPr>
      </xdr:nvPicPr>
      <xdr:blipFill>
        <a:blip xmlns:r="http://schemas.openxmlformats.org/officeDocument/2006/relationships" r:embed="rId3"/>
        <a:stretch>
          <a:fillRect/>
        </a:stretch>
      </xdr:blipFill>
      <xdr:spPr>
        <a:xfrm>
          <a:off x="1828799" y="1783080"/>
          <a:ext cx="892800" cy="565200"/>
        </a:xfrm>
        <a:prstGeom prst="rect">
          <a:avLst/>
        </a:prstGeom>
      </xdr:spPr>
    </xdr:pic>
    <xdr:clientData/>
  </xdr:twoCellAnchor>
  <xdr:twoCellAnchor editAs="oneCell">
    <xdr:from>
      <xdr:col>10</xdr:col>
      <xdr:colOff>0</xdr:colOff>
      <xdr:row>33</xdr:row>
      <xdr:rowOff>0</xdr:rowOff>
    </xdr:from>
    <xdr:to>
      <xdr:col>12</xdr:col>
      <xdr:colOff>283200</xdr:colOff>
      <xdr:row>36</xdr:row>
      <xdr:rowOff>16560</xdr:rowOff>
    </xdr:to>
    <xdr:pic>
      <xdr:nvPicPr>
        <xdr:cNvPr id="9" name="Obrázek 8">
          <a:extLst>
            <a:ext uri="{FF2B5EF4-FFF2-40B4-BE49-F238E27FC236}">
              <a16:creationId xmlns:a16="http://schemas.microsoft.com/office/drawing/2014/main" id="{00000000-0008-0000-1600-000009000000}"/>
            </a:ext>
          </a:extLst>
        </xdr:cNvPr>
        <xdr:cNvPicPr preferRelativeResize="0">
          <a:picLocks/>
        </xdr:cNvPicPr>
      </xdr:nvPicPr>
      <xdr:blipFill>
        <a:blip xmlns:r="http://schemas.openxmlformats.org/officeDocument/2006/relationships" r:embed="rId4"/>
        <a:stretch>
          <a:fillRect/>
        </a:stretch>
      </xdr:blipFill>
      <xdr:spPr>
        <a:xfrm>
          <a:off x="3048000" y="1783080"/>
          <a:ext cx="892800" cy="565200"/>
        </a:xfrm>
        <a:prstGeom prst="rect">
          <a:avLst/>
        </a:prstGeom>
      </xdr:spPr>
    </xdr:pic>
    <xdr:clientData/>
  </xdr:twoCellAnchor>
  <xdr:twoCellAnchor editAs="oneCell">
    <xdr:from>
      <xdr:col>14</xdr:col>
      <xdr:colOff>0</xdr:colOff>
      <xdr:row>33</xdr:row>
      <xdr:rowOff>1</xdr:rowOff>
    </xdr:from>
    <xdr:to>
      <xdr:col>16</xdr:col>
      <xdr:colOff>283200</xdr:colOff>
      <xdr:row>36</xdr:row>
      <xdr:rowOff>16561</xdr:rowOff>
    </xdr:to>
    <xdr:pic>
      <xdr:nvPicPr>
        <xdr:cNvPr id="10" name="Obrázek 9">
          <a:extLst>
            <a:ext uri="{FF2B5EF4-FFF2-40B4-BE49-F238E27FC236}">
              <a16:creationId xmlns:a16="http://schemas.microsoft.com/office/drawing/2014/main" id="{00000000-0008-0000-1600-00000A000000}"/>
            </a:ext>
          </a:extLst>
        </xdr:cNvPr>
        <xdr:cNvPicPr preferRelativeResize="0">
          <a:picLocks/>
        </xdr:cNvPicPr>
      </xdr:nvPicPr>
      <xdr:blipFill>
        <a:blip xmlns:r="http://schemas.openxmlformats.org/officeDocument/2006/relationships" r:embed="rId5"/>
        <a:stretch>
          <a:fillRect/>
        </a:stretch>
      </xdr:blipFill>
      <xdr:spPr>
        <a:xfrm>
          <a:off x="4267200" y="1783081"/>
          <a:ext cx="892800" cy="565200"/>
        </a:xfrm>
        <a:prstGeom prst="rect">
          <a:avLst/>
        </a:prstGeom>
      </xdr:spPr>
    </xdr:pic>
    <xdr:clientData/>
  </xdr:twoCellAnchor>
  <xdr:twoCellAnchor editAs="oneCell">
    <xdr:from>
      <xdr:col>18</xdr:col>
      <xdr:colOff>0</xdr:colOff>
      <xdr:row>33</xdr:row>
      <xdr:rowOff>1</xdr:rowOff>
    </xdr:from>
    <xdr:to>
      <xdr:col>20</xdr:col>
      <xdr:colOff>283200</xdr:colOff>
      <xdr:row>36</xdr:row>
      <xdr:rowOff>16561</xdr:rowOff>
    </xdr:to>
    <xdr:pic>
      <xdr:nvPicPr>
        <xdr:cNvPr id="11" name="Obrázek 10">
          <a:extLst>
            <a:ext uri="{FF2B5EF4-FFF2-40B4-BE49-F238E27FC236}">
              <a16:creationId xmlns:a16="http://schemas.microsoft.com/office/drawing/2014/main" id="{00000000-0008-0000-1600-00000B000000}"/>
            </a:ext>
          </a:extLst>
        </xdr:cNvPr>
        <xdr:cNvPicPr preferRelativeResize="0">
          <a:picLocks/>
        </xdr:cNvPicPr>
      </xdr:nvPicPr>
      <xdr:blipFill>
        <a:blip xmlns:r="http://schemas.openxmlformats.org/officeDocument/2006/relationships" r:embed="rId6"/>
        <a:stretch>
          <a:fillRect/>
        </a:stretch>
      </xdr:blipFill>
      <xdr:spPr>
        <a:xfrm>
          <a:off x="5486400" y="1783081"/>
          <a:ext cx="892800" cy="565200"/>
        </a:xfrm>
        <a:prstGeom prst="rect">
          <a:avLst/>
        </a:prstGeom>
      </xdr:spPr>
    </xdr:pic>
    <xdr:clientData/>
  </xdr:twoCellAnchor>
  <xdr:twoCellAnchor editAs="oneCell">
    <xdr:from>
      <xdr:col>22</xdr:col>
      <xdr:colOff>1</xdr:colOff>
      <xdr:row>33</xdr:row>
      <xdr:rowOff>0</xdr:rowOff>
    </xdr:from>
    <xdr:to>
      <xdr:col>24</xdr:col>
      <xdr:colOff>283201</xdr:colOff>
      <xdr:row>36</xdr:row>
      <xdr:rowOff>16560</xdr:rowOff>
    </xdr:to>
    <xdr:pic>
      <xdr:nvPicPr>
        <xdr:cNvPr id="12" name="Obrázek 11">
          <a:extLst>
            <a:ext uri="{FF2B5EF4-FFF2-40B4-BE49-F238E27FC236}">
              <a16:creationId xmlns:a16="http://schemas.microsoft.com/office/drawing/2014/main" id="{00000000-0008-0000-1600-00000C000000}"/>
            </a:ext>
          </a:extLst>
        </xdr:cNvPr>
        <xdr:cNvPicPr preferRelativeResize="0">
          <a:picLocks/>
        </xdr:cNvPicPr>
      </xdr:nvPicPr>
      <xdr:blipFill>
        <a:blip xmlns:r="http://schemas.openxmlformats.org/officeDocument/2006/relationships" r:embed="rId7"/>
        <a:stretch>
          <a:fillRect/>
        </a:stretch>
      </xdr:blipFill>
      <xdr:spPr>
        <a:xfrm>
          <a:off x="6705601" y="1783080"/>
          <a:ext cx="892800" cy="565200"/>
        </a:xfrm>
        <a:prstGeom prst="rect">
          <a:avLst/>
        </a:prstGeom>
      </xdr:spPr>
    </xdr:pic>
    <xdr:clientData/>
  </xdr:twoCellAnchor>
  <xdr:twoCellAnchor editAs="oneCell">
    <xdr:from>
      <xdr:col>26</xdr:col>
      <xdr:colOff>0</xdr:colOff>
      <xdr:row>33</xdr:row>
      <xdr:rowOff>1</xdr:rowOff>
    </xdr:from>
    <xdr:to>
      <xdr:col>28</xdr:col>
      <xdr:colOff>283200</xdr:colOff>
      <xdr:row>36</xdr:row>
      <xdr:rowOff>16561</xdr:rowOff>
    </xdr:to>
    <xdr:pic>
      <xdr:nvPicPr>
        <xdr:cNvPr id="13" name="Obrázek 12">
          <a:extLst>
            <a:ext uri="{FF2B5EF4-FFF2-40B4-BE49-F238E27FC236}">
              <a16:creationId xmlns:a16="http://schemas.microsoft.com/office/drawing/2014/main" id="{00000000-0008-0000-1600-00000D000000}"/>
            </a:ext>
          </a:extLst>
        </xdr:cNvPr>
        <xdr:cNvPicPr preferRelativeResize="0">
          <a:picLocks/>
        </xdr:cNvPicPr>
      </xdr:nvPicPr>
      <xdr:blipFill>
        <a:blip xmlns:r="http://schemas.openxmlformats.org/officeDocument/2006/relationships" r:embed="rId8"/>
        <a:stretch>
          <a:fillRect/>
        </a:stretch>
      </xdr:blipFill>
      <xdr:spPr>
        <a:xfrm>
          <a:off x="7924800" y="1783081"/>
          <a:ext cx="892800" cy="565200"/>
        </a:xfrm>
        <a:prstGeom prst="rect">
          <a:avLst/>
        </a:prstGeom>
      </xdr:spPr>
    </xdr:pic>
    <xdr:clientData/>
  </xdr:twoCellAnchor>
  <xdr:twoCellAnchor editAs="oneCell">
    <xdr:from>
      <xdr:col>30</xdr:col>
      <xdr:colOff>0</xdr:colOff>
      <xdr:row>33</xdr:row>
      <xdr:rowOff>0</xdr:rowOff>
    </xdr:from>
    <xdr:to>
      <xdr:col>32</xdr:col>
      <xdr:colOff>283200</xdr:colOff>
      <xdr:row>36</xdr:row>
      <xdr:rowOff>16560</xdr:rowOff>
    </xdr:to>
    <xdr:pic>
      <xdr:nvPicPr>
        <xdr:cNvPr id="14" name="Obrázek 13">
          <a:extLst>
            <a:ext uri="{FF2B5EF4-FFF2-40B4-BE49-F238E27FC236}">
              <a16:creationId xmlns:a16="http://schemas.microsoft.com/office/drawing/2014/main" id="{00000000-0008-0000-1600-00000E000000}"/>
            </a:ext>
          </a:extLst>
        </xdr:cNvPr>
        <xdr:cNvPicPr preferRelativeResize="0">
          <a:picLocks/>
        </xdr:cNvPicPr>
      </xdr:nvPicPr>
      <xdr:blipFill>
        <a:blip xmlns:r="http://schemas.openxmlformats.org/officeDocument/2006/relationships" r:embed="rId9"/>
        <a:stretch>
          <a:fillRect/>
        </a:stretch>
      </xdr:blipFill>
      <xdr:spPr>
        <a:xfrm>
          <a:off x="9144000" y="1783080"/>
          <a:ext cx="892800" cy="565200"/>
        </a:xfrm>
        <a:prstGeom prst="rect">
          <a:avLst/>
        </a:prstGeom>
      </xdr:spPr>
    </xdr:pic>
    <xdr:clientData/>
  </xdr:twoCellAnchor>
  <xdr:twoCellAnchor editAs="oneCell">
    <xdr:from>
      <xdr:col>34</xdr:col>
      <xdr:colOff>0</xdr:colOff>
      <xdr:row>33</xdr:row>
      <xdr:rowOff>1</xdr:rowOff>
    </xdr:from>
    <xdr:to>
      <xdr:col>36</xdr:col>
      <xdr:colOff>283200</xdr:colOff>
      <xdr:row>36</xdr:row>
      <xdr:rowOff>16561</xdr:rowOff>
    </xdr:to>
    <xdr:pic>
      <xdr:nvPicPr>
        <xdr:cNvPr id="15" name="Obrázek 14">
          <a:extLst>
            <a:ext uri="{FF2B5EF4-FFF2-40B4-BE49-F238E27FC236}">
              <a16:creationId xmlns:a16="http://schemas.microsoft.com/office/drawing/2014/main" id="{00000000-0008-0000-1600-00000F000000}"/>
            </a:ext>
          </a:extLst>
        </xdr:cNvPr>
        <xdr:cNvPicPr preferRelativeResize="0">
          <a:picLocks/>
        </xdr:cNvPicPr>
      </xdr:nvPicPr>
      <xdr:blipFill>
        <a:blip xmlns:r="http://schemas.openxmlformats.org/officeDocument/2006/relationships" r:embed="rId10"/>
        <a:stretch>
          <a:fillRect/>
        </a:stretch>
      </xdr:blipFill>
      <xdr:spPr>
        <a:xfrm>
          <a:off x="10363200" y="1783081"/>
          <a:ext cx="892800" cy="565200"/>
        </a:xfrm>
        <a:prstGeom prst="rect">
          <a:avLst/>
        </a:prstGeom>
      </xdr:spPr>
    </xdr:pic>
    <xdr:clientData/>
  </xdr:twoCellAnchor>
  <xdr:twoCellAnchor editAs="oneCell">
    <xdr:from>
      <xdr:col>38</xdr:col>
      <xdr:colOff>0</xdr:colOff>
      <xdr:row>33</xdr:row>
      <xdr:rowOff>0</xdr:rowOff>
    </xdr:from>
    <xdr:to>
      <xdr:col>40</xdr:col>
      <xdr:colOff>283200</xdr:colOff>
      <xdr:row>36</xdr:row>
      <xdr:rowOff>16560</xdr:rowOff>
    </xdr:to>
    <xdr:pic>
      <xdr:nvPicPr>
        <xdr:cNvPr id="16" name="Obrázek 15">
          <a:extLst>
            <a:ext uri="{FF2B5EF4-FFF2-40B4-BE49-F238E27FC236}">
              <a16:creationId xmlns:a16="http://schemas.microsoft.com/office/drawing/2014/main" id="{00000000-0008-0000-1600-000010000000}"/>
            </a:ext>
          </a:extLst>
        </xdr:cNvPr>
        <xdr:cNvPicPr preferRelativeResize="0">
          <a:picLocks/>
        </xdr:cNvPicPr>
      </xdr:nvPicPr>
      <xdr:blipFill>
        <a:blip xmlns:r="http://schemas.openxmlformats.org/officeDocument/2006/relationships" r:embed="rId11"/>
        <a:stretch>
          <a:fillRect/>
        </a:stretch>
      </xdr:blipFill>
      <xdr:spPr>
        <a:xfrm>
          <a:off x="11582400" y="1783080"/>
          <a:ext cx="892800" cy="565200"/>
        </a:xfrm>
        <a:prstGeom prst="rect">
          <a:avLst/>
        </a:prstGeom>
      </xdr:spPr>
    </xdr:pic>
    <xdr:clientData/>
  </xdr:twoCellAnchor>
  <xdr:twoCellAnchor editAs="oneCell">
    <xdr:from>
      <xdr:col>42</xdr:col>
      <xdr:colOff>1</xdr:colOff>
      <xdr:row>33</xdr:row>
      <xdr:rowOff>1</xdr:rowOff>
    </xdr:from>
    <xdr:to>
      <xdr:col>44</xdr:col>
      <xdr:colOff>283201</xdr:colOff>
      <xdr:row>36</xdr:row>
      <xdr:rowOff>16561</xdr:rowOff>
    </xdr:to>
    <xdr:pic>
      <xdr:nvPicPr>
        <xdr:cNvPr id="17" name="Obrázek 16">
          <a:extLst>
            <a:ext uri="{FF2B5EF4-FFF2-40B4-BE49-F238E27FC236}">
              <a16:creationId xmlns:a16="http://schemas.microsoft.com/office/drawing/2014/main" id="{00000000-0008-0000-1600-000011000000}"/>
            </a:ext>
          </a:extLst>
        </xdr:cNvPr>
        <xdr:cNvPicPr preferRelativeResize="0">
          <a:picLocks/>
        </xdr:cNvPicPr>
      </xdr:nvPicPr>
      <xdr:blipFill>
        <a:blip xmlns:r="http://schemas.openxmlformats.org/officeDocument/2006/relationships" r:embed="rId12"/>
        <a:stretch>
          <a:fillRect/>
        </a:stretch>
      </xdr:blipFill>
      <xdr:spPr>
        <a:xfrm>
          <a:off x="12801601" y="1783081"/>
          <a:ext cx="892800" cy="565200"/>
        </a:xfrm>
        <a:prstGeom prst="rect">
          <a:avLst/>
        </a:prstGeom>
      </xdr:spPr>
    </xdr:pic>
    <xdr:clientData/>
  </xdr:twoCellAnchor>
  <xdr:twoCellAnchor editAs="oneCell">
    <xdr:from>
      <xdr:col>46</xdr:col>
      <xdr:colOff>0</xdr:colOff>
      <xdr:row>33</xdr:row>
      <xdr:rowOff>0</xdr:rowOff>
    </xdr:from>
    <xdr:to>
      <xdr:col>48</xdr:col>
      <xdr:colOff>283200</xdr:colOff>
      <xdr:row>36</xdr:row>
      <xdr:rowOff>16560</xdr:rowOff>
    </xdr:to>
    <xdr:pic>
      <xdr:nvPicPr>
        <xdr:cNvPr id="18" name="Obrázek 17">
          <a:extLst>
            <a:ext uri="{FF2B5EF4-FFF2-40B4-BE49-F238E27FC236}">
              <a16:creationId xmlns:a16="http://schemas.microsoft.com/office/drawing/2014/main" id="{00000000-0008-0000-1600-000012000000}"/>
            </a:ext>
          </a:extLst>
        </xdr:cNvPr>
        <xdr:cNvPicPr preferRelativeResize="0">
          <a:picLocks/>
        </xdr:cNvPicPr>
      </xdr:nvPicPr>
      <xdr:blipFill>
        <a:blip xmlns:r="http://schemas.openxmlformats.org/officeDocument/2006/relationships" r:embed="rId13"/>
        <a:stretch>
          <a:fillRect/>
        </a:stretch>
      </xdr:blipFill>
      <xdr:spPr>
        <a:xfrm>
          <a:off x="14020800" y="1783080"/>
          <a:ext cx="892800" cy="565200"/>
        </a:xfrm>
        <a:prstGeom prst="rect">
          <a:avLst/>
        </a:prstGeom>
      </xdr:spPr>
    </xdr:pic>
    <xdr:clientData/>
  </xdr:twoCellAnchor>
  <xdr:twoCellAnchor editAs="oneCell">
    <xdr:from>
      <xdr:col>38</xdr:col>
      <xdr:colOff>0</xdr:colOff>
      <xdr:row>38</xdr:row>
      <xdr:rowOff>76199</xdr:rowOff>
    </xdr:from>
    <xdr:to>
      <xdr:col>40</xdr:col>
      <xdr:colOff>283200</xdr:colOff>
      <xdr:row>41</xdr:row>
      <xdr:rowOff>168959</xdr:rowOff>
    </xdr:to>
    <xdr:pic>
      <xdr:nvPicPr>
        <xdr:cNvPr id="19" name="Obrázek 18">
          <a:extLst>
            <a:ext uri="{FF2B5EF4-FFF2-40B4-BE49-F238E27FC236}">
              <a16:creationId xmlns:a16="http://schemas.microsoft.com/office/drawing/2014/main" id="{00000000-0008-0000-1600-000013000000}"/>
            </a:ext>
          </a:extLst>
        </xdr:cNvPr>
        <xdr:cNvPicPr preferRelativeResize="0">
          <a:picLocks/>
        </xdr:cNvPicPr>
      </xdr:nvPicPr>
      <xdr:blipFill>
        <a:blip xmlns:r="http://schemas.openxmlformats.org/officeDocument/2006/relationships" r:embed="rId14"/>
        <a:stretch>
          <a:fillRect/>
        </a:stretch>
      </xdr:blipFill>
      <xdr:spPr>
        <a:xfrm>
          <a:off x="11582400" y="2743199"/>
          <a:ext cx="892800" cy="565200"/>
        </a:xfrm>
        <a:prstGeom prst="rect">
          <a:avLst/>
        </a:prstGeom>
      </xdr:spPr>
    </xdr:pic>
    <xdr:clientData/>
  </xdr:twoCellAnchor>
  <xdr:twoCellAnchor editAs="oneCell">
    <xdr:from>
      <xdr:col>42</xdr:col>
      <xdr:colOff>0</xdr:colOff>
      <xdr:row>38</xdr:row>
      <xdr:rowOff>76199</xdr:rowOff>
    </xdr:from>
    <xdr:to>
      <xdr:col>44</xdr:col>
      <xdr:colOff>283200</xdr:colOff>
      <xdr:row>41</xdr:row>
      <xdr:rowOff>168959</xdr:rowOff>
    </xdr:to>
    <xdr:pic>
      <xdr:nvPicPr>
        <xdr:cNvPr id="20" name="Obrázek 19">
          <a:extLst>
            <a:ext uri="{FF2B5EF4-FFF2-40B4-BE49-F238E27FC236}">
              <a16:creationId xmlns:a16="http://schemas.microsoft.com/office/drawing/2014/main" id="{00000000-0008-0000-1600-000014000000}"/>
            </a:ext>
          </a:extLst>
        </xdr:cNvPr>
        <xdr:cNvPicPr preferRelativeResize="0">
          <a:picLocks/>
        </xdr:cNvPicPr>
      </xdr:nvPicPr>
      <xdr:blipFill>
        <a:blip xmlns:r="http://schemas.openxmlformats.org/officeDocument/2006/relationships" r:embed="rId15"/>
        <a:stretch>
          <a:fillRect/>
        </a:stretch>
      </xdr:blipFill>
      <xdr:spPr>
        <a:xfrm>
          <a:off x="12801600" y="2743199"/>
          <a:ext cx="892800" cy="565200"/>
        </a:xfrm>
        <a:prstGeom prst="rect">
          <a:avLst/>
        </a:prstGeom>
      </xdr:spPr>
    </xdr:pic>
    <xdr:clientData/>
  </xdr:twoCellAnchor>
  <xdr:twoCellAnchor editAs="oneCell">
    <xdr:from>
      <xdr:col>46</xdr:col>
      <xdr:colOff>0</xdr:colOff>
      <xdr:row>38</xdr:row>
      <xdr:rowOff>76199</xdr:rowOff>
    </xdr:from>
    <xdr:to>
      <xdr:col>48</xdr:col>
      <xdr:colOff>283200</xdr:colOff>
      <xdr:row>41</xdr:row>
      <xdr:rowOff>168959</xdr:rowOff>
    </xdr:to>
    <xdr:pic>
      <xdr:nvPicPr>
        <xdr:cNvPr id="21" name="Obrázek 20">
          <a:extLst>
            <a:ext uri="{FF2B5EF4-FFF2-40B4-BE49-F238E27FC236}">
              <a16:creationId xmlns:a16="http://schemas.microsoft.com/office/drawing/2014/main" id="{00000000-0008-0000-1600-000015000000}"/>
            </a:ext>
          </a:extLst>
        </xdr:cNvPr>
        <xdr:cNvPicPr preferRelativeResize="0">
          <a:picLocks/>
        </xdr:cNvPicPr>
      </xdr:nvPicPr>
      <xdr:blipFill>
        <a:blip xmlns:r="http://schemas.openxmlformats.org/officeDocument/2006/relationships" r:embed="rId16"/>
        <a:stretch>
          <a:fillRect/>
        </a:stretch>
      </xdr:blipFill>
      <xdr:spPr>
        <a:xfrm>
          <a:off x="14020800" y="2743199"/>
          <a:ext cx="892800" cy="565200"/>
        </a:xfrm>
        <a:prstGeom prst="rect">
          <a:avLst/>
        </a:prstGeom>
      </xdr:spPr>
    </xdr:pic>
    <xdr:clientData/>
  </xdr:twoCellAnchor>
  <xdr:twoCellAnchor editAs="oneCell">
    <xdr:from>
      <xdr:col>18</xdr:col>
      <xdr:colOff>0</xdr:colOff>
      <xdr:row>38</xdr:row>
      <xdr:rowOff>76199</xdr:rowOff>
    </xdr:from>
    <xdr:to>
      <xdr:col>20</xdr:col>
      <xdr:colOff>283200</xdr:colOff>
      <xdr:row>41</xdr:row>
      <xdr:rowOff>168959</xdr:rowOff>
    </xdr:to>
    <xdr:pic>
      <xdr:nvPicPr>
        <xdr:cNvPr id="22" name="Obrázek 21">
          <a:extLst>
            <a:ext uri="{FF2B5EF4-FFF2-40B4-BE49-F238E27FC236}">
              <a16:creationId xmlns:a16="http://schemas.microsoft.com/office/drawing/2014/main" id="{00000000-0008-0000-1600-000016000000}"/>
            </a:ext>
          </a:extLst>
        </xdr:cNvPr>
        <xdr:cNvPicPr preferRelativeResize="0">
          <a:picLocks/>
        </xdr:cNvPicPr>
      </xdr:nvPicPr>
      <xdr:blipFill>
        <a:blip xmlns:r="http://schemas.openxmlformats.org/officeDocument/2006/relationships" r:embed="rId17"/>
        <a:stretch>
          <a:fillRect/>
        </a:stretch>
      </xdr:blipFill>
      <xdr:spPr>
        <a:xfrm>
          <a:off x="5486400" y="2743199"/>
          <a:ext cx="892800" cy="565200"/>
        </a:xfrm>
        <a:prstGeom prst="rect">
          <a:avLst/>
        </a:prstGeom>
      </xdr:spPr>
    </xdr:pic>
    <xdr:clientData/>
  </xdr:twoCellAnchor>
  <xdr:twoCellAnchor editAs="oneCell">
    <xdr:from>
      <xdr:col>22</xdr:col>
      <xdr:colOff>0</xdr:colOff>
      <xdr:row>38</xdr:row>
      <xdr:rowOff>76199</xdr:rowOff>
    </xdr:from>
    <xdr:to>
      <xdr:col>24</xdr:col>
      <xdr:colOff>283200</xdr:colOff>
      <xdr:row>41</xdr:row>
      <xdr:rowOff>168959</xdr:rowOff>
    </xdr:to>
    <xdr:pic>
      <xdr:nvPicPr>
        <xdr:cNvPr id="23" name="Obrázek 22">
          <a:extLst>
            <a:ext uri="{FF2B5EF4-FFF2-40B4-BE49-F238E27FC236}">
              <a16:creationId xmlns:a16="http://schemas.microsoft.com/office/drawing/2014/main" id="{00000000-0008-0000-1600-000017000000}"/>
            </a:ext>
          </a:extLst>
        </xdr:cNvPr>
        <xdr:cNvPicPr preferRelativeResize="0">
          <a:picLocks/>
        </xdr:cNvPicPr>
      </xdr:nvPicPr>
      <xdr:blipFill>
        <a:blip xmlns:r="http://schemas.openxmlformats.org/officeDocument/2006/relationships" r:embed="rId18"/>
        <a:stretch>
          <a:fillRect/>
        </a:stretch>
      </xdr:blipFill>
      <xdr:spPr>
        <a:xfrm>
          <a:off x="6705600" y="2743199"/>
          <a:ext cx="892800" cy="565200"/>
        </a:xfrm>
        <a:prstGeom prst="rect">
          <a:avLst/>
        </a:prstGeom>
      </xdr:spPr>
    </xdr:pic>
    <xdr:clientData/>
  </xdr:twoCellAnchor>
  <xdr:twoCellAnchor editAs="oneCell">
    <xdr:from>
      <xdr:col>26</xdr:col>
      <xdr:colOff>0</xdr:colOff>
      <xdr:row>38</xdr:row>
      <xdr:rowOff>76199</xdr:rowOff>
    </xdr:from>
    <xdr:to>
      <xdr:col>28</xdr:col>
      <xdr:colOff>283200</xdr:colOff>
      <xdr:row>41</xdr:row>
      <xdr:rowOff>168959</xdr:rowOff>
    </xdr:to>
    <xdr:pic>
      <xdr:nvPicPr>
        <xdr:cNvPr id="24" name="Obrázek 23">
          <a:extLst>
            <a:ext uri="{FF2B5EF4-FFF2-40B4-BE49-F238E27FC236}">
              <a16:creationId xmlns:a16="http://schemas.microsoft.com/office/drawing/2014/main" id="{00000000-0008-0000-1600-000018000000}"/>
            </a:ext>
          </a:extLst>
        </xdr:cNvPr>
        <xdr:cNvPicPr preferRelativeResize="0">
          <a:picLocks/>
        </xdr:cNvPicPr>
      </xdr:nvPicPr>
      <xdr:blipFill>
        <a:blip xmlns:r="http://schemas.openxmlformats.org/officeDocument/2006/relationships" r:embed="rId19"/>
        <a:stretch>
          <a:fillRect/>
        </a:stretch>
      </xdr:blipFill>
      <xdr:spPr>
        <a:xfrm>
          <a:off x="7924800" y="2743199"/>
          <a:ext cx="892800" cy="565200"/>
        </a:xfrm>
        <a:prstGeom prst="rect">
          <a:avLst/>
        </a:prstGeom>
      </xdr:spPr>
    </xdr:pic>
    <xdr:clientData/>
  </xdr:twoCellAnchor>
  <xdr:twoCellAnchor editAs="oneCell">
    <xdr:from>
      <xdr:col>30</xdr:col>
      <xdr:colOff>0</xdr:colOff>
      <xdr:row>38</xdr:row>
      <xdr:rowOff>76199</xdr:rowOff>
    </xdr:from>
    <xdr:to>
      <xdr:col>32</xdr:col>
      <xdr:colOff>283200</xdr:colOff>
      <xdr:row>41</xdr:row>
      <xdr:rowOff>168959</xdr:rowOff>
    </xdr:to>
    <xdr:pic>
      <xdr:nvPicPr>
        <xdr:cNvPr id="25" name="Obrázek 24">
          <a:extLst>
            <a:ext uri="{FF2B5EF4-FFF2-40B4-BE49-F238E27FC236}">
              <a16:creationId xmlns:a16="http://schemas.microsoft.com/office/drawing/2014/main" id="{00000000-0008-0000-1600-000019000000}"/>
            </a:ext>
          </a:extLst>
        </xdr:cNvPr>
        <xdr:cNvPicPr preferRelativeResize="0">
          <a:picLocks/>
        </xdr:cNvPicPr>
      </xdr:nvPicPr>
      <xdr:blipFill>
        <a:blip xmlns:r="http://schemas.openxmlformats.org/officeDocument/2006/relationships" r:embed="rId20"/>
        <a:stretch>
          <a:fillRect/>
        </a:stretch>
      </xdr:blipFill>
      <xdr:spPr>
        <a:xfrm>
          <a:off x="9144000" y="2743199"/>
          <a:ext cx="892800" cy="565200"/>
        </a:xfrm>
        <a:prstGeom prst="rect">
          <a:avLst/>
        </a:prstGeom>
      </xdr:spPr>
    </xdr:pic>
    <xdr:clientData/>
  </xdr:twoCellAnchor>
  <xdr:twoCellAnchor editAs="oneCell">
    <xdr:from>
      <xdr:col>34</xdr:col>
      <xdr:colOff>0</xdr:colOff>
      <xdr:row>38</xdr:row>
      <xdr:rowOff>76199</xdr:rowOff>
    </xdr:from>
    <xdr:to>
      <xdr:col>36</xdr:col>
      <xdr:colOff>283200</xdr:colOff>
      <xdr:row>41</xdr:row>
      <xdr:rowOff>168959</xdr:rowOff>
    </xdr:to>
    <xdr:pic>
      <xdr:nvPicPr>
        <xdr:cNvPr id="26" name="Obrázek 25">
          <a:extLst>
            <a:ext uri="{FF2B5EF4-FFF2-40B4-BE49-F238E27FC236}">
              <a16:creationId xmlns:a16="http://schemas.microsoft.com/office/drawing/2014/main" id="{00000000-0008-0000-1600-00001A000000}"/>
            </a:ext>
          </a:extLst>
        </xdr:cNvPr>
        <xdr:cNvPicPr preferRelativeResize="0">
          <a:picLocks/>
        </xdr:cNvPicPr>
      </xdr:nvPicPr>
      <xdr:blipFill>
        <a:blip xmlns:r="http://schemas.openxmlformats.org/officeDocument/2006/relationships" r:embed="rId21"/>
        <a:stretch>
          <a:fillRect/>
        </a:stretch>
      </xdr:blipFill>
      <xdr:spPr>
        <a:xfrm>
          <a:off x="10363200" y="2743199"/>
          <a:ext cx="892800" cy="565200"/>
        </a:xfrm>
        <a:prstGeom prst="rect">
          <a:avLst/>
        </a:prstGeom>
      </xdr:spPr>
    </xdr:pic>
    <xdr:clientData/>
  </xdr:twoCellAnchor>
  <xdr:twoCellAnchor editAs="oneCell">
    <xdr:from>
      <xdr:col>2</xdr:col>
      <xdr:colOff>0</xdr:colOff>
      <xdr:row>38</xdr:row>
      <xdr:rowOff>76199</xdr:rowOff>
    </xdr:from>
    <xdr:to>
      <xdr:col>4</xdr:col>
      <xdr:colOff>283200</xdr:colOff>
      <xdr:row>41</xdr:row>
      <xdr:rowOff>168959</xdr:rowOff>
    </xdr:to>
    <xdr:pic>
      <xdr:nvPicPr>
        <xdr:cNvPr id="27" name="Obrázek 26">
          <a:extLst>
            <a:ext uri="{FF2B5EF4-FFF2-40B4-BE49-F238E27FC236}">
              <a16:creationId xmlns:a16="http://schemas.microsoft.com/office/drawing/2014/main" id="{00000000-0008-0000-1600-00001B000000}"/>
            </a:ext>
          </a:extLst>
        </xdr:cNvPr>
        <xdr:cNvPicPr preferRelativeResize="0">
          <a:picLocks/>
        </xdr:cNvPicPr>
      </xdr:nvPicPr>
      <xdr:blipFill>
        <a:blip xmlns:r="http://schemas.openxmlformats.org/officeDocument/2006/relationships" r:embed="rId22"/>
        <a:stretch>
          <a:fillRect/>
        </a:stretch>
      </xdr:blipFill>
      <xdr:spPr>
        <a:xfrm>
          <a:off x="609600" y="2743199"/>
          <a:ext cx="892800" cy="565200"/>
        </a:xfrm>
        <a:prstGeom prst="rect">
          <a:avLst/>
        </a:prstGeom>
      </xdr:spPr>
    </xdr:pic>
    <xdr:clientData/>
  </xdr:twoCellAnchor>
  <xdr:twoCellAnchor editAs="oneCell">
    <xdr:from>
      <xdr:col>6</xdr:col>
      <xdr:colOff>0</xdr:colOff>
      <xdr:row>38</xdr:row>
      <xdr:rowOff>76199</xdr:rowOff>
    </xdr:from>
    <xdr:to>
      <xdr:col>8</xdr:col>
      <xdr:colOff>283200</xdr:colOff>
      <xdr:row>41</xdr:row>
      <xdr:rowOff>168959</xdr:rowOff>
    </xdr:to>
    <xdr:pic>
      <xdr:nvPicPr>
        <xdr:cNvPr id="28" name="Obrázek 27">
          <a:extLst>
            <a:ext uri="{FF2B5EF4-FFF2-40B4-BE49-F238E27FC236}">
              <a16:creationId xmlns:a16="http://schemas.microsoft.com/office/drawing/2014/main" id="{00000000-0008-0000-1600-00001C000000}"/>
            </a:ext>
          </a:extLst>
        </xdr:cNvPr>
        <xdr:cNvPicPr preferRelativeResize="0">
          <a:picLocks/>
        </xdr:cNvPicPr>
      </xdr:nvPicPr>
      <xdr:blipFill>
        <a:blip xmlns:r="http://schemas.openxmlformats.org/officeDocument/2006/relationships" r:embed="rId23"/>
        <a:stretch>
          <a:fillRect/>
        </a:stretch>
      </xdr:blipFill>
      <xdr:spPr>
        <a:xfrm>
          <a:off x="1828800" y="2743199"/>
          <a:ext cx="892800" cy="565200"/>
        </a:xfrm>
        <a:prstGeom prst="rect">
          <a:avLst/>
        </a:prstGeom>
      </xdr:spPr>
    </xdr:pic>
    <xdr:clientData/>
  </xdr:twoCellAnchor>
  <xdr:twoCellAnchor editAs="oneCell">
    <xdr:from>
      <xdr:col>10</xdr:col>
      <xdr:colOff>0</xdr:colOff>
      <xdr:row>38</xdr:row>
      <xdr:rowOff>76199</xdr:rowOff>
    </xdr:from>
    <xdr:to>
      <xdr:col>12</xdr:col>
      <xdr:colOff>283200</xdr:colOff>
      <xdr:row>41</xdr:row>
      <xdr:rowOff>168959</xdr:rowOff>
    </xdr:to>
    <xdr:pic>
      <xdr:nvPicPr>
        <xdr:cNvPr id="29" name="Obrázek 28">
          <a:extLst>
            <a:ext uri="{FF2B5EF4-FFF2-40B4-BE49-F238E27FC236}">
              <a16:creationId xmlns:a16="http://schemas.microsoft.com/office/drawing/2014/main" id="{00000000-0008-0000-1600-00001D000000}"/>
            </a:ext>
          </a:extLst>
        </xdr:cNvPr>
        <xdr:cNvPicPr preferRelativeResize="0">
          <a:picLocks/>
        </xdr:cNvPicPr>
      </xdr:nvPicPr>
      <xdr:blipFill>
        <a:blip xmlns:r="http://schemas.openxmlformats.org/officeDocument/2006/relationships" r:embed="rId24"/>
        <a:stretch>
          <a:fillRect/>
        </a:stretch>
      </xdr:blipFill>
      <xdr:spPr>
        <a:xfrm>
          <a:off x="3048000" y="2743199"/>
          <a:ext cx="892800" cy="565200"/>
        </a:xfrm>
        <a:prstGeom prst="rect">
          <a:avLst/>
        </a:prstGeom>
      </xdr:spPr>
    </xdr:pic>
    <xdr:clientData/>
  </xdr:twoCellAnchor>
  <xdr:twoCellAnchor editAs="oneCell">
    <xdr:from>
      <xdr:col>14</xdr:col>
      <xdr:colOff>0</xdr:colOff>
      <xdr:row>38</xdr:row>
      <xdr:rowOff>76199</xdr:rowOff>
    </xdr:from>
    <xdr:to>
      <xdr:col>16</xdr:col>
      <xdr:colOff>283200</xdr:colOff>
      <xdr:row>41</xdr:row>
      <xdr:rowOff>168959</xdr:rowOff>
    </xdr:to>
    <xdr:pic>
      <xdr:nvPicPr>
        <xdr:cNvPr id="30" name="Obrázek 29">
          <a:extLst>
            <a:ext uri="{FF2B5EF4-FFF2-40B4-BE49-F238E27FC236}">
              <a16:creationId xmlns:a16="http://schemas.microsoft.com/office/drawing/2014/main" id="{00000000-0008-0000-1600-00001E000000}"/>
            </a:ext>
          </a:extLst>
        </xdr:cNvPr>
        <xdr:cNvPicPr preferRelativeResize="0">
          <a:picLocks/>
        </xdr:cNvPicPr>
      </xdr:nvPicPr>
      <xdr:blipFill>
        <a:blip xmlns:r="http://schemas.openxmlformats.org/officeDocument/2006/relationships" r:embed="rId10"/>
        <a:stretch>
          <a:fillRect/>
        </a:stretch>
      </xdr:blipFill>
      <xdr:spPr>
        <a:xfrm>
          <a:off x="4267200" y="2743199"/>
          <a:ext cx="892800" cy="565200"/>
        </a:xfrm>
        <a:prstGeom prst="rect">
          <a:avLst/>
        </a:prstGeom>
      </xdr:spPr>
    </xdr:pic>
    <xdr:clientData/>
  </xdr:twoCellAnchor>
  <xdr:twoCellAnchor editAs="oneCell">
    <xdr:from>
      <xdr:col>2</xdr:col>
      <xdr:colOff>0</xdr:colOff>
      <xdr:row>47</xdr:row>
      <xdr:rowOff>76199</xdr:rowOff>
    </xdr:from>
    <xdr:to>
      <xdr:col>4</xdr:col>
      <xdr:colOff>283200</xdr:colOff>
      <xdr:row>50</xdr:row>
      <xdr:rowOff>168959</xdr:rowOff>
    </xdr:to>
    <xdr:pic>
      <xdr:nvPicPr>
        <xdr:cNvPr id="61" name="Obrázek 60">
          <a:extLst>
            <a:ext uri="{FF2B5EF4-FFF2-40B4-BE49-F238E27FC236}">
              <a16:creationId xmlns:a16="http://schemas.microsoft.com/office/drawing/2014/main" id="{00000000-0008-0000-1600-00003D000000}"/>
            </a:ext>
          </a:extLst>
        </xdr:cNvPr>
        <xdr:cNvPicPr preferRelativeResize="0">
          <a:picLocks/>
        </xdr:cNvPicPr>
      </xdr:nvPicPr>
      <xdr:blipFill>
        <a:blip xmlns:r="http://schemas.openxmlformats.org/officeDocument/2006/relationships" r:embed="rId25"/>
        <a:stretch>
          <a:fillRect/>
        </a:stretch>
      </xdr:blipFill>
      <xdr:spPr>
        <a:xfrm>
          <a:off x="609600" y="4251959"/>
          <a:ext cx="892800" cy="565200"/>
        </a:xfrm>
        <a:prstGeom prst="rect">
          <a:avLst/>
        </a:prstGeom>
      </xdr:spPr>
    </xdr:pic>
    <xdr:clientData/>
  </xdr:twoCellAnchor>
  <xdr:twoCellAnchor editAs="oneCell">
    <xdr:from>
      <xdr:col>6</xdr:col>
      <xdr:colOff>0</xdr:colOff>
      <xdr:row>47</xdr:row>
      <xdr:rowOff>76199</xdr:rowOff>
    </xdr:from>
    <xdr:to>
      <xdr:col>8</xdr:col>
      <xdr:colOff>283200</xdr:colOff>
      <xdr:row>50</xdr:row>
      <xdr:rowOff>168959</xdr:rowOff>
    </xdr:to>
    <xdr:pic>
      <xdr:nvPicPr>
        <xdr:cNvPr id="62" name="Obrázek 61">
          <a:extLst>
            <a:ext uri="{FF2B5EF4-FFF2-40B4-BE49-F238E27FC236}">
              <a16:creationId xmlns:a16="http://schemas.microsoft.com/office/drawing/2014/main" id="{00000000-0008-0000-1600-00003E000000}"/>
            </a:ext>
          </a:extLst>
        </xdr:cNvPr>
        <xdr:cNvPicPr preferRelativeResize="0">
          <a:picLocks/>
        </xdr:cNvPicPr>
      </xdr:nvPicPr>
      <xdr:blipFill>
        <a:blip xmlns:r="http://schemas.openxmlformats.org/officeDocument/2006/relationships" r:embed="rId26"/>
        <a:stretch>
          <a:fillRect/>
        </a:stretch>
      </xdr:blipFill>
      <xdr:spPr>
        <a:xfrm>
          <a:off x="1828800" y="4251959"/>
          <a:ext cx="892800" cy="565200"/>
        </a:xfrm>
        <a:prstGeom prst="rect">
          <a:avLst/>
        </a:prstGeom>
      </xdr:spPr>
    </xdr:pic>
    <xdr:clientData/>
  </xdr:twoCellAnchor>
  <xdr:twoCellAnchor editAs="oneCell">
    <xdr:from>
      <xdr:col>10</xdr:col>
      <xdr:colOff>0</xdr:colOff>
      <xdr:row>47</xdr:row>
      <xdr:rowOff>76199</xdr:rowOff>
    </xdr:from>
    <xdr:to>
      <xdr:col>12</xdr:col>
      <xdr:colOff>283200</xdr:colOff>
      <xdr:row>50</xdr:row>
      <xdr:rowOff>168959</xdr:rowOff>
    </xdr:to>
    <xdr:pic>
      <xdr:nvPicPr>
        <xdr:cNvPr id="63" name="Obrázek 62">
          <a:extLst>
            <a:ext uri="{FF2B5EF4-FFF2-40B4-BE49-F238E27FC236}">
              <a16:creationId xmlns:a16="http://schemas.microsoft.com/office/drawing/2014/main" id="{00000000-0008-0000-1600-00003F000000}"/>
            </a:ext>
          </a:extLst>
        </xdr:cNvPr>
        <xdr:cNvPicPr preferRelativeResize="0">
          <a:picLocks/>
        </xdr:cNvPicPr>
      </xdr:nvPicPr>
      <xdr:blipFill>
        <a:blip xmlns:r="http://schemas.openxmlformats.org/officeDocument/2006/relationships" r:embed="rId27"/>
        <a:stretch>
          <a:fillRect/>
        </a:stretch>
      </xdr:blipFill>
      <xdr:spPr>
        <a:xfrm>
          <a:off x="3048000" y="4251959"/>
          <a:ext cx="892800" cy="565200"/>
        </a:xfrm>
        <a:prstGeom prst="rect">
          <a:avLst/>
        </a:prstGeom>
      </xdr:spPr>
    </xdr:pic>
    <xdr:clientData/>
  </xdr:twoCellAnchor>
  <xdr:twoCellAnchor editAs="oneCell">
    <xdr:from>
      <xdr:col>14</xdr:col>
      <xdr:colOff>0</xdr:colOff>
      <xdr:row>47</xdr:row>
      <xdr:rowOff>76199</xdr:rowOff>
    </xdr:from>
    <xdr:to>
      <xdr:col>16</xdr:col>
      <xdr:colOff>283200</xdr:colOff>
      <xdr:row>50</xdr:row>
      <xdr:rowOff>168959</xdr:rowOff>
    </xdr:to>
    <xdr:pic>
      <xdr:nvPicPr>
        <xdr:cNvPr id="64" name="Obrázek 63">
          <a:extLst>
            <a:ext uri="{FF2B5EF4-FFF2-40B4-BE49-F238E27FC236}">
              <a16:creationId xmlns:a16="http://schemas.microsoft.com/office/drawing/2014/main" id="{00000000-0008-0000-1600-000040000000}"/>
            </a:ext>
          </a:extLst>
        </xdr:cNvPr>
        <xdr:cNvPicPr preferRelativeResize="0">
          <a:picLocks/>
        </xdr:cNvPicPr>
      </xdr:nvPicPr>
      <xdr:blipFill>
        <a:blip xmlns:r="http://schemas.openxmlformats.org/officeDocument/2006/relationships" r:embed="rId28"/>
        <a:stretch>
          <a:fillRect/>
        </a:stretch>
      </xdr:blipFill>
      <xdr:spPr>
        <a:xfrm>
          <a:off x="4267200" y="4251959"/>
          <a:ext cx="892800" cy="565200"/>
        </a:xfrm>
        <a:prstGeom prst="rect">
          <a:avLst/>
        </a:prstGeom>
      </xdr:spPr>
    </xdr:pic>
    <xdr:clientData/>
  </xdr:twoCellAnchor>
  <xdr:twoCellAnchor editAs="oneCell">
    <xdr:from>
      <xdr:col>18</xdr:col>
      <xdr:colOff>0</xdr:colOff>
      <xdr:row>47</xdr:row>
      <xdr:rowOff>76199</xdr:rowOff>
    </xdr:from>
    <xdr:to>
      <xdr:col>20</xdr:col>
      <xdr:colOff>283200</xdr:colOff>
      <xdr:row>50</xdr:row>
      <xdr:rowOff>168959</xdr:rowOff>
    </xdr:to>
    <xdr:pic>
      <xdr:nvPicPr>
        <xdr:cNvPr id="65" name="Obrázek 64">
          <a:extLst>
            <a:ext uri="{FF2B5EF4-FFF2-40B4-BE49-F238E27FC236}">
              <a16:creationId xmlns:a16="http://schemas.microsoft.com/office/drawing/2014/main" id="{00000000-0008-0000-1600-000041000000}"/>
            </a:ext>
          </a:extLst>
        </xdr:cNvPr>
        <xdr:cNvPicPr preferRelativeResize="0">
          <a:picLocks/>
        </xdr:cNvPicPr>
      </xdr:nvPicPr>
      <xdr:blipFill>
        <a:blip xmlns:r="http://schemas.openxmlformats.org/officeDocument/2006/relationships" r:embed="rId29"/>
        <a:stretch>
          <a:fillRect/>
        </a:stretch>
      </xdr:blipFill>
      <xdr:spPr>
        <a:xfrm>
          <a:off x="5486400" y="4251959"/>
          <a:ext cx="892800" cy="565200"/>
        </a:xfrm>
        <a:prstGeom prst="rect">
          <a:avLst/>
        </a:prstGeom>
      </xdr:spPr>
    </xdr:pic>
    <xdr:clientData/>
  </xdr:twoCellAnchor>
  <xdr:twoCellAnchor editAs="oneCell">
    <xdr:from>
      <xdr:col>22</xdr:col>
      <xdr:colOff>0</xdr:colOff>
      <xdr:row>47</xdr:row>
      <xdr:rowOff>76199</xdr:rowOff>
    </xdr:from>
    <xdr:to>
      <xdr:col>24</xdr:col>
      <xdr:colOff>283200</xdr:colOff>
      <xdr:row>50</xdr:row>
      <xdr:rowOff>168959</xdr:rowOff>
    </xdr:to>
    <xdr:pic>
      <xdr:nvPicPr>
        <xdr:cNvPr id="66" name="Obrázek 65">
          <a:extLst>
            <a:ext uri="{FF2B5EF4-FFF2-40B4-BE49-F238E27FC236}">
              <a16:creationId xmlns:a16="http://schemas.microsoft.com/office/drawing/2014/main" id="{00000000-0008-0000-1600-000042000000}"/>
            </a:ext>
          </a:extLst>
        </xdr:cNvPr>
        <xdr:cNvPicPr preferRelativeResize="0">
          <a:picLocks/>
        </xdr:cNvPicPr>
      </xdr:nvPicPr>
      <xdr:blipFill>
        <a:blip xmlns:r="http://schemas.openxmlformats.org/officeDocument/2006/relationships" r:embed="rId30"/>
        <a:stretch>
          <a:fillRect/>
        </a:stretch>
      </xdr:blipFill>
      <xdr:spPr>
        <a:xfrm>
          <a:off x="6705600" y="4251959"/>
          <a:ext cx="892800" cy="565200"/>
        </a:xfrm>
        <a:prstGeom prst="rect">
          <a:avLst/>
        </a:prstGeom>
      </xdr:spPr>
    </xdr:pic>
    <xdr:clientData/>
  </xdr:twoCellAnchor>
  <xdr:twoCellAnchor editAs="oneCell">
    <xdr:from>
      <xdr:col>26</xdr:col>
      <xdr:colOff>0</xdr:colOff>
      <xdr:row>47</xdr:row>
      <xdr:rowOff>76199</xdr:rowOff>
    </xdr:from>
    <xdr:to>
      <xdr:col>28</xdr:col>
      <xdr:colOff>283200</xdr:colOff>
      <xdr:row>50</xdr:row>
      <xdr:rowOff>168959</xdr:rowOff>
    </xdr:to>
    <xdr:pic>
      <xdr:nvPicPr>
        <xdr:cNvPr id="67" name="Obrázek 66">
          <a:extLst>
            <a:ext uri="{FF2B5EF4-FFF2-40B4-BE49-F238E27FC236}">
              <a16:creationId xmlns:a16="http://schemas.microsoft.com/office/drawing/2014/main" id="{00000000-0008-0000-1600-000043000000}"/>
            </a:ext>
          </a:extLst>
        </xdr:cNvPr>
        <xdr:cNvPicPr preferRelativeResize="0">
          <a:picLocks/>
        </xdr:cNvPicPr>
      </xdr:nvPicPr>
      <xdr:blipFill>
        <a:blip xmlns:r="http://schemas.openxmlformats.org/officeDocument/2006/relationships" r:embed="rId31"/>
        <a:stretch>
          <a:fillRect/>
        </a:stretch>
      </xdr:blipFill>
      <xdr:spPr>
        <a:xfrm>
          <a:off x="7924800" y="4251959"/>
          <a:ext cx="892800" cy="565200"/>
        </a:xfrm>
        <a:prstGeom prst="rect">
          <a:avLst/>
        </a:prstGeom>
      </xdr:spPr>
    </xdr:pic>
    <xdr:clientData/>
  </xdr:twoCellAnchor>
  <xdr:twoCellAnchor editAs="oneCell">
    <xdr:from>
      <xdr:col>30</xdr:col>
      <xdr:colOff>0</xdr:colOff>
      <xdr:row>47</xdr:row>
      <xdr:rowOff>76199</xdr:rowOff>
    </xdr:from>
    <xdr:to>
      <xdr:col>32</xdr:col>
      <xdr:colOff>283200</xdr:colOff>
      <xdr:row>50</xdr:row>
      <xdr:rowOff>168959</xdr:rowOff>
    </xdr:to>
    <xdr:pic>
      <xdr:nvPicPr>
        <xdr:cNvPr id="68" name="Obrázek 67">
          <a:extLst>
            <a:ext uri="{FF2B5EF4-FFF2-40B4-BE49-F238E27FC236}">
              <a16:creationId xmlns:a16="http://schemas.microsoft.com/office/drawing/2014/main" id="{00000000-0008-0000-1600-000044000000}"/>
            </a:ext>
          </a:extLst>
        </xdr:cNvPr>
        <xdr:cNvPicPr preferRelativeResize="0">
          <a:picLocks/>
        </xdr:cNvPicPr>
      </xdr:nvPicPr>
      <xdr:blipFill>
        <a:blip xmlns:r="http://schemas.openxmlformats.org/officeDocument/2006/relationships" r:embed="rId32"/>
        <a:stretch>
          <a:fillRect/>
        </a:stretch>
      </xdr:blipFill>
      <xdr:spPr>
        <a:xfrm>
          <a:off x="9144000" y="4251959"/>
          <a:ext cx="892800" cy="565200"/>
        </a:xfrm>
        <a:prstGeom prst="rect">
          <a:avLst/>
        </a:prstGeom>
      </xdr:spPr>
    </xdr:pic>
    <xdr:clientData/>
  </xdr:twoCellAnchor>
  <xdr:twoCellAnchor editAs="oneCell">
    <xdr:from>
      <xdr:col>34</xdr:col>
      <xdr:colOff>0</xdr:colOff>
      <xdr:row>47</xdr:row>
      <xdr:rowOff>76199</xdr:rowOff>
    </xdr:from>
    <xdr:to>
      <xdr:col>36</xdr:col>
      <xdr:colOff>283200</xdr:colOff>
      <xdr:row>50</xdr:row>
      <xdr:rowOff>168959</xdr:rowOff>
    </xdr:to>
    <xdr:pic>
      <xdr:nvPicPr>
        <xdr:cNvPr id="69" name="Obrázek 68">
          <a:extLst>
            <a:ext uri="{FF2B5EF4-FFF2-40B4-BE49-F238E27FC236}">
              <a16:creationId xmlns:a16="http://schemas.microsoft.com/office/drawing/2014/main" id="{00000000-0008-0000-1600-000045000000}"/>
            </a:ext>
          </a:extLst>
        </xdr:cNvPr>
        <xdr:cNvPicPr preferRelativeResize="0">
          <a:picLocks/>
        </xdr:cNvPicPr>
      </xdr:nvPicPr>
      <xdr:blipFill>
        <a:blip xmlns:r="http://schemas.openxmlformats.org/officeDocument/2006/relationships" r:embed="rId33"/>
        <a:stretch>
          <a:fillRect/>
        </a:stretch>
      </xdr:blipFill>
      <xdr:spPr>
        <a:xfrm>
          <a:off x="10363200" y="4251959"/>
          <a:ext cx="892800" cy="565200"/>
        </a:xfrm>
        <a:prstGeom prst="rect">
          <a:avLst/>
        </a:prstGeom>
      </xdr:spPr>
    </xdr:pic>
    <xdr:clientData/>
  </xdr:twoCellAnchor>
  <xdr:twoCellAnchor editAs="oneCell">
    <xdr:from>
      <xdr:col>38</xdr:col>
      <xdr:colOff>0</xdr:colOff>
      <xdr:row>47</xdr:row>
      <xdr:rowOff>76199</xdr:rowOff>
    </xdr:from>
    <xdr:to>
      <xdr:col>40</xdr:col>
      <xdr:colOff>283200</xdr:colOff>
      <xdr:row>50</xdr:row>
      <xdr:rowOff>168959</xdr:rowOff>
    </xdr:to>
    <xdr:pic>
      <xdr:nvPicPr>
        <xdr:cNvPr id="70" name="Obrázek 69">
          <a:extLst>
            <a:ext uri="{FF2B5EF4-FFF2-40B4-BE49-F238E27FC236}">
              <a16:creationId xmlns:a16="http://schemas.microsoft.com/office/drawing/2014/main" id="{00000000-0008-0000-1600-000046000000}"/>
            </a:ext>
          </a:extLst>
        </xdr:cNvPr>
        <xdr:cNvPicPr preferRelativeResize="0">
          <a:picLocks/>
        </xdr:cNvPicPr>
      </xdr:nvPicPr>
      <xdr:blipFill>
        <a:blip xmlns:r="http://schemas.openxmlformats.org/officeDocument/2006/relationships" r:embed="rId34"/>
        <a:stretch>
          <a:fillRect/>
        </a:stretch>
      </xdr:blipFill>
      <xdr:spPr>
        <a:xfrm>
          <a:off x="11582400" y="4251959"/>
          <a:ext cx="892800" cy="565200"/>
        </a:xfrm>
        <a:prstGeom prst="rect">
          <a:avLst/>
        </a:prstGeom>
      </xdr:spPr>
    </xdr:pic>
    <xdr:clientData/>
  </xdr:twoCellAnchor>
  <xdr:twoCellAnchor editAs="oneCell">
    <xdr:from>
      <xdr:col>41</xdr:col>
      <xdr:colOff>304799</xdr:colOff>
      <xdr:row>47</xdr:row>
      <xdr:rowOff>76199</xdr:rowOff>
    </xdr:from>
    <xdr:to>
      <xdr:col>44</xdr:col>
      <xdr:colOff>283199</xdr:colOff>
      <xdr:row>50</xdr:row>
      <xdr:rowOff>168959</xdr:rowOff>
    </xdr:to>
    <xdr:pic>
      <xdr:nvPicPr>
        <xdr:cNvPr id="71" name="Obrázek 70">
          <a:extLst>
            <a:ext uri="{FF2B5EF4-FFF2-40B4-BE49-F238E27FC236}">
              <a16:creationId xmlns:a16="http://schemas.microsoft.com/office/drawing/2014/main" id="{00000000-0008-0000-1600-000047000000}"/>
            </a:ext>
          </a:extLst>
        </xdr:cNvPr>
        <xdr:cNvPicPr preferRelativeResize="0">
          <a:picLocks/>
        </xdr:cNvPicPr>
      </xdr:nvPicPr>
      <xdr:blipFill>
        <a:blip xmlns:r="http://schemas.openxmlformats.org/officeDocument/2006/relationships" r:embed="rId35"/>
        <a:stretch>
          <a:fillRect/>
        </a:stretch>
      </xdr:blipFill>
      <xdr:spPr>
        <a:xfrm>
          <a:off x="12801599" y="4251959"/>
          <a:ext cx="892800" cy="565200"/>
        </a:xfrm>
        <a:prstGeom prst="rect">
          <a:avLst/>
        </a:prstGeom>
      </xdr:spPr>
    </xdr:pic>
    <xdr:clientData/>
  </xdr:twoCellAnchor>
  <xdr:twoCellAnchor>
    <xdr:from>
      <xdr:col>1</xdr:col>
      <xdr:colOff>190500</xdr:colOff>
      <xdr:row>6</xdr:row>
      <xdr:rowOff>167640</xdr:rowOff>
    </xdr:from>
    <xdr:to>
      <xdr:col>44</xdr:col>
      <xdr:colOff>130671</xdr:colOff>
      <xdr:row>27</xdr:row>
      <xdr:rowOff>145111</xdr:rowOff>
    </xdr:to>
    <xdr:grpSp>
      <xdr:nvGrpSpPr>
        <xdr:cNvPr id="5" name="Skupina 4">
          <a:extLst>
            <a:ext uri="{FF2B5EF4-FFF2-40B4-BE49-F238E27FC236}">
              <a16:creationId xmlns:a16="http://schemas.microsoft.com/office/drawing/2014/main" id="{00000000-0008-0000-1600-000005000000}"/>
            </a:ext>
          </a:extLst>
        </xdr:cNvPr>
        <xdr:cNvGrpSpPr/>
      </xdr:nvGrpSpPr>
      <xdr:grpSpPr>
        <a:xfrm>
          <a:off x="491756" y="1186593"/>
          <a:ext cx="12894171" cy="3884937"/>
          <a:chOff x="495300" y="1167765"/>
          <a:chExt cx="13046571" cy="3777946"/>
        </a:xfrm>
      </xdr:grpSpPr>
      <xdr:pic>
        <xdr:nvPicPr>
          <xdr:cNvPr id="4" name="Obráze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6">
            <a:clrChange>
              <a:clrFrom>
                <a:srgbClr val="FFFFFF"/>
              </a:clrFrom>
              <a:clrTo>
                <a:srgbClr val="FFFFFF">
                  <a:alpha val="0"/>
                </a:srgbClr>
              </a:clrTo>
            </a:clrChange>
          </a:blip>
          <a:stretch>
            <a:fillRect/>
          </a:stretch>
        </xdr:blipFill>
        <xdr:spPr>
          <a:xfrm>
            <a:off x="495300" y="1167765"/>
            <a:ext cx="13046571" cy="3777946"/>
          </a:xfrm>
          <a:prstGeom prst="rect">
            <a:avLst/>
          </a:prstGeom>
        </xdr:spPr>
      </xdr:pic>
      <xdr:sp macro="" textlink="">
        <xdr:nvSpPr>
          <xdr:cNvPr id="2" name="Obdélník 1">
            <a:extLst>
              <a:ext uri="{FF2B5EF4-FFF2-40B4-BE49-F238E27FC236}">
                <a16:creationId xmlns:a16="http://schemas.microsoft.com/office/drawing/2014/main" id="{00000000-0008-0000-1600-000002000000}"/>
              </a:ext>
            </a:extLst>
          </xdr:cNvPr>
          <xdr:cNvSpPr/>
        </xdr:nvSpPr>
        <xdr:spPr bwMode="auto">
          <a:xfrm>
            <a:off x="6134100" y="2428875"/>
            <a:ext cx="1704975" cy="1228725"/>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grpSp>
    <xdr:clientData/>
  </xdr:twoCellAnchor>
  <xdr:twoCellAnchor>
    <xdr:from>
      <xdr:col>15</xdr:col>
      <xdr:colOff>127000</xdr:colOff>
      <xdr:row>13</xdr:row>
      <xdr:rowOff>6350</xdr:rowOff>
    </xdr:from>
    <xdr:to>
      <xdr:col>18</xdr:col>
      <xdr:colOff>31750</xdr:colOff>
      <xdr:row>13</xdr:row>
      <xdr:rowOff>133350</xdr:rowOff>
    </xdr:to>
    <xdr:sp macro="" textlink="">
      <xdr:nvSpPr>
        <xdr:cNvPr id="6" name="Obdélník 5">
          <a:extLst>
            <a:ext uri="{FF2B5EF4-FFF2-40B4-BE49-F238E27FC236}">
              <a16:creationId xmlns:a16="http://schemas.microsoft.com/office/drawing/2014/main" id="{00000000-0008-0000-1600-000006000000}"/>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15</xdr:col>
      <xdr:colOff>194704</xdr:colOff>
      <xdr:row>12</xdr:row>
      <xdr:rowOff>166482</xdr:rowOff>
    </xdr:from>
    <xdr:to>
      <xdr:col>17</xdr:col>
      <xdr:colOff>277451</xdr:colOff>
      <xdr:row>13</xdr:row>
      <xdr:rowOff>126332</xdr:rowOff>
    </xdr:to>
    <xdr:pic>
      <xdr:nvPicPr>
        <xdr:cNvPr id="41" name="Obrázek 40">
          <a:extLst>
            <a:ext uri="{FF2B5EF4-FFF2-40B4-BE49-F238E27FC236}">
              <a16:creationId xmlns:a16="http://schemas.microsoft.com/office/drawing/2014/main" id="{00000000-0008-0000-1600-000029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766704" y="2281032"/>
          <a:ext cx="692347" cy="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29936</xdr:colOff>
      <xdr:row>44</xdr:row>
      <xdr:rowOff>6533</xdr:rowOff>
    </xdr:from>
    <xdr:to>
      <xdr:col>28</xdr:col>
      <xdr:colOff>495127</xdr:colOff>
      <xdr:row>70</xdr:row>
      <xdr:rowOff>149558</xdr:rowOff>
    </xdr:to>
    <xdr:pic>
      <xdr:nvPicPr>
        <xdr:cNvPr id="112618" name="Obrázek 14">
          <a:extLst>
            <a:ext uri="{FF2B5EF4-FFF2-40B4-BE49-F238E27FC236}">
              <a16:creationId xmlns:a16="http://schemas.microsoft.com/office/drawing/2014/main" id="{00000000-0008-0000-1700-0000EAB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2736" y="8150408"/>
          <a:ext cx="6618341" cy="48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23131</xdr:colOff>
      <xdr:row>9</xdr:row>
      <xdr:rowOff>29936</xdr:rowOff>
    </xdr:from>
    <xdr:to>
      <xdr:col>26</xdr:col>
      <xdr:colOff>596674</xdr:colOff>
      <xdr:row>40</xdr:row>
      <xdr:rowOff>52929</xdr:rowOff>
    </xdr:to>
    <xdr:pic>
      <xdr:nvPicPr>
        <xdr:cNvPr id="3" name="Obráze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0995931" y="1706336"/>
          <a:ext cx="5469393" cy="5776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0</xdr:colOff>
          <xdr:row>0</xdr:row>
          <xdr:rowOff>0</xdr:rowOff>
        </xdr:from>
        <xdr:to>
          <xdr:col>19</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7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228597</xdr:colOff>
      <xdr:row>0</xdr:row>
      <xdr:rowOff>0</xdr:rowOff>
    </xdr:from>
    <xdr:to>
      <xdr:col>2</xdr:col>
      <xdr:colOff>228597</xdr:colOff>
      <xdr:row>5</xdr:row>
      <xdr:rowOff>100830</xdr:rowOff>
    </xdr:to>
    <xdr:pic>
      <xdr:nvPicPr>
        <xdr:cNvPr id="18" name="Obrázek 17">
          <a:extLst>
            <a:ext uri="{FF2B5EF4-FFF2-40B4-BE49-F238E27FC236}">
              <a16:creationId xmlns:a16="http://schemas.microsoft.com/office/drawing/2014/main" id="{00000000-0008-0000-17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797" y="0"/>
          <a:ext cx="0" cy="992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194733</xdr:colOff>
      <xdr:row>0</xdr:row>
      <xdr:rowOff>0</xdr:rowOff>
    </xdr:from>
    <xdr:to>
      <xdr:col>5</xdr:col>
      <xdr:colOff>605878</xdr:colOff>
      <xdr:row>5</xdr:row>
      <xdr:rowOff>170105</xdr:rowOff>
    </xdr:to>
    <xdr:pic>
      <xdr:nvPicPr>
        <xdr:cNvPr id="19" name="Obrázek 18">
          <a:extLst>
            <a:ext uri="{FF2B5EF4-FFF2-40B4-BE49-F238E27FC236}">
              <a16:creationId xmlns:a16="http://schemas.microsoft.com/office/drawing/2014/main" id="{00000000-0008-0000-17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3933" y="0"/>
          <a:ext cx="2300905" cy="1059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578019</xdr:colOff>
      <xdr:row>62</xdr:row>
      <xdr:rowOff>28302</xdr:rowOff>
    </xdr:from>
    <xdr:to>
      <xdr:col>13</xdr:col>
      <xdr:colOff>331771</xdr:colOff>
      <xdr:row>79</xdr:row>
      <xdr:rowOff>122330</xdr:rowOff>
    </xdr:to>
    <xdr:pic>
      <xdr:nvPicPr>
        <xdr:cNvPr id="20" name="Obrázek 4">
          <a:extLst>
            <a:ext uri="{FF2B5EF4-FFF2-40B4-BE49-F238E27FC236}">
              <a16:creationId xmlns:a16="http://schemas.microsoft.com/office/drawing/2014/main" id="{00000000-0008-0000-17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8019" y="7887788"/>
          <a:ext cx="7678552" cy="3239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9524</xdr:colOff>
      <xdr:row>82</xdr:row>
      <xdr:rowOff>173304</xdr:rowOff>
    </xdr:from>
    <xdr:to>
      <xdr:col>5</xdr:col>
      <xdr:colOff>352425</xdr:colOff>
      <xdr:row>94</xdr:row>
      <xdr:rowOff>28575</xdr:rowOff>
    </xdr:to>
    <xdr:pic>
      <xdr:nvPicPr>
        <xdr:cNvPr id="4" name="Obráze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43924" y="7955229"/>
          <a:ext cx="2781301" cy="2026971"/>
        </a:xfrm>
        <a:prstGeom prst="rect">
          <a:avLst/>
        </a:prstGeom>
      </xdr:spPr>
    </xdr:pic>
    <xdr:clientData/>
  </xdr:twoCellAnchor>
  <xdr:twoCellAnchor editAs="oneCell">
    <xdr:from>
      <xdr:col>5</xdr:col>
      <xdr:colOff>609599</xdr:colOff>
      <xdr:row>83</xdr:row>
      <xdr:rowOff>0</xdr:rowOff>
    </xdr:from>
    <xdr:to>
      <xdr:col>10</xdr:col>
      <xdr:colOff>66674</xdr:colOff>
      <xdr:row>94</xdr:row>
      <xdr:rowOff>17019</xdr:rowOff>
    </xdr:to>
    <xdr:pic>
      <xdr:nvPicPr>
        <xdr:cNvPr id="5" name="Obráze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6"/>
        <a:stretch>
          <a:fillRect/>
        </a:stretch>
      </xdr:blipFill>
      <xdr:spPr>
        <a:xfrm>
          <a:off x="11582399" y="7962900"/>
          <a:ext cx="2505075" cy="2007744"/>
        </a:xfrm>
        <a:prstGeom prst="rect">
          <a:avLst/>
        </a:prstGeom>
      </xdr:spPr>
    </xdr:pic>
    <xdr:clientData/>
  </xdr:twoCellAnchor>
  <xdr:twoCellAnchor editAs="oneCell">
    <xdr:from>
      <xdr:col>1</xdr:col>
      <xdr:colOff>0</xdr:colOff>
      <xdr:row>93</xdr:row>
      <xdr:rowOff>152400</xdr:rowOff>
    </xdr:from>
    <xdr:to>
      <xdr:col>4</xdr:col>
      <xdr:colOff>104775</xdr:colOff>
      <xdr:row>1048576</xdr:row>
      <xdr:rowOff>66675</xdr:rowOff>
    </xdr:to>
    <xdr:pic>
      <xdr:nvPicPr>
        <xdr:cNvPr id="8" name="Obrázek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34400" y="9925050"/>
          <a:ext cx="1933575" cy="1362075"/>
        </a:xfrm>
        <a:prstGeom prst="rect">
          <a:avLst/>
        </a:prstGeom>
      </xdr:spPr>
    </xdr:pic>
    <xdr:clientData/>
  </xdr:twoCellAnchor>
  <xdr:twoCellAnchor editAs="oneCell">
    <xdr:from>
      <xdr:col>1</xdr:col>
      <xdr:colOff>12719</xdr:colOff>
      <xdr:row>9</xdr:row>
      <xdr:rowOff>15875</xdr:rowOff>
    </xdr:from>
    <xdr:to>
      <xdr:col>4</xdr:col>
      <xdr:colOff>13839</xdr:colOff>
      <xdr:row>20</xdr:row>
      <xdr:rowOff>99425</xdr:rowOff>
    </xdr:to>
    <xdr:pic>
      <xdr:nvPicPr>
        <xdr:cNvPr id="11" name="Obrázek 10">
          <a:extLst>
            <a:ext uri="{FF2B5EF4-FFF2-40B4-BE49-F238E27FC236}">
              <a16:creationId xmlns:a16="http://schemas.microsoft.com/office/drawing/2014/main" id="{00000000-0008-0000-1700-00000B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6400" r="21067"/>
        <a:stretch/>
      </xdr:blipFill>
      <xdr:spPr bwMode="auto">
        <a:xfrm>
          <a:off x="622319" y="1692275"/>
          <a:ext cx="182992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47636</xdr:colOff>
      <xdr:row>9</xdr:row>
      <xdr:rowOff>25400</xdr:rowOff>
    </xdr:from>
    <xdr:to>
      <xdr:col>7</xdr:col>
      <xdr:colOff>579398</xdr:colOff>
      <xdr:row>20</xdr:row>
      <xdr:rowOff>108950</xdr:rowOff>
    </xdr:to>
    <xdr:pic>
      <xdr:nvPicPr>
        <xdr:cNvPr id="12" name="Obrázek 11">
          <a:extLst>
            <a:ext uri="{FF2B5EF4-FFF2-40B4-BE49-F238E27FC236}">
              <a16:creationId xmlns:a16="http://schemas.microsoft.com/office/drawing/2014/main" id="{00000000-0008-0000-1700-00000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067" r="20666"/>
        <a:stretch/>
      </xdr:blipFill>
      <xdr:spPr bwMode="auto">
        <a:xfrm>
          <a:off x="3095636" y="1701800"/>
          <a:ext cx="1750962"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38101</xdr:colOff>
      <xdr:row>9</xdr:row>
      <xdr:rowOff>31750</xdr:rowOff>
    </xdr:from>
    <xdr:to>
      <xdr:col>11</xdr:col>
      <xdr:colOff>560578</xdr:colOff>
      <xdr:row>20</xdr:row>
      <xdr:rowOff>115300</xdr:rowOff>
    </xdr:to>
    <xdr:pic>
      <xdr:nvPicPr>
        <xdr:cNvPr id="13" name="Obrázek 12">
          <a:extLst>
            <a:ext uri="{FF2B5EF4-FFF2-40B4-BE49-F238E27FC236}">
              <a16:creationId xmlns:a16="http://schemas.microsoft.com/office/drawing/2014/main" id="{00000000-0008-0000-1700-00000D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8667" r="21333"/>
        <a:stretch/>
      </xdr:blipFill>
      <xdr:spPr bwMode="auto">
        <a:xfrm>
          <a:off x="5524501" y="1708150"/>
          <a:ext cx="1741677"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31758</xdr:colOff>
      <xdr:row>9</xdr:row>
      <xdr:rowOff>44450</xdr:rowOff>
    </xdr:from>
    <xdr:to>
      <xdr:col>15</xdr:col>
      <xdr:colOff>605328</xdr:colOff>
      <xdr:row>20</xdr:row>
      <xdr:rowOff>128000</xdr:rowOff>
    </xdr:to>
    <xdr:pic>
      <xdr:nvPicPr>
        <xdr:cNvPr id="14" name="Obrázek 13">
          <a:extLst>
            <a:ext uri="{FF2B5EF4-FFF2-40B4-BE49-F238E27FC236}">
              <a16:creationId xmlns:a16="http://schemas.microsoft.com/office/drawing/2014/main" id="{00000000-0008-0000-1700-00000E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0532" r="18000"/>
        <a:stretch/>
      </xdr:blipFill>
      <xdr:spPr bwMode="auto">
        <a:xfrm>
          <a:off x="7956558" y="1720850"/>
          <a:ext cx="1792770"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542926</xdr:colOff>
      <xdr:row>27</xdr:row>
      <xdr:rowOff>152400</xdr:rowOff>
    </xdr:from>
    <xdr:to>
      <xdr:col>4</xdr:col>
      <xdr:colOff>52812</xdr:colOff>
      <xdr:row>39</xdr:row>
      <xdr:rowOff>140700</xdr:rowOff>
    </xdr:to>
    <xdr:pic>
      <xdr:nvPicPr>
        <xdr:cNvPr id="22" name="Obrázek 21">
          <a:extLst>
            <a:ext uri="{FF2B5EF4-FFF2-40B4-BE49-F238E27FC236}">
              <a16:creationId xmlns:a16="http://schemas.microsoft.com/office/drawing/2014/main" id="{00000000-0008-0000-1700-000016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9952" r="10143"/>
        <a:stretch/>
      </xdr:blipFill>
      <xdr:spPr bwMode="auto">
        <a:xfrm>
          <a:off x="542926" y="5238750"/>
          <a:ext cx="1948286"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xdr:colOff>
      <xdr:row>27</xdr:row>
      <xdr:rowOff>152400</xdr:rowOff>
    </xdr:from>
    <xdr:to>
      <xdr:col>7</xdr:col>
      <xdr:colOff>576901</xdr:colOff>
      <xdr:row>39</xdr:row>
      <xdr:rowOff>140700</xdr:rowOff>
    </xdr:to>
    <xdr:pic>
      <xdr:nvPicPr>
        <xdr:cNvPr id="23" name="Obrázek 22">
          <a:extLst>
            <a:ext uri="{FF2B5EF4-FFF2-40B4-BE49-F238E27FC236}">
              <a16:creationId xmlns:a16="http://schemas.microsoft.com/office/drawing/2014/main" id="{00000000-0008-0000-1700-000017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400" r="14800"/>
        <a:stretch/>
      </xdr:blipFill>
      <xdr:spPr bwMode="auto">
        <a:xfrm>
          <a:off x="3076575" y="5238750"/>
          <a:ext cx="1767526"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76200</xdr:colOff>
      <xdr:row>27</xdr:row>
      <xdr:rowOff>161925</xdr:rowOff>
    </xdr:from>
    <xdr:to>
      <xdr:col>11</xdr:col>
      <xdr:colOff>554938</xdr:colOff>
      <xdr:row>39</xdr:row>
      <xdr:rowOff>150225</xdr:rowOff>
    </xdr:to>
    <xdr:pic>
      <xdr:nvPicPr>
        <xdr:cNvPr id="24" name="Obrázek 23">
          <a:extLst>
            <a:ext uri="{FF2B5EF4-FFF2-40B4-BE49-F238E27FC236}">
              <a16:creationId xmlns:a16="http://schemas.microsoft.com/office/drawing/2014/main" id="{00000000-0008-0000-1700-000018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4500" r="16700"/>
        <a:stretch/>
      </xdr:blipFill>
      <xdr:spPr bwMode="auto">
        <a:xfrm>
          <a:off x="5562600" y="5248275"/>
          <a:ext cx="1697938"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85725</xdr:colOff>
      <xdr:row>27</xdr:row>
      <xdr:rowOff>161925</xdr:rowOff>
    </xdr:from>
    <xdr:to>
      <xdr:col>15</xdr:col>
      <xdr:colOff>529669</xdr:colOff>
      <xdr:row>39</xdr:row>
      <xdr:rowOff>150225</xdr:rowOff>
    </xdr:to>
    <xdr:pic>
      <xdr:nvPicPr>
        <xdr:cNvPr id="28" name="Obrázek 27">
          <a:extLst>
            <a:ext uri="{FF2B5EF4-FFF2-40B4-BE49-F238E27FC236}">
              <a16:creationId xmlns:a16="http://schemas.microsoft.com/office/drawing/2014/main" id="{00000000-0008-0000-1700-00001C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6500" r="15700"/>
        <a:stretch/>
      </xdr:blipFill>
      <xdr:spPr bwMode="auto">
        <a:xfrm>
          <a:off x="8010525" y="5248275"/>
          <a:ext cx="1663144"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581025</xdr:colOff>
      <xdr:row>43</xdr:row>
      <xdr:rowOff>152400</xdr:rowOff>
    </xdr:from>
    <xdr:to>
      <xdr:col>4</xdr:col>
      <xdr:colOff>59764</xdr:colOff>
      <xdr:row>55</xdr:row>
      <xdr:rowOff>140700</xdr:rowOff>
    </xdr:to>
    <xdr:pic>
      <xdr:nvPicPr>
        <xdr:cNvPr id="29" name="Obrázek 28">
          <a:extLst>
            <a:ext uri="{FF2B5EF4-FFF2-40B4-BE49-F238E27FC236}">
              <a16:creationId xmlns:a16="http://schemas.microsoft.com/office/drawing/2014/main" id="{00000000-0008-0000-1700-00001D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0800" r="14100"/>
        <a:stretch/>
      </xdr:blipFill>
      <xdr:spPr bwMode="auto">
        <a:xfrm>
          <a:off x="581025" y="8181975"/>
          <a:ext cx="1917139"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76201</xdr:colOff>
      <xdr:row>43</xdr:row>
      <xdr:rowOff>161925</xdr:rowOff>
    </xdr:from>
    <xdr:to>
      <xdr:col>7</xdr:col>
      <xdr:colOff>554392</xdr:colOff>
      <xdr:row>55</xdr:row>
      <xdr:rowOff>150225</xdr:rowOff>
    </xdr:to>
    <xdr:pic>
      <xdr:nvPicPr>
        <xdr:cNvPr id="30" name="Obrázek 29">
          <a:extLst>
            <a:ext uri="{FF2B5EF4-FFF2-40B4-BE49-F238E27FC236}">
              <a16:creationId xmlns:a16="http://schemas.microsoft.com/office/drawing/2014/main" id="{00000000-0008-0000-1700-00001E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9100" r="22100"/>
        <a:stretch/>
      </xdr:blipFill>
      <xdr:spPr bwMode="auto">
        <a:xfrm>
          <a:off x="3124201" y="8191500"/>
          <a:ext cx="1697391"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542925</xdr:colOff>
      <xdr:row>43</xdr:row>
      <xdr:rowOff>171450</xdr:rowOff>
    </xdr:from>
    <xdr:to>
      <xdr:col>12</xdr:col>
      <xdr:colOff>76699</xdr:colOff>
      <xdr:row>55</xdr:row>
      <xdr:rowOff>159750</xdr:rowOff>
    </xdr:to>
    <xdr:pic>
      <xdr:nvPicPr>
        <xdr:cNvPr id="31" name="Obrázek 30">
          <a:extLst>
            <a:ext uri="{FF2B5EF4-FFF2-40B4-BE49-F238E27FC236}">
              <a16:creationId xmlns:a16="http://schemas.microsoft.com/office/drawing/2014/main" id="{00000000-0008-0000-1700-00001F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5800" r="17500"/>
        <a:stretch/>
      </xdr:blipFill>
      <xdr:spPr bwMode="auto">
        <a:xfrm>
          <a:off x="5419725" y="8201025"/>
          <a:ext cx="1972174"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552449</xdr:colOff>
      <xdr:row>17</xdr:row>
      <xdr:rowOff>123825</xdr:rowOff>
    </xdr:from>
    <xdr:to>
      <xdr:col>23</xdr:col>
      <xdr:colOff>270076</xdr:colOff>
      <xdr:row>24</xdr:row>
      <xdr:rowOff>0</xdr:rowOff>
    </xdr:to>
    <xdr:pic>
      <xdr:nvPicPr>
        <xdr:cNvPr id="2" name="Obráze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9"/>
        <a:stretch>
          <a:fillRect/>
        </a:stretch>
      </xdr:blipFill>
      <xdr:spPr>
        <a:xfrm>
          <a:off x="10915649" y="3257550"/>
          <a:ext cx="3375227" cy="1228725"/>
        </a:xfrm>
        <a:prstGeom prst="rect">
          <a:avLst/>
        </a:prstGeom>
      </xdr:spPr>
    </xdr:pic>
    <xdr:clientData/>
  </xdr:twoCellAnchor>
  <xdr:twoCellAnchor>
    <xdr:from>
      <xdr:col>23</xdr:col>
      <xdr:colOff>219075</xdr:colOff>
      <xdr:row>17</xdr:row>
      <xdr:rowOff>114300</xdr:rowOff>
    </xdr:from>
    <xdr:to>
      <xdr:col>27</xdr:col>
      <xdr:colOff>180975</xdr:colOff>
      <xdr:row>24</xdr:row>
      <xdr:rowOff>38100</xdr:rowOff>
    </xdr:to>
    <xdr:sp macro="" textlink="">
      <xdr:nvSpPr>
        <xdr:cNvPr id="6" name="Obdélník 5">
          <a:extLst>
            <a:ext uri="{FF2B5EF4-FFF2-40B4-BE49-F238E27FC236}">
              <a16:creationId xmlns:a16="http://schemas.microsoft.com/office/drawing/2014/main" id="{00000000-0008-0000-1700-000006000000}"/>
            </a:ext>
          </a:extLst>
        </xdr:cNvPr>
        <xdr:cNvSpPr/>
      </xdr:nvSpPr>
      <xdr:spPr bwMode="auto">
        <a:xfrm>
          <a:off x="14239875" y="3248025"/>
          <a:ext cx="2438400" cy="1276350"/>
        </a:xfrm>
        <a:prstGeom prst="rect">
          <a:avLst/>
        </a:prstGeom>
        <a:solidFill>
          <a:schemeClr val="bg1"/>
        </a:solidFill>
        <a:ln>
          <a:headEnd type="none" w="med" len="med"/>
          <a:tailEnd type="none" w="med" len="med"/>
        </a:ln>
        <a:effectLst/>
      </xdr:spPr>
      <xdr:style>
        <a:lnRef idx="3">
          <a:schemeClr val="lt1"/>
        </a:lnRef>
        <a:fillRef idx="1">
          <a:schemeClr val="accent3"/>
        </a:fillRef>
        <a:effectRef idx="1">
          <a:schemeClr val="accent3"/>
        </a:effectRef>
        <a:fontRef idx="minor">
          <a:schemeClr val="lt1"/>
        </a:fontRef>
      </xdr:style>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9</xdr:col>
      <xdr:colOff>348615</xdr:colOff>
      <xdr:row>63</xdr:row>
      <xdr:rowOff>1906</xdr:rowOff>
    </xdr:from>
    <xdr:to>
      <xdr:col>13</xdr:col>
      <xdr:colOff>142875</xdr:colOff>
      <xdr:row>75</xdr:row>
      <xdr:rowOff>87634</xdr:rowOff>
    </xdr:to>
    <xdr:pic>
      <xdr:nvPicPr>
        <xdr:cNvPr id="10" name="Obrázek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769" t="2607" r="35504" b="33960"/>
        <a:stretch/>
      </xdr:blipFill>
      <xdr:spPr>
        <a:xfrm rot="5400000">
          <a:off x="5822631" y="11710990"/>
          <a:ext cx="2257428" cy="22326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32845</xdr:colOff>
          <xdr:row>33</xdr:row>
          <xdr:rowOff>32844</xdr:rowOff>
        </xdr:from>
        <xdr:to>
          <xdr:col>27</xdr:col>
          <xdr:colOff>248110</xdr:colOff>
          <xdr:row>41</xdr:row>
          <xdr:rowOff>20977</xdr:rowOff>
        </xdr:to>
        <xdr:pic>
          <xdr:nvPicPr>
            <xdr:cNvPr id="57" name="Obrázek 56">
              <a:extLst>
                <a:ext uri="{FF2B5EF4-FFF2-40B4-BE49-F238E27FC236}">
                  <a16:creationId xmlns:a16="http://schemas.microsoft.com/office/drawing/2014/main" id="{00000000-0008-0000-1800-000039000000}"/>
                </a:ext>
              </a:extLst>
            </xdr:cNvPr>
            <xdr:cNvPicPr>
              <a:picLocks noChangeAspect="1" noChangeArrowheads="1"/>
              <a:extLst>
                <a:ext uri="{84589F7E-364E-4C9E-8A38-B11213B215E9}">
                  <a14:cameraTool cellRange="Ram_1!$S$25" spid="_x0000_s487407"/>
                </a:ext>
              </a:extLst>
            </xdr:cNvPicPr>
          </xdr:nvPicPr>
          <xdr:blipFill>
            <a:blip xmlns:r="http://schemas.openxmlformats.org/officeDocument/2006/relationships" r:embed="rId1"/>
            <a:srcRect/>
            <a:stretch>
              <a:fillRect/>
            </a:stretch>
          </xdr:blipFill>
          <xdr:spPr bwMode="auto">
            <a:xfrm>
              <a:off x="7127328" y="6897413"/>
              <a:ext cx="2370630" cy="154611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oneCellAnchor>
        <xdr:from>
          <xdr:col>2</xdr:col>
          <xdr:colOff>0</xdr:colOff>
          <xdr:row>45</xdr:row>
          <xdr:rowOff>0</xdr:rowOff>
        </xdr:from>
        <xdr:ext cx="4953000" cy="5274469"/>
        <xdr:pic>
          <xdr:nvPicPr>
            <xdr:cNvPr id="58" name="Obrázek 57">
              <a:extLst>
                <a:ext uri="{FF2B5EF4-FFF2-40B4-BE49-F238E27FC236}">
                  <a16:creationId xmlns:a16="http://schemas.microsoft.com/office/drawing/2014/main" id="{00000000-0008-0000-1800-00003A000000}"/>
                </a:ext>
              </a:extLst>
            </xdr:cNvPr>
            <xdr:cNvPicPr>
              <a:picLocks noChangeAspect="1" noChangeArrowheads="1"/>
              <a:extLst>
                <a:ext uri="{84589F7E-364E-4C9E-8A38-B11213B215E9}">
                  <a14:cameraTool cellRange="Ram_2!$AA$6:$AP$28" spid="_x0000_s487408"/>
                </a:ext>
              </a:extLst>
            </xdr:cNvPicPr>
          </xdr:nvPicPr>
          <xdr:blipFill>
            <a:blip xmlns:r="http://schemas.openxmlformats.org/officeDocument/2006/relationships" r:embed="rId2"/>
            <a:srcRect/>
            <a:stretch>
              <a:fillRect/>
            </a:stretch>
          </xdr:blipFill>
          <xdr:spPr bwMode="auto">
            <a:xfrm>
              <a:off x="619125" y="9417844"/>
              <a:ext cx="4953000" cy="5274469"/>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0</xdr:colOff>
          <xdr:row>81</xdr:row>
          <xdr:rowOff>0</xdr:rowOff>
        </xdr:from>
        <xdr:ext cx="4953000" cy="5274469"/>
        <xdr:pic>
          <xdr:nvPicPr>
            <xdr:cNvPr id="60" name="Obrázek 59">
              <a:extLst>
                <a:ext uri="{FF2B5EF4-FFF2-40B4-BE49-F238E27FC236}">
                  <a16:creationId xmlns:a16="http://schemas.microsoft.com/office/drawing/2014/main" id="{00000000-0008-0000-1800-00003C000000}"/>
                </a:ext>
              </a:extLst>
            </xdr:cNvPr>
            <xdr:cNvPicPr>
              <a:picLocks noChangeAspect="1" noChangeArrowheads="1"/>
              <a:extLst>
                <a:ext uri="{84589F7E-364E-4C9E-8A38-B11213B215E9}">
                  <a14:cameraTool cellRange="Ram_3!$AA$6:$AP$28" spid="_x0000_s487409"/>
                </a:ext>
              </a:extLst>
            </xdr:cNvPicPr>
          </xdr:nvPicPr>
          <xdr:blipFill>
            <a:blip xmlns:r="http://schemas.openxmlformats.org/officeDocument/2006/relationships" r:embed="rId3"/>
            <a:srcRect/>
            <a:stretch>
              <a:fillRect/>
            </a:stretch>
          </xdr:blipFill>
          <xdr:spPr bwMode="auto">
            <a:xfrm>
              <a:off x="619125" y="16978313"/>
              <a:ext cx="4953000" cy="5274469"/>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0</xdr:colOff>
          <xdr:row>117</xdr:row>
          <xdr:rowOff>0</xdr:rowOff>
        </xdr:from>
        <xdr:ext cx="4953000" cy="5274469"/>
        <xdr:pic>
          <xdr:nvPicPr>
            <xdr:cNvPr id="62" name="Obrázek 61">
              <a:extLst>
                <a:ext uri="{FF2B5EF4-FFF2-40B4-BE49-F238E27FC236}">
                  <a16:creationId xmlns:a16="http://schemas.microsoft.com/office/drawing/2014/main" id="{00000000-0008-0000-1800-00003E000000}"/>
                </a:ext>
              </a:extLst>
            </xdr:cNvPr>
            <xdr:cNvPicPr>
              <a:picLocks noChangeAspect="1" noChangeArrowheads="1"/>
              <a:extLst>
                <a:ext uri="{84589F7E-364E-4C9E-8A38-B11213B215E9}">
                  <a14:cameraTool cellRange="Ram_4!$AA$6:$AP$28" spid="_x0000_s487410"/>
                </a:ext>
              </a:extLst>
            </xdr:cNvPicPr>
          </xdr:nvPicPr>
          <xdr:blipFill>
            <a:blip xmlns:r="http://schemas.openxmlformats.org/officeDocument/2006/relationships" r:embed="rId4"/>
            <a:srcRect/>
            <a:stretch>
              <a:fillRect/>
            </a:stretch>
          </xdr:blipFill>
          <xdr:spPr bwMode="auto">
            <a:xfrm>
              <a:off x="619125" y="24538781"/>
              <a:ext cx="4953000" cy="5274469"/>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0</xdr:colOff>
          <xdr:row>153</xdr:row>
          <xdr:rowOff>0</xdr:rowOff>
        </xdr:from>
        <xdr:ext cx="4953000" cy="5274469"/>
        <xdr:pic>
          <xdr:nvPicPr>
            <xdr:cNvPr id="64" name="Obrázek 63">
              <a:extLst>
                <a:ext uri="{FF2B5EF4-FFF2-40B4-BE49-F238E27FC236}">
                  <a16:creationId xmlns:a16="http://schemas.microsoft.com/office/drawing/2014/main" id="{00000000-0008-0000-1800-000040000000}"/>
                </a:ext>
              </a:extLst>
            </xdr:cNvPr>
            <xdr:cNvPicPr>
              <a:picLocks noChangeAspect="1" noChangeArrowheads="1"/>
              <a:extLst>
                <a:ext uri="{84589F7E-364E-4C9E-8A38-B11213B215E9}">
                  <a14:cameraTool cellRange="Ram_5!$AA$6:$AP$28" spid="_x0000_s487411"/>
                </a:ext>
              </a:extLst>
            </xdr:cNvPicPr>
          </xdr:nvPicPr>
          <xdr:blipFill>
            <a:blip xmlns:r="http://schemas.openxmlformats.org/officeDocument/2006/relationships" r:embed="rId5"/>
            <a:srcRect/>
            <a:stretch>
              <a:fillRect/>
            </a:stretch>
          </xdr:blipFill>
          <xdr:spPr bwMode="auto">
            <a:xfrm>
              <a:off x="619125" y="32099250"/>
              <a:ext cx="4953000" cy="5274469"/>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xdr:col>
          <xdr:colOff>0</xdr:colOff>
          <xdr:row>189</xdr:row>
          <xdr:rowOff>0</xdr:rowOff>
        </xdr:from>
        <xdr:ext cx="4953000" cy="5274469"/>
        <xdr:pic>
          <xdr:nvPicPr>
            <xdr:cNvPr id="66" name="Obrázek 65">
              <a:extLst>
                <a:ext uri="{FF2B5EF4-FFF2-40B4-BE49-F238E27FC236}">
                  <a16:creationId xmlns:a16="http://schemas.microsoft.com/office/drawing/2014/main" id="{00000000-0008-0000-1800-000042000000}"/>
                </a:ext>
              </a:extLst>
            </xdr:cNvPr>
            <xdr:cNvPicPr>
              <a:picLocks noChangeAspect="1" noChangeArrowheads="1"/>
              <a:extLst>
                <a:ext uri="{84589F7E-364E-4C9E-8A38-B11213B215E9}">
                  <a14:cameraTool cellRange="Ram_6!$AA$6:$AP$28" spid="_x0000_s487412"/>
                </a:ext>
              </a:extLst>
            </xdr:cNvPicPr>
          </xdr:nvPicPr>
          <xdr:blipFill>
            <a:blip xmlns:r="http://schemas.openxmlformats.org/officeDocument/2006/relationships" r:embed="rId6"/>
            <a:srcRect/>
            <a:stretch>
              <a:fillRect/>
            </a:stretch>
          </xdr:blipFill>
          <xdr:spPr bwMode="auto">
            <a:xfrm>
              <a:off x="619125" y="39659719"/>
              <a:ext cx="4953000" cy="5274469"/>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22</xdr:col>
          <xdr:colOff>30940</xdr:colOff>
          <xdr:row>224</xdr:row>
          <xdr:rowOff>0</xdr:rowOff>
        </xdr:from>
        <xdr:ext cx="285750" cy="228600"/>
        <xdr:pic>
          <xdr:nvPicPr>
            <xdr:cNvPr id="69" name="Obrázek 68">
              <a:extLst>
                <a:ext uri="{FF2B5EF4-FFF2-40B4-BE49-F238E27FC236}">
                  <a16:creationId xmlns:a16="http://schemas.microsoft.com/office/drawing/2014/main" id="{00000000-0008-0000-1800-000045000000}"/>
                </a:ext>
              </a:extLst>
            </xdr:cNvPr>
            <xdr:cNvPicPr>
              <a:picLocks noChangeAspect="1" noChangeArrowheads="1"/>
              <a:extLst>
                <a:ext uri="{84589F7E-364E-4C9E-8A38-B11213B215E9}">
                  <a14:cameraTool cellRange="Ram_1!$S$25" spid="_x0000_s487413"/>
                </a:ext>
              </a:extLst>
            </xdr:cNvPicPr>
          </xdr:nvPicPr>
          <xdr:blipFill>
            <a:blip xmlns:r="http://schemas.openxmlformats.org/officeDocument/2006/relationships" r:embed="rId7"/>
            <a:srcRect/>
            <a:stretch>
              <a:fillRect/>
            </a:stretch>
          </xdr:blipFill>
          <xdr:spPr bwMode="auto">
            <a:xfrm>
              <a:off x="7079440" y="46358175"/>
              <a:ext cx="285750" cy="22860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27</xdr:col>
          <xdr:colOff>209550</xdr:colOff>
          <xdr:row>76</xdr:row>
          <xdr:rowOff>248986</xdr:rowOff>
        </xdr:to>
        <xdr:pic>
          <xdr:nvPicPr>
            <xdr:cNvPr id="70" name="Obrázek 69">
              <a:extLst>
                <a:ext uri="{FF2B5EF4-FFF2-40B4-BE49-F238E27FC236}">
                  <a16:creationId xmlns:a16="http://schemas.microsoft.com/office/drawing/2014/main" id="{00000000-0008-0000-1800-000046000000}"/>
                </a:ext>
              </a:extLst>
            </xdr:cNvPr>
            <xdr:cNvPicPr>
              <a:picLocks noChangeAspect="1" noChangeArrowheads="1"/>
              <a:extLst>
                <a:ext uri="{84589F7E-364E-4C9E-8A38-B11213B215E9}">
                  <a14:cameraTool cellRange="Ram_2!$S$25" spid="_x0000_s487414"/>
                </a:ext>
              </a:extLst>
            </xdr:cNvPicPr>
          </xdr:nvPicPr>
          <xdr:blipFill>
            <a:blip xmlns:r="http://schemas.openxmlformats.org/officeDocument/2006/relationships" r:embed="rId7"/>
            <a:srcRect/>
            <a:stretch>
              <a:fillRect/>
            </a:stretch>
          </xdr:blipFill>
          <xdr:spPr bwMode="auto">
            <a:xfrm>
              <a:off x="7094483" y="14375086"/>
              <a:ext cx="2364915" cy="155564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27</xdr:col>
          <xdr:colOff>209550</xdr:colOff>
          <xdr:row>112</xdr:row>
          <xdr:rowOff>245176</xdr:rowOff>
        </xdr:to>
        <xdr:pic>
          <xdr:nvPicPr>
            <xdr:cNvPr id="71" name="Obrázek 70">
              <a:extLst>
                <a:ext uri="{FF2B5EF4-FFF2-40B4-BE49-F238E27FC236}">
                  <a16:creationId xmlns:a16="http://schemas.microsoft.com/office/drawing/2014/main" id="{00000000-0008-0000-1800-000047000000}"/>
                </a:ext>
              </a:extLst>
            </xdr:cNvPr>
            <xdr:cNvPicPr>
              <a:picLocks noChangeAspect="1" noChangeArrowheads="1"/>
              <a:extLst>
                <a:ext uri="{84589F7E-364E-4C9E-8A38-B11213B215E9}">
                  <a14:cameraTool cellRange="Ram_3!$S$25" spid="_x0000_s487415"/>
                </a:ext>
              </a:extLst>
            </xdr:cNvPicPr>
          </xdr:nvPicPr>
          <xdr:blipFill>
            <a:blip xmlns:r="http://schemas.openxmlformats.org/officeDocument/2006/relationships" r:embed="rId7"/>
            <a:srcRect/>
            <a:stretch>
              <a:fillRect/>
            </a:stretch>
          </xdr:blipFill>
          <xdr:spPr bwMode="auto">
            <a:xfrm>
              <a:off x="7094483" y="21885603"/>
              <a:ext cx="2357295" cy="154802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27</xdr:col>
          <xdr:colOff>209550</xdr:colOff>
          <xdr:row>148</xdr:row>
          <xdr:rowOff>248986</xdr:rowOff>
        </xdr:to>
        <xdr:pic>
          <xdr:nvPicPr>
            <xdr:cNvPr id="72" name="Obrázek 71">
              <a:extLst>
                <a:ext uri="{FF2B5EF4-FFF2-40B4-BE49-F238E27FC236}">
                  <a16:creationId xmlns:a16="http://schemas.microsoft.com/office/drawing/2014/main" id="{00000000-0008-0000-1800-000048000000}"/>
                </a:ext>
              </a:extLst>
            </xdr:cNvPr>
            <xdr:cNvPicPr>
              <a:picLocks noChangeAspect="1" noChangeArrowheads="1"/>
              <a:extLst>
                <a:ext uri="{84589F7E-364E-4C9E-8A38-B11213B215E9}">
                  <a14:cameraTool cellRange="Ram_4!$S$25" spid="_x0000_s487416"/>
                </a:ext>
              </a:extLst>
            </xdr:cNvPicPr>
          </xdr:nvPicPr>
          <xdr:blipFill>
            <a:blip xmlns:r="http://schemas.openxmlformats.org/officeDocument/2006/relationships" r:embed="rId7"/>
            <a:srcRect/>
            <a:stretch>
              <a:fillRect/>
            </a:stretch>
          </xdr:blipFill>
          <xdr:spPr bwMode="auto">
            <a:xfrm>
              <a:off x="7094483" y="29396121"/>
              <a:ext cx="2361105" cy="155183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27</xdr:col>
          <xdr:colOff>209550</xdr:colOff>
          <xdr:row>184</xdr:row>
          <xdr:rowOff>245176</xdr:rowOff>
        </xdr:to>
        <xdr:pic>
          <xdr:nvPicPr>
            <xdr:cNvPr id="73" name="Obrázek 72">
              <a:extLst>
                <a:ext uri="{FF2B5EF4-FFF2-40B4-BE49-F238E27FC236}">
                  <a16:creationId xmlns:a16="http://schemas.microsoft.com/office/drawing/2014/main" id="{00000000-0008-0000-1800-000049000000}"/>
                </a:ext>
              </a:extLst>
            </xdr:cNvPr>
            <xdr:cNvPicPr>
              <a:picLocks noChangeAspect="1" noChangeArrowheads="1"/>
              <a:extLst>
                <a:ext uri="{84589F7E-364E-4C9E-8A38-B11213B215E9}">
                  <a14:cameraTool cellRange="Ram_5!$S$25" spid="_x0000_s487417"/>
                </a:ext>
              </a:extLst>
            </xdr:cNvPicPr>
          </xdr:nvPicPr>
          <xdr:blipFill>
            <a:blip xmlns:r="http://schemas.openxmlformats.org/officeDocument/2006/relationships" r:embed="rId7"/>
            <a:srcRect/>
            <a:stretch>
              <a:fillRect/>
            </a:stretch>
          </xdr:blipFill>
          <xdr:spPr bwMode="auto">
            <a:xfrm>
              <a:off x="7094483" y="36906638"/>
              <a:ext cx="2361105" cy="155183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oneCellAnchor>
        <xdr:from>
          <xdr:col>2</xdr:col>
          <xdr:colOff>0</xdr:colOff>
          <xdr:row>9</xdr:row>
          <xdr:rowOff>0</xdr:rowOff>
        </xdr:from>
        <xdr:ext cx="4953000" cy="5274469"/>
        <xdr:pic>
          <xdr:nvPicPr>
            <xdr:cNvPr id="75" name="Obrázek 74">
              <a:extLst>
                <a:ext uri="{FF2B5EF4-FFF2-40B4-BE49-F238E27FC236}">
                  <a16:creationId xmlns:a16="http://schemas.microsoft.com/office/drawing/2014/main" id="{00000000-0008-0000-1800-00004B000000}"/>
                </a:ext>
              </a:extLst>
            </xdr:cNvPr>
            <xdr:cNvPicPr>
              <a:picLocks noChangeAspect="1" noChangeArrowheads="1"/>
              <a:extLst>
                <a:ext uri="{84589F7E-364E-4C9E-8A38-B11213B215E9}">
                  <a14:cameraTool cellRange="Ram_1!$AA$6:$AP$28" spid="_x0000_s487418"/>
                </a:ext>
              </a:extLst>
            </xdr:cNvPicPr>
          </xdr:nvPicPr>
          <xdr:blipFill>
            <a:blip xmlns:r="http://schemas.openxmlformats.org/officeDocument/2006/relationships" r:embed="rId8"/>
            <a:srcRect/>
            <a:stretch>
              <a:fillRect/>
            </a:stretch>
          </xdr:blipFill>
          <xdr:spPr bwMode="auto">
            <a:xfrm>
              <a:off x="619125" y="1857375"/>
              <a:ext cx="4953000" cy="5274469"/>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27</xdr:col>
          <xdr:colOff>209550</xdr:colOff>
          <xdr:row>220</xdr:row>
          <xdr:rowOff>248985</xdr:rowOff>
        </xdr:to>
        <xdr:pic>
          <xdr:nvPicPr>
            <xdr:cNvPr id="76" name="Obrázek 75">
              <a:extLst>
                <a:ext uri="{FF2B5EF4-FFF2-40B4-BE49-F238E27FC236}">
                  <a16:creationId xmlns:a16="http://schemas.microsoft.com/office/drawing/2014/main" id="{00000000-0008-0000-1800-00004C000000}"/>
                </a:ext>
              </a:extLst>
            </xdr:cNvPr>
            <xdr:cNvPicPr>
              <a:picLocks noChangeAspect="1" noChangeArrowheads="1"/>
              <a:extLst>
                <a:ext uri="{84589F7E-364E-4C9E-8A38-B11213B215E9}">
                  <a14:cameraTool cellRange="Ram_6!$S$25" spid="_x0000_s487419"/>
                </a:ext>
              </a:extLst>
            </xdr:cNvPicPr>
          </xdr:nvPicPr>
          <xdr:blipFill>
            <a:blip xmlns:r="http://schemas.openxmlformats.org/officeDocument/2006/relationships" r:embed="rId1"/>
            <a:srcRect/>
            <a:stretch>
              <a:fillRect/>
            </a:stretch>
          </xdr:blipFill>
          <xdr:spPr bwMode="auto">
            <a:xfrm>
              <a:off x="7143750" y="44731781"/>
              <a:ext cx="2358390" cy="149533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53340</xdr:colOff>
          <xdr:row>3</xdr:row>
          <xdr:rowOff>68580</xdr:rowOff>
        </xdr:from>
        <xdr:to>
          <xdr:col>42</xdr:col>
          <xdr:colOff>525780</xdr:colOff>
          <xdr:row>5</xdr:row>
          <xdr:rowOff>45720</xdr:rowOff>
        </xdr:to>
        <xdr:sp macro="" textlink="">
          <xdr:nvSpPr>
            <xdr:cNvPr id="486431" name="Check Box 2079" hidden="1">
              <a:extLst>
                <a:ext uri="{63B3BB69-23CF-44E3-9099-C40C66FF867C}">
                  <a14:compatExt spid="_x0000_s486431"/>
                </a:ext>
                <a:ext uri="{FF2B5EF4-FFF2-40B4-BE49-F238E27FC236}">
                  <a16:creationId xmlns:a16="http://schemas.microsoft.com/office/drawing/2014/main" id="{00000000-0008-0000-1800-00001F6C0700}"/>
                </a:ext>
              </a:extLst>
            </xdr:cNvPr>
            <xdr:cNvSpPr/>
          </xdr:nvSpPr>
          <xdr:spPr bwMode="auto">
            <a:xfrm>
              <a:off x="0" y="0"/>
              <a:ext cx="0" cy="0"/>
            </a:xfrm>
            <a:prstGeom prst="rect">
              <a:avLst/>
            </a:prstGeom>
            <a:solidFill>
              <a:srgbClr val="FFFFFF" mc:Ignorable="a14" a14:legacySpreadsheetColorIndex="9"/>
            </a:solidFill>
            <a:ln w="317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33</xdr:row>
          <xdr:rowOff>30480</xdr:rowOff>
        </xdr:from>
        <xdr:to>
          <xdr:col>27</xdr:col>
          <xdr:colOff>251460</xdr:colOff>
          <xdr:row>41</xdr:row>
          <xdr:rowOff>22860</xdr:rowOff>
        </xdr:to>
        <xdr:pic>
          <xdr:nvPicPr>
            <xdr:cNvPr id="487095" name="Obrázek 56">
              <a:extLst>
                <a:ext uri="{FF2B5EF4-FFF2-40B4-BE49-F238E27FC236}">
                  <a16:creationId xmlns:a16="http://schemas.microsoft.com/office/drawing/2014/main" id="{00000000-0008-0000-1800-0000B76E0700}"/>
                </a:ext>
              </a:extLst>
            </xdr:cNvPr>
            <xdr:cNvPicPr>
              <a:picLocks noChangeAspect="1" noChangeArrowheads="1"/>
              <a:extLst>
                <a:ext uri="{84589F7E-364E-4C9E-8A38-B11213B215E9}">
                  <a14:cameraTool cellRange="Ram_1!$S$25" spid="_x0000_s487420"/>
                </a:ext>
              </a:extLst>
            </xdr:cNvPicPr>
          </xdr:nvPicPr>
          <xdr:blipFill>
            <a:blip xmlns:r="http://schemas.openxmlformats.org/officeDocument/2006/relationships" r:embed="rId1"/>
            <a:srcRect/>
            <a:stretch>
              <a:fillRect/>
            </a:stretch>
          </xdr:blipFill>
          <xdr:spPr bwMode="auto">
            <a:xfrm>
              <a:off x="7071360" y="6812280"/>
              <a:ext cx="2354580" cy="1539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70</xdr:row>
          <xdr:rowOff>121920</xdr:rowOff>
        </xdr:to>
        <xdr:pic>
          <xdr:nvPicPr>
            <xdr:cNvPr id="487096" name="Obrázek 57">
              <a:extLst>
                <a:ext uri="{FF2B5EF4-FFF2-40B4-BE49-F238E27FC236}">
                  <a16:creationId xmlns:a16="http://schemas.microsoft.com/office/drawing/2014/main" id="{00000000-0008-0000-1800-0000B86E0700}"/>
                </a:ext>
              </a:extLst>
            </xdr:cNvPr>
            <xdr:cNvPicPr>
              <a:picLocks noChangeAspect="1" noChangeArrowheads="1"/>
              <a:extLst>
                <a:ext uri="{84589F7E-364E-4C9E-8A38-B11213B215E9}">
                  <a14:cameraTool cellRange="Ram_2!$AA$6:$AP$28" spid="_x0000_s487421"/>
                </a:ext>
              </a:extLst>
            </xdr:cNvPicPr>
          </xdr:nvPicPr>
          <xdr:blipFill>
            <a:blip xmlns:r="http://schemas.openxmlformats.org/officeDocument/2006/relationships" r:embed="rId9"/>
            <a:srcRect/>
            <a:stretch>
              <a:fillRect/>
            </a:stretch>
          </xdr:blipFill>
          <xdr:spPr bwMode="auto">
            <a:xfrm>
              <a:off x="609600" y="9319260"/>
              <a:ext cx="4945380" cy="5196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106</xdr:row>
          <xdr:rowOff>121920</xdr:rowOff>
        </xdr:to>
        <xdr:pic>
          <xdr:nvPicPr>
            <xdr:cNvPr id="487097" name="Obrázek 59">
              <a:extLst>
                <a:ext uri="{FF2B5EF4-FFF2-40B4-BE49-F238E27FC236}">
                  <a16:creationId xmlns:a16="http://schemas.microsoft.com/office/drawing/2014/main" id="{00000000-0008-0000-1800-0000B96E0700}"/>
                </a:ext>
              </a:extLst>
            </xdr:cNvPr>
            <xdr:cNvPicPr>
              <a:picLocks noChangeAspect="1" noChangeArrowheads="1"/>
              <a:extLst>
                <a:ext uri="{84589F7E-364E-4C9E-8A38-B11213B215E9}">
                  <a14:cameraTool cellRange="Ram_3!$AA$6:$AP$28" spid="_x0000_s487422"/>
                </a:ext>
              </a:extLst>
            </xdr:cNvPicPr>
          </xdr:nvPicPr>
          <xdr:blipFill>
            <a:blip xmlns:r="http://schemas.openxmlformats.org/officeDocument/2006/relationships" r:embed="rId10"/>
            <a:srcRect/>
            <a:stretch>
              <a:fillRect/>
            </a:stretch>
          </xdr:blipFill>
          <xdr:spPr bwMode="auto">
            <a:xfrm>
              <a:off x="609600" y="16748760"/>
              <a:ext cx="4945380" cy="5196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142</xdr:row>
          <xdr:rowOff>121920</xdr:rowOff>
        </xdr:to>
        <xdr:pic>
          <xdr:nvPicPr>
            <xdr:cNvPr id="487098" name="Obrázek 61">
              <a:extLst>
                <a:ext uri="{FF2B5EF4-FFF2-40B4-BE49-F238E27FC236}">
                  <a16:creationId xmlns:a16="http://schemas.microsoft.com/office/drawing/2014/main" id="{00000000-0008-0000-1800-0000BA6E0700}"/>
                </a:ext>
              </a:extLst>
            </xdr:cNvPr>
            <xdr:cNvPicPr>
              <a:picLocks noChangeAspect="1" noChangeArrowheads="1"/>
              <a:extLst>
                <a:ext uri="{84589F7E-364E-4C9E-8A38-B11213B215E9}">
                  <a14:cameraTool cellRange="Ram_4!$AA$6:$AP$28" spid="_x0000_s487423"/>
                </a:ext>
              </a:extLst>
            </xdr:cNvPicPr>
          </xdr:nvPicPr>
          <xdr:blipFill>
            <a:blip xmlns:r="http://schemas.openxmlformats.org/officeDocument/2006/relationships" r:embed="rId11"/>
            <a:srcRect/>
            <a:stretch>
              <a:fillRect/>
            </a:stretch>
          </xdr:blipFill>
          <xdr:spPr bwMode="auto">
            <a:xfrm>
              <a:off x="609600" y="24178260"/>
              <a:ext cx="4945380" cy="5196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178</xdr:row>
          <xdr:rowOff>121920</xdr:rowOff>
        </xdr:to>
        <xdr:pic>
          <xdr:nvPicPr>
            <xdr:cNvPr id="487099" name="Obrázek 63">
              <a:extLst>
                <a:ext uri="{FF2B5EF4-FFF2-40B4-BE49-F238E27FC236}">
                  <a16:creationId xmlns:a16="http://schemas.microsoft.com/office/drawing/2014/main" id="{00000000-0008-0000-1800-0000BB6E0700}"/>
                </a:ext>
              </a:extLst>
            </xdr:cNvPr>
            <xdr:cNvPicPr>
              <a:picLocks noChangeAspect="1" noChangeArrowheads="1"/>
              <a:extLst>
                <a:ext uri="{84589F7E-364E-4C9E-8A38-B11213B215E9}">
                  <a14:cameraTool cellRange="Ram_5!$AA$6:$AP$28" spid="_x0000_s525312"/>
                </a:ext>
              </a:extLst>
            </xdr:cNvPicPr>
          </xdr:nvPicPr>
          <xdr:blipFill>
            <a:blip xmlns:r="http://schemas.openxmlformats.org/officeDocument/2006/relationships" r:embed="rId12"/>
            <a:srcRect/>
            <a:stretch>
              <a:fillRect/>
            </a:stretch>
          </xdr:blipFill>
          <xdr:spPr bwMode="auto">
            <a:xfrm>
              <a:off x="609600" y="31607760"/>
              <a:ext cx="4945380" cy="5196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214</xdr:row>
          <xdr:rowOff>121920</xdr:rowOff>
        </xdr:to>
        <xdr:pic>
          <xdr:nvPicPr>
            <xdr:cNvPr id="487100" name="Obrázek 65">
              <a:extLst>
                <a:ext uri="{FF2B5EF4-FFF2-40B4-BE49-F238E27FC236}">
                  <a16:creationId xmlns:a16="http://schemas.microsoft.com/office/drawing/2014/main" id="{00000000-0008-0000-1800-0000BC6E0700}"/>
                </a:ext>
              </a:extLst>
            </xdr:cNvPr>
            <xdr:cNvPicPr>
              <a:picLocks noChangeAspect="1" noChangeArrowheads="1"/>
              <a:extLst>
                <a:ext uri="{84589F7E-364E-4C9E-8A38-B11213B215E9}">
                  <a14:cameraTool cellRange="Ram_6!$AA$6:$AP$28" spid="_x0000_s525313"/>
                </a:ext>
              </a:extLst>
            </xdr:cNvPicPr>
          </xdr:nvPicPr>
          <xdr:blipFill>
            <a:blip xmlns:r="http://schemas.openxmlformats.org/officeDocument/2006/relationships" r:embed="rId13"/>
            <a:srcRect/>
            <a:stretch>
              <a:fillRect/>
            </a:stretch>
          </xdr:blipFill>
          <xdr:spPr bwMode="auto">
            <a:xfrm>
              <a:off x="609600" y="39037260"/>
              <a:ext cx="4945380" cy="5196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224</xdr:row>
          <xdr:rowOff>0</xdr:rowOff>
        </xdr:from>
        <xdr:to>
          <xdr:col>22</xdr:col>
          <xdr:colOff>320040</xdr:colOff>
          <xdr:row>225</xdr:row>
          <xdr:rowOff>45720</xdr:rowOff>
        </xdr:to>
        <xdr:pic>
          <xdr:nvPicPr>
            <xdr:cNvPr id="487101" name="Obrázek 68">
              <a:extLst>
                <a:ext uri="{FF2B5EF4-FFF2-40B4-BE49-F238E27FC236}">
                  <a16:creationId xmlns:a16="http://schemas.microsoft.com/office/drawing/2014/main" id="{00000000-0008-0000-1800-0000BD6E0700}"/>
                </a:ext>
              </a:extLst>
            </xdr:cNvPr>
            <xdr:cNvPicPr>
              <a:picLocks noChangeAspect="1" noChangeArrowheads="1"/>
              <a:extLst>
                <a:ext uri="{84589F7E-364E-4C9E-8A38-B11213B215E9}">
                  <a14:cameraTool cellRange="Ram_1!$S$25" spid="_x0000_s525314"/>
                </a:ext>
              </a:extLst>
            </xdr:cNvPicPr>
          </xdr:nvPicPr>
          <xdr:blipFill>
            <a:blip xmlns:r="http://schemas.openxmlformats.org/officeDocument/2006/relationships" r:embed="rId7"/>
            <a:srcRect/>
            <a:stretch>
              <a:fillRect/>
            </a:stretch>
          </xdr:blipFill>
          <xdr:spPr bwMode="auto">
            <a:xfrm>
              <a:off x="7071360" y="46024800"/>
              <a:ext cx="28956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27</xdr:col>
          <xdr:colOff>213360</xdr:colOff>
          <xdr:row>76</xdr:row>
          <xdr:rowOff>251460</xdr:rowOff>
        </xdr:to>
        <xdr:pic>
          <xdr:nvPicPr>
            <xdr:cNvPr id="487102" name="Obrázek 69">
              <a:extLst>
                <a:ext uri="{FF2B5EF4-FFF2-40B4-BE49-F238E27FC236}">
                  <a16:creationId xmlns:a16="http://schemas.microsoft.com/office/drawing/2014/main" id="{00000000-0008-0000-1800-0000BE6E0700}"/>
                </a:ext>
              </a:extLst>
            </xdr:cNvPr>
            <xdr:cNvPicPr>
              <a:picLocks noChangeAspect="1" noChangeArrowheads="1"/>
              <a:extLst>
                <a:ext uri="{84589F7E-364E-4C9E-8A38-B11213B215E9}">
                  <a14:cameraTool cellRange="Ram_2!$S$25" spid="_x0000_s525315"/>
                </a:ext>
              </a:extLst>
            </xdr:cNvPicPr>
          </xdr:nvPicPr>
          <xdr:blipFill>
            <a:blip xmlns:r="http://schemas.openxmlformats.org/officeDocument/2006/relationships" r:embed="rId7"/>
            <a:srcRect/>
            <a:stretch>
              <a:fillRect/>
            </a:stretch>
          </xdr:blipFill>
          <xdr:spPr bwMode="auto">
            <a:xfrm>
              <a:off x="7040880" y="14211300"/>
              <a:ext cx="2346960" cy="15316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27</xdr:col>
          <xdr:colOff>213360</xdr:colOff>
          <xdr:row>112</xdr:row>
          <xdr:rowOff>243840</xdr:rowOff>
        </xdr:to>
        <xdr:pic>
          <xdr:nvPicPr>
            <xdr:cNvPr id="487103" name="Obrázek 70">
              <a:extLst>
                <a:ext uri="{FF2B5EF4-FFF2-40B4-BE49-F238E27FC236}">
                  <a16:creationId xmlns:a16="http://schemas.microsoft.com/office/drawing/2014/main" id="{00000000-0008-0000-1800-0000BF6E0700}"/>
                </a:ext>
              </a:extLst>
            </xdr:cNvPr>
            <xdr:cNvPicPr>
              <a:picLocks noChangeAspect="1" noChangeArrowheads="1"/>
              <a:extLst>
                <a:ext uri="{84589F7E-364E-4C9E-8A38-B11213B215E9}">
                  <a14:cameraTool cellRange="Ram_3!$S$25" spid="_x0000_s525316"/>
                </a:ext>
              </a:extLst>
            </xdr:cNvPicPr>
          </xdr:nvPicPr>
          <xdr:blipFill>
            <a:blip xmlns:r="http://schemas.openxmlformats.org/officeDocument/2006/relationships" r:embed="rId7"/>
            <a:srcRect/>
            <a:stretch>
              <a:fillRect/>
            </a:stretch>
          </xdr:blipFill>
          <xdr:spPr bwMode="auto">
            <a:xfrm>
              <a:off x="7040880" y="21640800"/>
              <a:ext cx="2346960" cy="1524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27</xdr:col>
          <xdr:colOff>213360</xdr:colOff>
          <xdr:row>148</xdr:row>
          <xdr:rowOff>251460</xdr:rowOff>
        </xdr:to>
        <xdr:pic>
          <xdr:nvPicPr>
            <xdr:cNvPr id="487104" name="Obrázek 71">
              <a:extLst>
                <a:ext uri="{FF2B5EF4-FFF2-40B4-BE49-F238E27FC236}">
                  <a16:creationId xmlns:a16="http://schemas.microsoft.com/office/drawing/2014/main" id="{00000000-0008-0000-1800-0000C06E0700}"/>
                </a:ext>
              </a:extLst>
            </xdr:cNvPr>
            <xdr:cNvPicPr>
              <a:picLocks noChangeAspect="1" noChangeArrowheads="1"/>
              <a:extLst>
                <a:ext uri="{84589F7E-364E-4C9E-8A38-B11213B215E9}">
                  <a14:cameraTool cellRange="Ram_4!$S$25" spid="_x0000_s525317"/>
                </a:ext>
              </a:extLst>
            </xdr:cNvPicPr>
          </xdr:nvPicPr>
          <xdr:blipFill>
            <a:blip xmlns:r="http://schemas.openxmlformats.org/officeDocument/2006/relationships" r:embed="rId7"/>
            <a:srcRect/>
            <a:stretch>
              <a:fillRect/>
            </a:stretch>
          </xdr:blipFill>
          <xdr:spPr bwMode="auto">
            <a:xfrm>
              <a:off x="7040880" y="29070300"/>
              <a:ext cx="2346960" cy="15316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27</xdr:col>
          <xdr:colOff>213360</xdr:colOff>
          <xdr:row>184</xdr:row>
          <xdr:rowOff>243840</xdr:rowOff>
        </xdr:to>
        <xdr:pic>
          <xdr:nvPicPr>
            <xdr:cNvPr id="487105" name="Obrázek 72">
              <a:extLst>
                <a:ext uri="{FF2B5EF4-FFF2-40B4-BE49-F238E27FC236}">
                  <a16:creationId xmlns:a16="http://schemas.microsoft.com/office/drawing/2014/main" id="{00000000-0008-0000-1800-0000C16E0700}"/>
                </a:ext>
              </a:extLst>
            </xdr:cNvPr>
            <xdr:cNvPicPr>
              <a:picLocks noChangeAspect="1" noChangeArrowheads="1"/>
              <a:extLst>
                <a:ext uri="{84589F7E-364E-4C9E-8A38-B11213B215E9}">
                  <a14:cameraTool cellRange="Ram_5!$S$25" spid="_x0000_s525318"/>
                </a:ext>
              </a:extLst>
            </xdr:cNvPicPr>
          </xdr:nvPicPr>
          <xdr:blipFill>
            <a:blip xmlns:r="http://schemas.openxmlformats.org/officeDocument/2006/relationships" r:embed="rId7"/>
            <a:srcRect/>
            <a:stretch>
              <a:fillRect/>
            </a:stretch>
          </xdr:blipFill>
          <xdr:spPr bwMode="auto">
            <a:xfrm>
              <a:off x="7040880" y="36499800"/>
              <a:ext cx="2346960" cy="1524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34</xdr:row>
          <xdr:rowOff>121920</xdr:rowOff>
        </xdr:to>
        <xdr:pic>
          <xdr:nvPicPr>
            <xdr:cNvPr id="487106" name="Obrázek 74">
              <a:extLst>
                <a:ext uri="{FF2B5EF4-FFF2-40B4-BE49-F238E27FC236}">
                  <a16:creationId xmlns:a16="http://schemas.microsoft.com/office/drawing/2014/main" id="{00000000-0008-0000-1800-0000C26E0700}"/>
                </a:ext>
              </a:extLst>
            </xdr:cNvPr>
            <xdr:cNvPicPr>
              <a:picLocks noChangeAspect="1" noChangeArrowheads="1"/>
              <a:extLst>
                <a:ext uri="{84589F7E-364E-4C9E-8A38-B11213B215E9}">
                  <a14:cameraTool cellRange="Ram_1!$AA$6:$AP$28" spid="_x0000_s525319"/>
                </a:ext>
              </a:extLst>
            </xdr:cNvPicPr>
          </xdr:nvPicPr>
          <xdr:blipFill>
            <a:blip xmlns:r="http://schemas.openxmlformats.org/officeDocument/2006/relationships" r:embed="rId14"/>
            <a:srcRect/>
            <a:stretch>
              <a:fillRect/>
            </a:stretch>
          </xdr:blipFill>
          <xdr:spPr bwMode="auto">
            <a:xfrm>
              <a:off x="609600" y="1889760"/>
              <a:ext cx="4945380" cy="5196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27</xdr:col>
          <xdr:colOff>213360</xdr:colOff>
          <xdr:row>220</xdr:row>
          <xdr:rowOff>251460</xdr:rowOff>
        </xdr:to>
        <xdr:pic>
          <xdr:nvPicPr>
            <xdr:cNvPr id="487107" name="Obrázek 75">
              <a:extLst>
                <a:ext uri="{FF2B5EF4-FFF2-40B4-BE49-F238E27FC236}">
                  <a16:creationId xmlns:a16="http://schemas.microsoft.com/office/drawing/2014/main" id="{00000000-0008-0000-1800-0000C36E0700}"/>
                </a:ext>
              </a:extLst>
            </xdr:cNvPr>
            <xdr:cNvPicPr>
              <a:picLocks noChangeAspect="1" noChangeArrowheads="1"/>
              <a:extLst>
                <a:ext uri="{84589F7E-364E-4C9E-8A38-B11213B215E9}">
                  <a14:cameraTool cellRange="Ram_6!$S$25" spid="_x0000_s525320"/>
                </a:ext>
              </a:extLst>
            </xdr:cNvPicPr>
          </xdr:nvPicPr>
          <xdr:blipFill>
            <a:blip xmlns:r="http://schemas.openxmlformats.org/officeDocument/2006/relationships" r:embed="rId1"/>
            <a:srcRect/>
            <a:stretch>
              <a:fillRect/>
            </a:stretch>
          </xdr:blipFill>
          <xdr:spPr bwMode="auto">
            <a:xfrm>
              <a:off x="7040880" y="43929300"/>
              <a:ext cx="2346960" cy="153162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10</xdr:col>
      <xdr:colOff>1154654</xdr:colOff>
      <xdr:row>2</xdr:row>
      <xdr:rowOff>174364</xdr:rowOff>
    </xdr:from>
    <xdr:to>
      <xdr:col>11</xdr:col>
      <xdr:colOff>1627990</xdr:colOff>
      <xdr:row>2</xdr:row>
      <xdr:rowOff>723004</xdr:rowOff>
    </xdr:to>
    <xdr:pic>
      <xdr:nvPicPr>
        <xdr:cNvPr id="80195" name="Obrázek 3">
          <a:extLst>
            <a:ext uri="{FF2B5EF4-FFF2-40B4-BE49-F238E27FC236}">
              <a16:creationId xmlns:a16="http://schemas.microsoft.com/office/drawing/2014/main" id="{00000000-0008-0000-1900-0000433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493" t="7895" b="13158"/>
        <a:stretch>
          <a:fillRect/>
        </a:stretch>
      </xdr:blipFill>
      <xdr:spPr bwMode="auto">
        <a:xfrm>
          <a:off x="8819478" y="398482"/>
          <a:ext cx="2257312"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195839</xdr:colOff>
      <xdr:row>45</xdr:row>
      <xdr:rowOff>146831</xdr:rowOff>
    </xdr:from>
    <xdr:to>
      <xdr:col>8</xdr:col>
      <xdr:colOff>197827</xdr:colOff>
      <xdr:row>49</xdr:row>
      <xdr:rowOff>181273</xdr:rowOff>
    </xdr:to>
    <xdr:cxnSp macro="">
      <xdr:nvCxnSpPr>
        <xdr:cNvPr id="3" name="Přímá spojovací šipka 2">
          <a:extLst>
            <a:ext uri="{FF2B5EF4-FFF2-40B4-BE49-F238E27FC236}">
              <a16:creationId xmlns:a16="http://schemas.microsoft.com/office/drawing/2014/main" id="{00000000-0008-0000-1B00-000003000000}"/>
            </a:ext>
          </a:extLst>
        </xdr:cNvPr>
        <xdr:cNvCxnSpPr/>
      </xdr:nvCxnSpPr>
      <xdr:spPr>
        <a:xfrm flipH="1">
          <a:off x="2489166" y="8081596"/>
          <a:ext cx="1988" cy="109033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249408</xdr:colOff>
      <xdr:row>40</xdr:row>
      <xdr:rowOff>43961</xdr:rowOff>
    </xdr:from>
    <xdr:to>
      <xdr:col>22</xdr:col>
      <xdr:colOff>207636</xdr:colOff>
      <xdr:row>40</xdr:row>
      <xdr:rowOff>48067</xdr:rowOff>
    </xdr:to>
    <xdr:cxnSp macro="">
      <xdr:nvCxnSpPr>
        <xdr:cNvPr id="5" name="Přímá spojovací šipka 4">
          <a:extLst>
            <a:ext uri="{FF2B5EF4-FFF2-40B4-BE49-F238E27FC236}">
              <a16:creationId xmlns:a16="http://schemas.microsoft.com/office/drawing/2014/main" id="{00000000-0008-0000-1B00-000005000000}"/>
            </a:ext>
          </a:extLst>
        </xdr:cNvPr>
        <xdr:cNvCxnSpPr/>
      </xdr:nvCxnSpPr>
      <xdr:spPr>
        <a:xfrm>
          <a:off x="5202115" y="5685692"/>
          <a:ext cx="1123209"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205447</xdr:colOff>
      <xdr:row>28</xdr:row>
      <xdr:rowOff>113902</xdr:rowOff>
    </xdr:from>
    <xdr:to>
      <xdr:col>17</xdr:col>
      <xdr:colOff>210825</xdr:colOff>
      <xdr:row>39</xdr:row>
      <xdr:rowOff>154188</xdr:rowOff>
    </xdr:to>
    <xdr:cxnSp macro="">
      <xdr:nvCxnSpPr>
        <xdr:cNvPr id="25" name="Přímá spojovací šipka 24">
          <a:extLst>
            <a:ext uri="{FF2B5EF4-FFF2-40B4-BE49-F238E27FC236}">
              <a16:creationId xmlns:a16="http://schemas.microsoft.com/office/drawing/2014/main" id="{00000000-0008-0000-1B00-000019000000}"/>
            </a:ext>
          </a:extLst>
        </xdr:cNvPr>
        <xdr:cNvCxnSpPr/>
      </xdr:nvCxnSpPr>
      <xdr:spPr>
        <a:xfrm flipH="1">
          <a:off x="4542692" y="5777614"/>
          <a:ext cx="5378" cy="1446735"/>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209350</xdr:colOff>
      <xdr:row>40</xdr:row>
      <xdr:rowOff>97535</xdr:rowOff>
    </xdr:from>
    <xdr:to>
      <xdr:col>17</xdr:col>
      <xdr:colOff>211376</xdr:colOff>
      <xdr:row>49</xdr:row>
      <xdr:rowOff>179436</xdr:rowOff>
    </xdr:to>
    <xdr:cxnSp macro="">
      <xdr:nvCxnSpPr>
        <xdr:cNvPr id="29" name="Přímá spojovací šipka 28">
          <a:extLst>
            <a:ext uri="{FF2B5EF4-FFF2-40B4-BE49-F238E27FC236}">
              <a16:creationId xmlns:a16="http://schemas.microsoft.com/office/drawing/2014/main" id="{00000000-0008-0000-1B00-00001D000000}"/>
            </a:ext>
          </a:extLst>
        </xdr:cNvPr>
        <xdr:cNvCxnSpPr/>
      </xdr:nvCxnSpPr>
      <xdr:spPr>
        <a:xfrm rot="16200000" flipH="1">
          <a:off x="6011413" y="8794639"/>
          <a:ext cx="2029234"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233163</xdr:colOff>
      <xdr:row>45</xdr:row>
      <xdr:rowOff>74683</xdr:rowOff>
    </xdr:from>
    <xdr:to>
      <xdr:col>8</xdr:col>
      <xdr:colOff>146316</xdr:colOff>
      <xdr:row>45</xdr:row>
      <xdr:rowOff>75292</xdr:rowOff>
    </xdr:to>
    <xdr:cxnSp macro="">
      <xdr:nvCxnSpPr>
        <xdr:cNvPr id="40" name="Přímá spojovací šipka 39">
          <a:extLst>
            <a:ext uri="{FF2B5EF4-FFF2-40B4-BE49-F238E27FC236}">
              <a16:creationId xmlns:a16="http://schemas.microsoft.com/office/drawing/2014/main" id="{00000000-0008-0000-1B00-000028000000}"/>
            </a:ext>
          </a:extLst>
        </xdr:cNvPr>
        <xdr:cNvCxnSpPr/>
      </xdr:nvCxnSpPr>
      <xdr:spPr>
        <a:xfrm flipV="1">
          <a:off x="672485" y="8017068"/>
          <a:ext cx="1767170"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2406</xdr:colOff>
      <xdr:row>45</xdr:row>
      <xdr:rowOff>74426</xdr:rowOff>
    </xdr:from>
    <xdr:to>
      <xdr:col>15</xdr:col>
      <xdr:colOff>145411</xdr:colOff>
      <xdr:row>45</xdr:row>
      <xdr:rowOff>76014</xdr:rowOff>
    </xdr:to>
    <xdr:cxnSp macro="">
      <xdr:nvCxnSpPr>
        <xdr:cNvPr id="27" name="Přímá spojovací šipka 26">
          <a:extLst>
            <a:ext uri="{FF2B5EF4-FFF2-40B4-BE49-F238E27FC236}">
              <a16:creationId xmlns:a16="http://schemas.microsoft.com/office/drawing/2014/main" id="{00000000-0008-0000-1B00-00001B000000}"/>
            </a:ext>
          </a:extLst>
        </xdr:cNvPr>
        <xdr:cNvCxnSpPr/>
      </xdr:nvCxnSpPr>
      <xdr:spPr>
        <a:xfrm>
          <a:off x="2552468" y="8016811"/>
          <a:ext cx="1461528"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685800</xdr:colOff>
          <xdr:row>36</xdr:row>
          <xdr:rowOff>30480</xdr:rowOff>
        </xdr:from>
        <xdr:to>
          <xdr:col>26</xdr:col>
          <xdr:colOff>845820</xdr:colOff>
          <xdr:row>37</xdr:row>
          <xdr:rowOff>106680</xdr:rowOff>
        </xdr:to>
        <xdr:sp macro="" textlink="">
          <xdr:nvSpPr>
            <xdr:cNvPr id="16303" name="Check Box 1967" hidden="1">
              <a:extLst>
                <a:ext uri="{63B3BB69-23CF-44E3-9099-C40C66FF867C}">
                  <a14:compatExt spid="_x0000_s16303"/>
                </a:ext>
                <a:ext uri="{FF2B5EF4-FFF2-40B4-BE49-F238E27FC236}">
                  <a16:creationId xmlns:a16="http://schemas.microsoft.com/office/drawing/2014/main" id="{00000000-0008-0000-1B00-0000AF3F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28</xdr:col>
      <xdr:colOff>1059180</xdr:colOff>
      <xdr:row>2</xdr:row>
      <xdr:rowOff>137160</xdr:rowOff>
    </xdr:from>
    <xdr:to>
      <xdr:col>28</xdr:col>
      <xdr:colOff>3070188</xdr:colOff>
      <xdr:row>5</xdr:row>
      <xdr:rowOff>148590</xdr:rowOff>
    </xdr:to>
    <xdr:pic>
      <xdr:nvPicPr>
        <xdr:cNvPr id="119615" name="Obrázek 45">
          <a:extLst>
            <a:ext uri="{FF2B5EF4-FFF2-40B4-BE49-F238E27FC236}">
              <a16:creationId xmlns:a16="http://schemas.microsoft.com/office/drawing/2014/main" id="{00000000-0008-0000-1B00-00003FD3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493" t="7895" b="13158"/>
        <a:stretch>
          <a:fillRect/>
        </a:stretch>
      </xdr:blipFill>
      <xdr:spPr bwMode="auto">
        <a:xfrm>
          <a:off x="13807440" y="381000"/>
          <a:ext cx="211836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195839</xdr:colOff>
      <xdr:row>99</xdr:row>
      <xdr:rowOff>146831</xdr:rowOff>
    </xdr:from>
    <xdr:to>
      <xdr:col>8</xdr:col>
      <xdr:colOff>197827</xdr:colOff>
      <xdr:row>103</xdr:row>
      <xdr:rowOff>181273</xdr:rowOff>
    </xdr:to>
    <xdr:cxnSp macro="">
      <xdr:nvCxnSpPr>
        <xdr:cNvPr id="51" name="Přímá spojovací šipka 2">
          <a:extLst>
            <a:ext uri="{FF2B5EF4-FFF2-40B4-BE49-F238E27FC236}">
              <a16:creationId xmlns:a16="http://schemas.microsoft.com/office/drawing/2014/main" id="{00000000-0008-0000-1B00-000033000000}"/>
            </a:ext>
          </a:extLst>
        </xdr:cNvPr>
        <xdr:cNvCxnSpPr/>
      </xdr:nvCxnSpPr>
      <xdr:spPr>
        <a:xfrm flipH="1">
          <a:off x="5314686" y="7748902"/>
          <a:ext cx="1988" cy="117295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249408</xdr:colOff>
      <xdr:row>94</xdr:row>
      <xdr:rowOff>43961</xdr:rowOff>
    </xdr:from>
    <xdr:to>
      <xdr:col>22</xdr:col>
      <xdr:colOff>207636</xdr:colOff>
      <xdr:row>94</xdr:row>
      <xdr:rowOff>48067</xdr:rowOff>
    </xdr:to>
    <xdr:cxnSp macro="">
      <xdr:nvCxnSpPr>
        <xdr:cNvPr id="58" name="Přímá spojovací šipka 4">
          <a:extLst>
            <a:ext uri="{FF2B5EF4-FFF2-40B4-BE49-F238E27FC236}">
              <a16:creationId xmlns:a16="http://schemas.microsoft.com/office/drawing/2014/main" id="{00000000-0008-0000-1B00-00003A000000}"/>
            </a:ext>
          </a:extLst>
        </xdr:cNvPr>
        <xdr:cNvCxnSpPr/>
      </xdr:nvCxnSpPr>
      <xdr:spPr>
        <a:xfrm>
          <a:off x="7483926" y="6839208"/>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205447</xdr:colOff>
      <xdr:row>82</xdr:row>
      <xdr:rowOff>113902</xdr:rowOff>
    </xdr:from>
    <xdr:to>
      <xdr:col>17</xdr:col>
      <xdr:colOff>210825</xdr:colOff>
      <xdr:row>93</xdr:row>
      <xdr:rowOff>154188</xdr:rowOff>
    </xdr:to>
    <xdr:cxnSp macro="">
      <xdr:nvCxnSpPr>
        <xdr:cNvPr id="65" name="Přímá spojovací šipka 24">
          <a:extLst>
            <a:ext uri="{FF2B5EF4-FFF2-40B4-BE49-F238E27FC236}">
              <a16:creationId xmlns:a16="http://schemas.microsoft.com/office/drawing/2014/main" id="{00000000-0008-0000-1B00-000041000000}"/>
            </a:ext>
          </a:extLst>
        </xdr:cNvPr>
        <xdr:cNvCxnSpPr/>
      </xdr:nvCxnSpPr>
      <xdr:spPr>
        <a:xfrm flipH="1">
          <a:off x="7439965" y="5277573"/>
          <a:ext cx="5378" cy="1517674"/>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205540</xdr:colOff>
      <xdr:row>94</xdr:row>
      <xdr:rowOff>93725</xdr:rowOff>
    </xdr:from>
    <xdr:to>
      <xdr:col>17</xdr:col>
      <xdr:colOff>207566</xdr:colOff>
      <xdr:row>103</xdr:row>
      <xdr:rowOff>181341</xdr:rowOff>
    </xdr:to>
    <xdr:cxnSp macro="">
      <xdr:nvCxnSpPr>
        <xdr:cNvPr id="72" name="Přímá spojovací šipka 28">
          <a:extLst>
            <a:ext uri="{FF2B5EF4-FFF2-40B4-BE49-F238E27FC236}">
              <a16:creationId xmlns:a16="http://schemas.microsoft.com/office/drawing/2014/main" id="{00000000-0008-0000-1B00-000048000000}"/>
            </a:ext>
          </a:extLst>
        </xdr:cNvPr>
        <xdr:cNvCxnSpPr/>
      </xdr:nvCxnSpPr>
      <xdr:spPr>
        <a:xfrm rot="16200000" flipH="1">
          <a:off x="6424592" y="7904438"/>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233163</xdr:colOff>
      <xdr:row>99</xdr:row>
      <xdr:rowOff>74683</xdr:rowOff>
    </xdr:from>
    <xdr:to>
      <xdr:col>8</xdr:col>
      <xdr:colOff>146316</xdr:colOff>
      <xdr:row>99</xdr:row>
      <xdr:rowOff>75292</xdr:rowOff>
    </xdr:to>
    <xdr:cxnSp macro="">
      <xdr:nvCxnSpPr>
        <xdr:cNvPr id="79" name="Přímá spojovací šipka 39">
          <a:extLst>
            <a:ext uri="{FF2B5EF4-FFF2-40B4-BE49-F238E27FC236}">
              <a16:creationId xmlns:a16="http://schemas.microsoft.com/office/drawing/2014/main" id="{00000000-0008-0000-1B00-00004F000000}"/>
            </a:ext>
          </a:extLst>
        </xdr:cNvPr>
        <xdr:cNvCxnSpPr/>
      </xdr:nvCxnSpPr>
      <xdr:spPr>
        <a:xfrm flipV="1">
          <a:off x="2339869" y="7676754"/>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2406</xdr:colOff>
      <xdr:row>99</xdr:row>
      <xdr:rowOff>74426</xdr:rowOff>
    </xdr:from>
    <xdr:to>
      <xdr:col>15</xdr:col>
      <xdr:colOff>145411</xdr:colOff>
      <xdr:row>99</xdr:row>
      <xdr:rowOff>76014</xdr:rowOff>
    </xdr:to>
    <xdr:cxnSp macro="">
      <xdr:nvCxnSpPr>
        <xdr:cNvPr id="80" name="Přímá spojovací šipka 26">
          <a:extLst>
            <a:ext uri="{FF2B5EF4-FFF2-40B4-BE49-F238E27FC236}">
              <a16:creationId xmlns:a16="http://schemas.microsoft.com/office/drawing/2014/main" id="{00000000-0008-0000-1B00-000050000000}"/>
            </a:ext>
          </a:extLst>
        </xdr:cNvPr>
        <xdr:cNvCxnSpPr/>
      </xdr:nvCxnSpPr>
      <xdr:spPr>
        <a:xfrm>
          <a:off x="5372265" y="7676497"/>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601980</xdr:colOff>
          <xdr:row>90</xdr:row>
          <xdr:rowOff>22860</xdr:rowOff>
        </xdr:from>
        <xdr:to>
          <xdr:col>26</xdr:col>
          <xdr:colOff>723900</xdr:colOff>
          <xdr:row>91</xdr:row>
          <xdr:rowOff>0</xdr:rowOff>
        </xdr:to>
        <xdr:sp macro="" textlink="">
          <xdr:nvSpPr>
            <xdr:cNvPr id="54350" name="Check Box 8270" hidden="1">
              <a:extLst>
                <a:ext uri="{63B3BB69-23CF-44E3-9099-C40C66FF867C}">
                  <a14:compatExt spid="_x0000_s54350"/>
                </a:ext>
                <a:ext uri="{FF2B5EF4-FFF2-40B4-BE49-F238E27FC236}">
                  <a16:creationId xmlns:a16="http://schemas.microsoft.com/office/drawing/2014/main" id="{00000000-0008-0000-1B00-00004E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8</xdr:col>
      <xdr:colOff>195839</xdr:colOff>
      <xdr:row>153</xdr:row>
      <xdr:rowOff>146831</xdr:rowOff>
    </xdr:from>
    <xdr:to>
      <xdr:col>8</xdr:col>
      <xdr:colOff>197827</xdr:colOff>
      <xdr:row>157</xdr:row>
      <xdr:rowOff>181273</xdr:rowOff>
    </xdr:to>
    <xdr:cxnSp macro="">
      <xdr:nvCxnSpPr>
        <xdr:cNvPr id="81" name="Přímá spojovací šipka 2">
          <a:extLst>
            <a:ext uri="{FF2B5EF4-FFF2-40B4-BE49-F238E27FC236}">
              <a16:creationId xmlns:a16="http://schemas.microsoft.com/office/drawing/2014/main" id="{00000000-0008-0000-1B00-000051000000}"/>
            </a:ext>
          </a:extLst>
        </xdr:cNvPr>
        <xdr:cNvCxnSpPr/>
      </xdr:nvCxnSpPr>
      <xdr:spPr>
        <a:xfrm flipH="1">
          <a:off x="5314686" y="16337090"/>
          <a:ext cx="1988" cy="117295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249408</xdr:colOff>
      <xdr:row>148</xdr:row>
      <xdr:rowOff>43961</xdr:rowOff>
    </xdr:from>
    <xdr:to>
      <xdr:col>22</xdr:col>
      <xdr:colOff>207636</xdr:colOff>
      <xdr:row>148</xdr:row>
      <xdr:rowOff>48067</xdr:rowOff>
    </xdr:to>
    <xdr:cxnSp macro="">
      <xdr:nvCxnSpPr>
        <xdr:cNvPr id="82" name="Přímá spojovací šipka 4">
          <a:extLst>
            <a:ext uri="{FF2B5EF4-FFF2-40B4-BE49-F238E27FC236}">
              <a16:creationId xmlns:a16="http://schemas.microsoft.com/office/drawing/2014/main" id="{00000000-0008-0000-1B00-000052000000}"/>
            </a:ext>
          </a:extLst>
        </xdr:cNvPr>
        <xdr:cNvCxnSpPr/>
      </xdr:nvCxnSpPr>
      <xdr:spPr>
        <a:xfrm>
          <a:off x="7483926" y="15427396"/>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205447</xdr:colOff>
      <xdr:row>136</xdr:row>
      <xdr:rowOff>113902</xdr:rowOff>
    </xdr:from>
    <xdr:to>
      <xdr:col>17</xdr:col>
      <xdr:colOff>210825</xdr:colOff>
      <xdr:row>147</xdr:row>
      <xdr:rowOff>154188</xdr:rowOff>
    </xdr:to>
    <xdr:cxnSp macro="">
      <xdr:nvCxnSpPr>
        <xdr:cNvPr id="83" name="Přímá spojovací šipka 24">
          <a:extLst>
            <a:ext uri="{FF2B5EF4-FFF2-40B4-BE49-F238E27FC236}">
              <a16:creationId xmlns:a16="http://schemas.microsoft.com/office/drawing/2014/main" id="{00000000-0008-0000-1B00-000053000000}"/>
            </a:ext>
          </a:extLst>
        </xdr:cNvPr>
        <xdr:cNvCxnSpPr/>
      </xdr:nvCxnSpPr>
      <xdr:spPr>
        <a:xfrm flipH="1">
          <a:off x="7439965" y="13865761"/>
          <a:ext cx="5378" cy="1517674"/>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205540</xdr:colOff>
      <xdr:row>148</xdr:row>
      <xdr:rowOff>93725</xdr:rowOff>
    </xdr:from>
    <xdr:to>
      <xdr:col>17</xdr:col>
      <xdr:colOff>207566</xdr:colOff>
      <xdr:row>157</xdr:row>
      <xdr:rowOff>181341</xdr:rowOff>
    </xdr:to>
    <xdr:cxnSp macro="">
      <xdr:nvCxnSpPr>
        <xdr:cNvPr id="84" name="Přímá spojovací šipka 28">
          <a:extLst>
            <a:ext uri="{FF2B5EF4-FFF2-40B4-BE49-F238E27FC236}">
              <a16:creationId xmlns:a16="http://schemas.microsoft.com/office/drawing/2014/main" id="{00000000-0008-0000-1B00-000054000000}"/>
            </a:ext>
          </a:extLst>
        </xdr:cNvPr>
        <xdr:cNvCxnSpPr/>
      </xdr:nvCxnSpPr>
      <xdr:spPr>
        <a:xfrm rot="16200000" flipH="1">
          <a:off x="6424592" y="16492626"/>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233163</xdr:colOff>
      <xdr:row>153</xdr:row>
      <xdr:rowOff>74683</xdr:rowOff>
    </xdr:from>
    <xdr:to>
      <xdr:col>8</xdr:col>
      <xdr:colOff>146316</xdr:colOff>
      <xdr:row>153</xdr:row>
      <xdr:rowOff>75292</xdr:rowOff>
    </xdr:to>
    <xdr:cxnSp macro="">
      <xdr:nvCxnSpPr>
        <xdr:cNvPr id="85" name="Přímá spojovací šipka 39">
          <a:extLst>
            <a:ext uri="{FF2B5EF4-FFF2-40B4-BE49-F238E27FC236}">
              <a16:creationId xmlns:a16="http://schemas.microsoft.com/office/drawing/2014/main" id="{00000000-0008-0000-1B00-000055000000}"/>
            </a:ext>
          </a:extLst>
        </xdr:cNvPr>
        <xdr:cNvCxnSpPr/>
      </xdr:nvCxnSpPr>
      <xdr:spPr>
        <a:xfrm flipV="1">
          <a:off x="2339869" y="16264942"/>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2406</xdr:colOff>
      <xdr:row>153</xdr:row>
      <xdr:rowOff>74426</xdr:rowOff>
    </xdr:from>
    <xdr:to>
      <xdr:col>15</xdr:col>
      <xdr:colOff>145411</xdr:colOff>
      <xdr:row>153</xdr:row>
      <xdr:rowOff>76014</xdr:rowOff>
    </xdr:to>
    <xdr:cxnSp macro="">
      <xdr:nvCxnSpPr>
        <xdr:cNvPr id="86" name="Přímá spojovací šipka 26">
          <a:extLst>
            <a:ext uri="{FF2B5EF4-FFF2-40B4-BE49-F238E27FC236}">
              <a16:creationId xmlns:a16="http://schemas.microsoft.com/office/drawing/2014/main" id="{00000000-0008-0000-1B00-000056000000}"/>
            </a:ext>
          </a:extLst>
        </xdr:cNvPr>
        <xdr:cNvCxnSpPr/>
      </xdr:nvCxnSpPr>
      <xdr:spPr>
        <a:xfrm>
          <a:off x="5372265" y="16264685"/>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601980</xdr:colOff>
          <xdr:row>144</xdr:row>
          <xdr:rowOff>22860</xdr:rowOff>
        </xdr:from>
        <xdr:to>
          <xdr:col>26</xdr:col>
          <xdr:colOff>723900</xdr:colOff>
          <xdr:row>145</xdr:row>
          <xdr:rowOff>114300</xdr:rowOff>
        </xdr:to>
        <xdr:sp macro="" textlink="">
          <xdr:nvSpPr>
            <xdr:cNvPr id="54353" name="Check Box 8273" hidden="1">
              <a:extLst>
                <a:ext uri="{63B3BB69-23CF-44E3-9099-C40C66FF867C}">
                  <a14:compatExt spid="_x0000_s54353"/>
                </a:ext>
                <a:ext uri="{FF2B5EF4-FFF2-40B4-BE49-F238E27FC236}">
                  <a16:creationId xmlns:a16="http://schemas.microsoft.com/office/drawing/2014/main" id="{00000000-0008-0000-1B00-000051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8</xdr:col>
      <xdr:colOff>195839</xdr:colOff>
      <xdr:row>207</xdr:row>
      <xdr:rowOff>146831</xdr:rowOff>
    </xdr:from>
    <xdr:to>
      <xdr:col>8</xdr:col>
      <xdr:colOff>197827</xdr:colOff>
      <xdr:row>211</xdr:row>
      <xdr:rowOff>181273</xdr:rowOff>
    </xdr:to>
    <xdr:cxnSp macro="">
      <xdr:nvCxnSpPr>
        <xdr:cNvPr id="87" name="Přímá spojovací šipka 2">
          <a:extLst>
            <a:ext uri="{FF2B5EF4-FFF2-40B4-BE49-F238E27FC236}">
              <a16:creationId xmlns:a16="http://schemas.microsoft.com/office/drawing/2014/main" id="{00000000-0008-0000-1B00-000057000000}"/>
            </a:ext>
          </a:extLst>
        </xdr:cNvPr>
        <xdr:cNvCxnSpPr/>
      </xdr:nvCxnSpPr>
      <xdr:spPr>
        <a:xfrm flipH="1">
          <a:off x="5314686" y="24925278"/>
          <a:ext cx="1988" cy="1172960"/>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249408</xdr:colOff>
      <xdr:row>202</xdr:row>
      <xdr:rowOff>43961</xdr:rowOff>
    </xdr:from>
    <xdr:to>
      <xdr:col>22</xdr:col>
      <xdr:colOff>207636</xdr:colOff>
      <xdr:row>202</xdr:row>
      <xdr:rowOff>48067</xdr:rowOff>
    </xdr:to>
    <xdr:cxnSp macro="">
      <xdr:nvCxnSpPr>
        <xdr:cNvPr id="88" name="Přímá spojovací šipka 4">
          <a:extLst>
            <a:ext uri="{FF2B5EF4-FFF2-40B4-BE49-F238E27FC236}">
              <a16:creationId xmlns:a16="http://schemas.microsoft.com/office/drawing/2014/main" id="{00000000-0008-0000-1B00-000058000000}"/>
            </a:ext>
          </a:extLst>
        </xdr:cNvPr>
        <xdr:cNvCxnSpPr/>
      </xdr:nvCxnSpPr>
      <xdr:spPr>
        <a:xfrm>
          <a:off x="7483926" y="24015585"/>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205447</xdr:colOff>
      <xdr:row>190</xdr:row>
      <xdr:rowOff>113902</xdr:rowOff>
    </xdr:from>
    <xdr:to>
      <xdr:col>17</xdr:col>
      <xdr:colOff>210825</xdr:colOff>
      <xdr:row>201</xdr:row>
      <xdr:rowOff>154188</xdr:rowOff>
    </xdr:to>
    <xdr:cxnSp macro="">
      <xdr:nvCxnSpPr>
        <xdr:cNvPr id="89" name="Přímá spojovací šipka 24">
          <a:extLst>
            <a:ext uri="{FF2B5EF4-FFF2-40B4-BE49-F238E27FC236}">
              <a16:creationId xmlns:a16="http://schemas.microsoft.com/office/drawing/2014/main" id="{00000000-0008-0000-1B00-000059000000}"/>
            </a:ext>
          </a:extLst>
        </xdr:cNvPr>
        <xdr:cNvCxnSpPr/>
      </xdr:nvCxnSpPr>
      <xdr:spPr>
        <a:xfrm flipH="1">
          <a:off x="7439965" y="22453949"/>
          <a:ext cx="5378" cy="1517675"/>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205540</xdr:colOff>
      <xdr:row>202</xdr:row>
      <xdr:rowOff>93725</xdr:rowOff>
    </xdr:from>
    <xdr:to>
      <xdr:col>17</xdr:col>
      <xdr:colOff>207566</xdr:colOff>
      <xdr:row>211</xdr:row>
      <xdr:rowOff>181341</xdr:rowOff>
    </xdr:to>
    <xdr:cxnSp macro="">
      <xdr:nvCxnSpPr>
        <xdr:cNvPr id="90" name="Přímá spojovací šipka 28">
          <a:extLst>
            <a:ext uri="{FF2B5EF4-FFF2-40B4-BE49-F238E27FC236}">
              <a16:creationId xmlns:a16="http://schemas.microsoft.com/office/drawing/2014/main" id="{00000000-0008-0000-1B00-00005A000000}"/>
            </a:ext>
          </a:extLst>
        </xdr:cNvPr>
        <xdr:cNvCxnSpPr/>
      </xdr:nvCxnSpPr>
      <xdr:spPr>
        <a:xfrm rot="16200000" flipH="1">
          <a:off x="6424592" y="25080815"/>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233163</xdr:colOff>
      <xdr:row>207</xdr:row>
      <xdr:rowOff>74683</xdr:rowOff>
    </xdr:from>
    <xdr:to>
      <xdr:col>8</xdr:col>
      <xdr:colOff>146316</xdr:colOff>
      <xdr:row>207</xdr:row>
      <xdr:rowOff>75292</xdr:rowOff>
    </xdr:to>
    <xdr:cxnSp macro="">
      <xdr:nvCxnSpPr>
        <xdr:cNvPr id="91" name="Přímá spojovací šipka 39">
          <a:extLst>
            <a:ext uri="{FF2B5EF4-FFF2-40B4-BE49-F238E27FC236}">
              <a16:creationId xmlns:a16="http://schemas.microsoft.com/office/drawing/2014/main" id="{00000000-0008-0000-1B00-00005B000000}"/>
            </a:ext>
          </a:extLst>
        </xdr:cNvPr>
        <xdr:cNvCxnSpPr/>
      </xdr:nvCxnSpPr>
      <xdr:spPr>
        <a:xfrm flipV="1">
          <a:off x="2339869" y="24853130"/>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2406</xdr:colOff>
      <xdr:row>207</xdr:row>
      <xdr:rowOff>74426</xdr:rowOff>
    </xdr:from>
    <xdr:to>
      <xdr:col>15</xdr:col>
      <xdr:colOff>145411</xdr:colOff>
      <xdr:row>207</xdr:row>
      <xdr:rowOff>76014</xdr:rowOff>
    </xdr:to>
    <xdr:cxnSp macro="">
      <xdr:nvCxnSpPr>
        <xdr:cNvPr id="92" name="Přímá spojovací šipka 26">
          <a:extLst>
            <a:ext uri="{FF2B5EF4-FFF2-40B4-BE49-F238E27FC236}">
              <a16:creationId xmlns:a16="http://schemas.microsoft.com/office/drawing/2014/main" id="{00000000-0008-0000-1B00-00005C000000}"/>
            </a:ext>
          </a:extLst>
        </xdr:cNvPr>
        <xdr:cNvCxnSpPr/>
      </xdr:nvCxnSpPr>
      <xdr:spPr>
        <a:xfrm>
          <a:off x="5372265" y="24852873"/>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601980</xdr:colOff>
          <xdr:row>198</xdr:row>
          <xdr:rowOff>22860</xdr:rowOff>
        </xdr:from>
        <xdr:to>
          <xdr:col>26</xdr:col>
          <xdr:colOff>723900</xdr:colOff>
          <xdr:row>199</xdr:row>
          <xdr:rowOff>114300</xdr:rowOff>
        </xdr:to>
        <xdr:sp macro="" textlink="">
          <xdr:nvSpPr>
            <xdr:cNvPr id="54356" name="Check Box 8276" hidden="1">
              <a:extLst>
                <a:ext uri="{63B3BB69-23CF-44E3-9099-C40C66FF867C}">
                  <a14:compatExt spid="_x0000_s54356"/>
                </a:ext>
                <a:ext uri="{FF2B5EF4-FFF2-40B4-BE49-F238E27FC236}">
                  <a16:creationId xmlns:a16="http://schemas.microsoft.com/office/drawing/2014/main" id="{00000000-0008-0000-1B00-000054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8</xdr:col>
      <xdr:colOff>195839</xdr:colOff>
      <xdr:row>261</xdr:row>
      <xdr:rowOff>146831</xdr:rowOff>
    </xdr:from>
    <xdr:to>
      <xdr:col>8</xdr:col>
      <xdr:colOff>197827</xdr:colOff>
      <xdr:row>265</xdr:row>
      <xdr:rowOff>181273</xdr:rowOff>
    </xdr:to>
    <xdr:cxnSp macro="">
      <xdr:nvCxnSpPr>
        <xdr:cNvPr id="93" name="Přímá spojovací šipka 2">
          <a:extLst>
            <a:ext uri="{FF2B5EF4-FFF2-40B4-BE49-F238E27FC236}">
              <a16:creationId xmlns:a16="http://schemas.microsoft.com/office/drawing/2014/main" id="{00000000-0008-0000-1B00-00005D000000}"/>
            </a:ext>
          </a:extLst>
        </xdr:cNvPr>
        <xdr:cNvCxnSpPr/>
      </xdr:nvCxnSpPr>
      <xdr:spPr>
        <a:xfrm flipH="1">
          <a:off x="5314686" y="33513466"/>
          <a:ext cx="1988" cy="1172960"/>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249408</xdr:colOff>
      <xdr:row>256</xdr:row>
      <xdr:rowOff>43961</xdr:rowOff>
    </xdr:from>
    <xdr:to>
      <xdr:col>22</xdr:col>
      <xdr:colOff>207636</xdr:colOff>
      <xdr:row>256</xdr:row>
      <xdr:rowOff>48067</xdr:rowOff>
    </xdr:to>
    <xdr:cxnSp macro="">
      <xdr:nvCxnSpPr>
        <xdr:cNvPr id="94" name="Přímá spojovací šipka 4">
          <a:extLst>
            <a:ext uri="{FF2B5EF4-FFF2-40B4-BE49-F238E27FC236}">
              <a16:creationId xmlns:a16="http://schemas.microsoft.com/office/drawing/2014/main" id="{00000000-0008-0000-1B00-00005E000000}"/>
            </a:ext>
          </a:extLst>
        </xdr:cNvPr>
        <xdr:cNvCxnSpPr/>
      </xdr:nvCxnSpPr>
      <xdr:spPr>
        <a:xfrm>
          <a:off x="7483926" y="32603773"/>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205447</xdr:colOff>
      <xdr:row>244</xdr:row>
      <xdr:rowOff>113902</xdr:rowOff>
    </xdr:from>
    <xdr:to>
      <xdr:col>17</xdr:col>
      <xdr:colOff>210825</xdr:colOff>
      <xdr:row>255</xdr:row>
      <xdr:rowOff>154188</xdr:rowOff>
    </xdr:to>
    <xdr:cxnSp macro="">
      <xdr:nvCxnSpPr>
        <xdr:cNvPr id="95" name="Přímá spojovací šipka 24">
          <a:extLst>
            <a:ext uri="{FF2B5EF4-FFF2-40B4-BE49-F238E27FC236}">
              <a16:creationId xmlns:a16="http://schemas.microsoft.com/office/drawing/2014/main" id="{00000000-0008-0000-1B00-00005F000000}"/>
            </a:ext>
          </a:extLst>
        </xdr:cNvPr>
        <xdr:cNvCxnSpPr/>
      </xdr:nvCxnSpPr>
      <xdr:spPr>
        <a:xfrm flipH="1">
          <a:off x="7439965" y="31042137"/>
          <a:ext cx="5378" cy="1517675"/>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205540</xdr:colOff>
      <xdr:row>256</xdr:row>
      <xdr:rowOff>93725</xdr:rowOff>
    </xdr:from>
    <xdr:to>
      <xdr:col>17</xdr:col>
      <xdr:colOff>207566</xdr:colOff>
      <xdr:row>265</xdr:row>
      <xdr:rowOff>181341</xdr:rowOff>
    </xdr:to>
    <xdr:cxnSp macro="">
      <xdr:nvCxnSpPr>
        <xdr:cNvPr id="96" name="Přímá spojovací šipka 28">
          <a:extLst>
            <a:ext uri="{FF2B5EF4-FFF2-40B4-BE49-F238E27FC236}">
              <a16:creationId xmlns:a16="http://schemas.microsoft.com/office/drawing/2014/main" id="{00000000-0008-0000-1B00-000060000000}"/>
            </a:ext>
          </a:extLst>
        </xdr:cNvPr>
        <xdr:cNvCxnSpPr/>
      </xdr:nvCxnSpPr>
      <xdr:spPr>
        <a:xfrm rot="16200000" flipH="1">
          <a:off x="6424592" y="33669003"/>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233163</xdr:colOff>
      <xdr:row>261</xdr:row>
      <xdr:rowOff>74683</xdr:rowOff>
    </xdr:from>
    <xdr:to>
      <xdr:col>8</xdr:col>
      <xdr:colOff>146316</xdr:colOff>
      <xdr:row>261</xdr:row>
      <xdr:rowOff>75292</xdr:rowOff>
    </xdr:to>
    <xdr:cxnSp macro="">
      <xdr:nvCxnSpPr>
        <xdr:cNvPr id="97" name="Přímá spojovací šipka 39">
          <a:extLst>
            <a:ext uri="{FF2B5EF4-FFF2-40B4-BE49-F238E27FC236}">
              <a16:creationId xmlns:a16="http://schemas.microsoft.com/office/drawing/2014/main" id="{00000000-0008-0000-1B00-000061000000}"/>
            </a:ext>
          </a:extLst>
        </xdr:cNvPr>
        <xdr:cNvCxnSpPr/>
      </xdr:nvCxnSpPr>
      <xdr:spPr>
        <a:xfrm flipV="1">
          <a:off x="2339869" y="33441318"/>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2406</xdr:colOff>
      <xdr:row>261</xdr:row>
      <xdr:rowOff>74426</xdr:rowOff>
    </xdr:from>
    <xdr:to>
      <xdr:col>15</xdr:col>
      <xdr:colOff>145411</xdr:colOff>
      <xdr:row>261</xdr:row>
      <xdr:rowOff>76014</xdr:rowOff>
    </xdr:to>
    <xdr:cxnSp macro="">
      <xdr:nvCxnSpPr>
        <xdr:cNvPr id="98" name="Přímá spojovací šipka 26">
          <a:extLst>
            <a:ext uri="{FF2B5EF4-FFF2-40B4-BE49-F238E27FC236}">
              <a16:creationId xmlns:a16="http://schemas.microsoft.com/office/drawing/2014/main" id="{00000000-0008-0000-1B00-000062000000}"/>
            </a:ext>
          </a:extLst>
        </xdr:cNvPr>
        <xdr:cNvCxnSpPr/>
      </xdr:nvCxnSpPr>
      <xdr:spPr>
        <a:xfrm>
          <a:off x="5372265" y="33441061"/>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533400</xdr:colOff>
          <xdr:row>251</xdr:row>
          <xdr:rowOff>213360</xdr:rowOff>
        </xdr:from>
        <xdr:to>
          <xdr:col>26</xdr:col>
          <xdr:colOff>762000</xdr:colOff>
          <xdr:row>254</xdr:row>
          <xdr:rowOff>0</xdr:rowOff>
        </xdr:to>
        <xdr:sp macro="" textlink="">
          <xdr:nvSpPr>
            <xdr:cNvPr id="54359" name="Check Box 8279" hidden="1">
              <a:extLst>
                <a:ext uri="{63B3BB69-23CF-44E3-9099-C40C66FF867C}">
                  <a14:compatExt spid="_x0000_s54359"/>
                </a:ext>
                <a:ext uri="{FF2B5EF4-FFF2-40B4-BE49-F238E27FC236}">
                  <a16:creationId xmlns:a16="http://schemas.microsoft.com/office/drawing/2014/main" id="{00000000-0008-0000-1B00-000057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8</xdr:col>
      <xdr:colOff>195839</xdr:colOff>
      <xdr:row>315</xdr:row>
      <xdr:rowOff>146831</xdr:rowOff>
    </xdr:from>
    <xdr:to>
      <xdr:col>8</xdr:col>
      <xdr:colOff>197827</xdr:colOff>
      <xdr:row>319</xdr:row>
      <xdr:rowOff>181273</xdr:rowOff>
    </xdr:to>
    <xdr:cxnSp macro="">
      <xdr:nvCxnSpPr>
        <xdr:cNvPr id="99" name="Přímá spojovací šipka 2">
          <a:extLst>
            <a:ext uri="{FF2B5EF4-FFF2-40B4-BE49-F238E27FC236}">
              <a16:creationId xmlns:a16="http://schemas.microsoft.com/office/drawing/2014/main" id="{00000000-0008-0000-1B00-000063000000}"/>
            </a:ext>
          </a:extLst>
        </xdr:cNvPr>
        <xdr:cNvCxnSpPr/>
      </xdr:nvCxnSpPr>
      <xdr:spPr>
        <a:xfrm flipH="1">
          <a:off x="5314686" y="42101655"/>
          <a:ext cx="1988" cy="117295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249408</xdr:colOff>
      <xdr:row>310</xdr:row>
      <xdr:rowOff>43961</xdr:rowOff>
    </xdr:from>
    <xdr:to>
      <xdr:col>22</xdr:col>
      <xdr:colOff>207636</xdr:colOff>
      <xdr:row>310</xdr:row>
      <xdr:rowOff>48067</xdr:rowOff>
    </xdr:to>
    <xdr:cxnSp macro="">
      <xdr:nvCxnSpPr>
        <xdr:cNvPr id="100" name="Přímá spojovací šipka 4">
          <a:extLst>
            <a:ext uri="{FF2B5EF4-FFF2-40B4-BE49-F238E27FC236}">
              <a16:creationId xmlns:a16="http://schemas.microsoft.com/office/drawing/2014/main" id="{00000000-0008-0000-1B00-000064000000}"/>
            </a:ext>
          </a:extLst>
        </xdr:cNvPr>
        <xdr:cNvCxnSpPr/>
      </xdr:nvCxnSpPr>
      <xdr:spPr>
        <a:xfrm>
          <a:off x="7483926" y="41191961"/>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205447</xdr:colOff>
      <xdr:row>298</xdr:row>
      <xdr:rowOff>113902</xdr:rowOff>
    </xdr:from>
    <xdr:to>
      <xdr:col>17</xdr:col>
      <xdr:colOff>210825</xdr:colOff>
      <xdr:row>309</xdr:row>
      <xdr:rowOff>154188</xdr:rowOff>
    </xdr:to>
    <xdr:cxnSp macro="">
      <xdr:nvCxnSpPr>
        <xdr:cNvPr id="101" name="Přímá spojovací šipka 24">
          <a:extLst>
            <a:ext uri="{FF2B5EF4-FFF2-40B4-BE49-F238E27FC236}">
              <a16:creationId xmlns:a16="http://schemas.microsoft.com/office/drawing/2014/main" id="{00000000-0008-0000-1B00-000065000000}"/>
            </a:ext>
          </a:extLst>
        </xdr:cNvPr>
        <xdr:cNvCxnSpPr/>
      </xdr:nvCxnSpPr>
      <xdr:spPr>
        <a:xfrm flipH="1">
          <a:off x="7439965" y="39630326"/>
          <a:ext cx="5378" cy="1517674"/>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205540</xdr:colOff>
      <xdr:row>310</xdr:row>
      <xdr:rowOff>93725</xdr:rowOff>
    </xdr:from>
    <xdr:to>
      <xdr:col>17</xdr:col>
      <xdr:colOff>207566</xdr:colOff>
      <xdr:row>319</xdr:row>
      <xdr:rowOff>181341</xdr:rowOff>
    </xdr:to>
    <xdr:cxnSp macro="">
      <xdr:nvCxnSpPr>
        <xdr:cNvPr id="102" name="Přímá spojovací šipka 28">
          <a:extLst>
            <a:ext uri="{FF2B5EF4-FFF2-40B4-BE49-F238E27FC236}">
              <a16:creationId xmlns:a16="http://schemas.microsoft.com/office/drawing/2014/main" id="{00000000-0008-0000-1B00-000066000000}"/>
            </a:ext>
          </a:extLst>
        </xdr:cNvPr>
        <xdr:cNvCxnSpPr/>
      </xdr:nvCxnSpPr>
      <xdr:spPr>
        <a:xfrm rot="16200000" flipH="1">
          <a:off x="6424592" y="42257191"/>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233163</xdr:colOff>
      <xdr:row>315</xdr:row>
      <xdr:rowOff>74683</xdr:rowOff>
    </xdr:from>
    <xdr:to>
      <xdr:col>8</xdr:col>
      <xdr:colOff>146316</xdr:colOff>
      <xdr:row>315</xdr:row>
      <xdr:rowOff>75292</xdr:rowOff>
    </xdr:to>
    <xdr:cxnSp macro="">
      <xdr:nvCxnSpPr>
        <xdr:cNvPr id="103" name="Přímá spojovací šipka 39">
          <a:extLst>
            <a:ext uri="{FF2B5EF4-FFF2-40B4-BE49-F238E27FC236}">
              <a16:creationId xmlns:a16="http://schemas.microsoft.com/office/drawing/2014/main" id="{00000000-0008-0000-1B00-000067000000}"/>
            </a:ext>
          </a:extLst>
        </xdr:cNvPr>
        <xdr:cNvCxnSpPr/>
      </xdr:nvCxnSpPr>
      <xdr:spPr>
        <a:xfrm flipV="1">
          <a:off x="2339869" y="42029507"/>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2406</xdr:colOff>
      <xdr:row>315</xdr:row>
      <xdr:rowOff>74426</xdr:rowOff>
    </xdr:from>
    <xdr:to>
      <xdr:col>15</xdr:col>
      <xdr:colOff>145411</xdr:colOff>
      <xdr:row>315</xdr:row>
      <xdr:rowOff>76014</xdr:rowOff>
    </xdr:to>
    <xdr:cxnSp macro="">
      <xdr:nvCxnSpPr>
        <xdr:cNvPr id="104" name="Přímá spojovací šipka 26">
          <a:extLst>
            <a:ext uri="{FF2B5EF4-FFF2-40B4-BE49-F238E27FC236}">
              <a16:creationId xmlns:a16="http://schemas.microsoft.com/office/drawing/2014/main" id="{00000000-0008-0000-1B00-000068000000}"/>
            </a:ext>
          </a:extLst>
        </xdr:cNvPr>
        <xdr:cNvCxnSpPr/>
      </xdr:nvCxnSpPr>
      <xdr:spPr>
        <a:xfrm>
          <a:off x="5372265" y="42029250"/>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601980</xdr:colOff>
          <xdr:row>306</xdr:row>
          <xdr:rowOff>22860</xdr:rowOff>
        </xdr:from>
        <xdr:to>
          <xdr:col>26</xdr:col>
          <xdr:colOff>723900</xdr:colOff>
          <xdr:row>307</xdr:row>
          <xdr:rowOff>137160</xdr:rowOff>
        </xdr:to>
        <xdr:sp macro="" textlink="">
          <xdr:nvSpPr>
            <xdr:cNvPr id="54362" name="Check Box 8282" hidden="1">
              <a:extLst>
                <a:ext uri="{63B3BB69-23CF-44E3-9099-C40C66FF867C}">
                  <a14:compatExt spid="_x0000_s54362"/>
                </a:ext>
                <a:ext uri="{FF2B5EF4-FFF2-40B4-BE49-F238E27FC236}">
                  <a16:creationId xmlns:a16="http://schemas.microsoft.com/office/drawing/2014/main" id="{00000000-0008-0000-1B00-00005A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601980</xdr:colOff>
          <xdr:row>90</xdr:row>
          <xdr:rowOff>22860</xdr:rowOff>
        </xdr:from>
        <xdr:to>
          <xdr:col>26</xdr:col>
          <xdr:colOff>723900</xdr:colOff>
          <xdr:row>91</xdr:row>
          <xdr:rowOff>99060</xdr:rowOff>
        </xdr:to>
        <xdr:sp macro="" textlink="">
          <xdr:nvSpPr>
            <xdr:cNvPr id="54385" name="Check Box 8273" hidden="1">
              <a:extLst>
                <a:ext uri="{63B3BB69-23CF-44E3-9099-C40C66FF867C}">
                  <a14:compatExt spid="_x0000_s54385"/>
                </a:ext>
                <a:ext uri="{FF2B5EF4-FFF2-40B4-BE49-F238E27FC236}">
                  <a16:creationId xmlns:a16="http://schemas.microsoft.com/office/drawing/2014/main" id="{00000000-0008-0000-1B00-000071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175260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228597</xdr:colOff>
      <xdr:row>0</xdr:row>
      <xdr:rowOff>0</xdr:rowOff>
    </xdr:from>
    <xdr:to>
      <xdr:col>2</xdr:col>
      <xdr:colOff>228597</xdr:colOff>
      <xdr:row>5</xdr:row>
      <xdr:rowOff>77970</xdr:rowOff>
    </xdr:to>
    <xdr:pic>
      <xdr:nvPicPr>
        <xdr:cNvPr id="3" name="Obrázek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7" y="0"/>
          <a:ext cx="0" cy="992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194733</xdr:colOff>
      <xdr:row>0</xdr:row>
      <xdr:rowOff>0</xdr:rowOff>
    </xdr:from>
    <xdr:to>
      <xdr:col>6</xdr:col>
      <xdr:colOff>209638</xdr:colOff>
      <xdr:row>5</xdr:row>
      <xdr:rowOff>145068</xdr:rowOff>
    </xdr:to>
    <xdr:pic>
      <xdr:nvPicPr>
        <xdr:cNvPr id="4" name="Obrázek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4333" y="0"/>
          <a:ext cx="2300905" cy="1059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xdr:colOff>
      <xdr:row>23</xdr:row>
      <xdr:rowOff>137160</xdr:rowOff>
    </xdr:from>
    <xdr:to>
      <xdr:col>4</xdr:col>
      <xdr:colOff>346860</xdr:colOff>
      <xdr:row>25</xdr:row>
      <xdr:rowOff>11580</xdr:rowOff>
    </xdr:to>
    <xdr:pic>
      <xdr:nvPicPr>
        <xdr:cNvPr id="7" name="Obrázek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08860" y="3429000"/>
          <a:ext cx="324000" cy="3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45720</xdr:rowOff>
    </xdr:from>
    <xdr:to>
      <xdr:col>4</xdr:col>
      <xdr:colOff>324000</xdr:colOff>
      <xdr:row>7</xdr:row>
      <xdr:rowOff>3960</xdr:rowOff>
    </xdr:to>
    <xdr:pic>
      <xdr:nvPicPr>
        <xdr:cNvPr id="8" name="Obrázek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0" y="960120"/>
          <a:ext cx="324000" cy="3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175260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2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228597</xdr:colOff>
      <xdr:row>0</xdr:row>
      <xdr:rowOff>0</xdr:rowOff>
    </xdr:from>
    <xdr:to>
      <xdr:col>2</xdr:col>
      <xdr:colOff>228597</xdr:colOff>
      <xdr:row>5</xdr:row>
      <xdr:rowOff>77970</xdr:rowOff>
    </xdr:to>
    <xdr:pic>
      <xdr:nvPicPr>
        <xdr:cNvPr id="3" name="Obrázek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797" y="0"/>
          <a:ext cx="0" cy="992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194733</xdr:colOff>
      <xdr:row>0</xdr:row>
      <xdr:rowOff>0</xdr:rowOff>
    </xdr:from>
    <xdr:to>
      <xdr:col>6</xdr:col>
      <xdr:colOff>209638</xdr:colOff>
      <xdr:row>5</xdr:row>
      <xdr:rowOff>135543</xdr:rowOff>
    </xdr:to>
    <xdr:pic>
      <xdr:nvPicPr>
        <xdr:cNvPr id="4" name="Obráze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3933" y="0"/>
          <a:ext cx="2300905" cy="1059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175260</xdr:colOff>
          <xdr:row>10</xdr:row>
          <xdr:rowOff>15240</xdr:rowOff>
        </xdr:from>
        <xdr:to>
          <xdr:col>9</xdr:col>
          <xdr:colOff>480060</xdr:colOff>
          <xdr:row>11</xdr:row>
          <xdr:rowOff>60960</xdr:rowOff>
        </xdr:to>
        <xdr:sp macro="" textlink="">
          <xdr:nvSpPr>
            <xdr:cNvPr id="357378" name="Option Button 2" hidden="1">
              <a:extLst>
                <a:ext uri="{63B3BB69-23CF-44E3-9099-C40C66FF867C}">
                  <a14:compatExt spid="_x0000_s357378"/>
                </a:ext>
                <a:ext uri="{FF2B5EF4-FFF2-40B4-BE49-F238E27FC236}">
                  <a16:creationId xmlns:a16="http://schemas.microsoft.com/office/drawing/2014/main" id="{00000000-0008-0000-0200-000002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9</xdr:row>
          <xdr:rowOff>160020</xdr:rowOff>
        </xdr:from>
        <xdr:to>
          <xdr:col>12</xdr:col>
          <xdr:colOff>457200</xdr:colOff>
          <xdr:row>11</xdr:row>
          <xdr:rowOff>60960</xdr:rowOff>
        </xdr:to>
        <xdr:sp macro="" textlink="">
          <xdr:nvSpPr>
            <xdr:cNvPr id="357379" name="Option Button 3" hidden="1">
              <a:extLst>
                <a:ext uri="{63B3BB69-23CF-44E3-9099-C40C66FF867C}">
                  <a14:compatExt spid="_x0000_s357379"/>
                </a:ext>
                <a:ext uri="{FF2B5EF4-FFF2-40B4-BE49-F238E27FC236}">
                  <a16:creationId xmlns:a16="http://schemas.microsoft.com/office/drawing/2014/main" id="{00000000-0008-0000-0200-000003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419100</xdr:colOff>
          <xdr:row>9</xdr:row>
          <xdr:rowOff>175260</xdr:rowOff>
        </xdr:from>
        <xdr:to>
          <xdr:col>16</xdr:col>
          <xdr:colOff>137160</xdr:colOff>
          <xdr:row>11</xdr:row>
          <xdr:rowOff>38100</xdr:rowOff>
        </xdr:to>
        <xdr:sp macro="" textlink="">
          <xdr:nvSpPr>
            <xdr:cNvPr id="357380" name="Option Button 4" hidden="1">
              <a:extLst>
                <a:ext uri="{63B3BB69-23CF-44E3-9099-C40C66FF867C}">
                  <a14:compatExt spid="_x0000_s357380"/>
                </a:ext>
                <a:ext uri="{FF2B5EF4-FFF2-40B4-BE49-F238E27FC236}">
                  <a16:creationId xmlns:a16="http://schemas.microsoft.com/office/drawing/2014/main" id="{00000000-0008-0000-0200-000004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1</xdr:row>
          <xdr:rowOff>76200</xdr:rowOff>
        </xdr:to>
        <xdr:sp macro="" textlink="">
          <xdr:nvSpPr>
            <xdr:cNvPr id="110606" name="Check Box 1967" hidden="1">
              <a:extLst>
                <a:ext uri="{63B3BB69-23CF-44E3-9099-C40C66FF867C}">
                  <a14:compatExt spid="_x0000_s110606"/>
                </a:ext>
                <a:ext uri="{FF2B5EF4-FFF2-40B4-BE49-F238E27FC236}">
                  <a16:creationId xmlns:a16="http://schemas.microsoft.com/office/drawing/2014/main" id="{00000000-0008-0000-0500-00000EB001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91440</xdr:colOff>
          <xdr:row>20</xdr:row>
          <xdr:rowOff>45720</xdr:rowOff>
        </xdr:from>
        <xdr:to>
          <xdr:col>9</xdr:col>
          <xdr:colOff>30480</xdr:colOff>
          <xdr:row>21</xdr:row>
          <xdr:rowOff>30480</xdr:rowOff>
        </xdr:to>
        <xdr:sp macro="" textlink="">
          <xdr:nvSpPr>
            <xdr:cNvPr id="110607" name="Option Button 15" hidden="1">
              <a:extLst>
                <a:ext uri="{63B3BB69-23CF-44E3-9099-C40C66FF867C}">
                  <a14:compatExt spid="_x0000_s110607"/>
                </a:ext>
                <a:ext uri="{FF2B5EF4-FFF2-40B4-BE49-F238E27FC236}">
                  <a16:creationId xmlns:a16="http://schemas.microsoft.com/office/drawing/2014/main" id="{00000000-0008-0000-05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20</xdr:row>
          <xdr:rowOff>30480</xdr:rowOff>
        </xdr:from>
        <xdr:to>
          <xdr:col>12</xdr:col>
          <xdr:colOff>7620</xdr:colOff>
          <xdr:row>21</xdr:row>
          <xdr:rowOff>76200</xdr:rowOff>
        </xdr:to>
        <xdr:sp macro="" textlink="">
          <xdr:nvSpPr>
            <xdr:cNvPr id="110608" name="Option Button 16" hidden="1">
              <a:extLst>
                <a:ext uri="{63B3BB69-23CF-44E3-9099-C40C66FF867C}">
                  <a14:compatExt spid="_x0000_s110608"/>
                </a:ext>
                <a:ext uri="{FF2B5EF4-FFF2-40B4-BE49-F238E27FC236}">
                  <a16:creationId xmlns:a16="http://schemas.microsoft.com/office/drawing/2014/main" id="{00000000-0008-0000-05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274320</xdr:colOff>
          <xdr:row>20</xdr:row>
          <xdr:rowOff>45720</xdr:rowOff>
        </xdr:from>
        <xdr:to>
          <xdr:col>15</xdr:col>
          <xdr:colOff>297180</xdr:colOff>
          <xdr:row>21</xdr:row>
          <xdr:rowOff>45720</xdr:rowOff>
        </xdr:to>
        <xdr:sp macro="" textlink="">
          <xdr:nvSpPr>
            <xdr:cNvPr id="110609" name="Option Button 17" hidden="1">
              <a:extLst>
                <a:ext uri="{63B3BB69-23CF-44E3-9099-C40C66FF867C}">
                  <a14:compatExt spid="_x0000_s110609"/>
                </a:ext>
                <a:ext uri="{FF2B5EF4-FFF2-40B4-BE49-F238E27FC236}">
                  <a16:creationId xmlns:a16="http://schemas.microsoft.com/office/drawing/2014/main" id="{00000000-0008-0000-05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6</xdr:row>
          <xdr:rowOff>0</xdr:rowOff>
        </xdr:from>
        <xdr:to>
          <xdr:col>5</xdr:col>
          <xdr:colOff>297180</xdr:colOff>
          <xdr:row>6</xdr:row>
          <xdr:rowOff>175260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5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28575</xdr:rowOff>
    </xdr:from>
    <xdr:to>
      <xdr:col>5</xdr:col>
      <xdr:colOff>20955</xdr:colOff>
      <xdr:row>3</xdr:row>
      <xdr:rowOff>59055</xdr:rowOff>
    </xdr:to>
    <xdr:pic>
      <xdr:nvPicPr>
        <xdr:cNvPr id="8" name="Obrázek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8575"/>
          <a:ext cx="1413510" cy="42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1</xdr:row>
          <xdr:rowOff>68580</xdr:rowOff>
        </xdr:to>
        <xdr:sp macro="" textlink="">
          <xdr:nvSpPr>
            <xdr:cNvPr id="330753" name="Check Box 1967" hidden="1">
              <a:extLst>
                <a:ext uri="{63B3BB69-23CF-44E3-9099-C40C66FF867C}">
                  <a14:compatExt spid="_x0000_s330753"/>
                </a:ext>
                <a:ext uri="{FF2B5EF4-FFF2-40B4-BE49-F238E27FC236}">
                  <a16:creationId xmlns:a16="http://schemas.microsoft.com/office/drawing/2014/main" id="{00000000-0008-0000-0800-0000010C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91440</xdr:colOff>
          <xdr:row>20</xdr:row>
          <xdr:rowOff>45720</xdr:rowOff>
        </xdr:from>
        <xdr:to>
          <xdr:col>9</xdr:col>
          <xdr:colOff>22860</xdr:colOff>
          <xdr:row>21</xdr:row>
          <xdr:rowOff>30480</xdr:rowOff>
        </xdr:to>
        <xdr:sp macro="" textlink="">
          <xdr:nvSpPr>
            <xdr:cNvPr id="330754" name="Option Button 2" hidden="1">
              <a:extLst>
                <a:ext uri="{63B3BB69-23CF-44E3-9099-C40C66FF867C}">
                  <a14:compatExt spid="_x0000_s330754"/>
                </a:ext>
                <a:ext uri="{FF2B5EF4-FFF2-40B4-BE49-F238E27FC236}">
                  <a16:creationId xmlns:a16="http://schemas.microsoft.com/office/drawing/2014/main" id="{00000000-0008-0000-0800-000002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20</xdr:row>
          <xdr:rowOff>30480</xdr:rowOff>
        </xdr:from>
        <xdr:to>
          <xdr:col>12</xdr:col>
          <xdr:colOff>7620</xdr:colOff>
          <xdr:row>21</xdr:row>
          <xdr:rowOff>68580</xdr:rowOff>
        </xdr:to>
        <xdr:sp macro="" textlink="">
          <xdr:nvSpPr>
            <xdr:cNvPr id="330755" name="Option Button 3" hidden="1">
              <a:extLst>
                <a:ext uri="{63B3BB69-23CF-44E3-9099-C40C66FF867C}">
                  <a14:compatExt spid="_x0000_s330755"/>
                </a:ext>
                <a:ext uri="{FF2B5EF4-FFF2-40B4-BE49-F238E27FC236}">
                  <a16:creationId xmlns:a16="http://schemas.microsoft.com/office/drawing/2014/main" id="{00000000-0008-0000-0800-000003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274320</xdr:colOff>
          <xdr:row>20</xdr:row>
          <xdr:rowOff>45720</xdr:rowOff>
        </xdr:from>
        <xdr:to>
          <xdr:col>15</xdr:col>
          <xdr:colOff>297180</xdr:colOff>
          <xdr:row>21</xdr:row>
          <xdr:rowOff>45720</xdr:rowOff>
        </xdr:to>
        <xdr:sp macro="" textlink="">
          <xdr:nvSpPr>
            <xdr:cNvPr id="330756" name="Option Button 4" hidden="1">
              <a:extLst>
                <a:ext uri="{63B3BB69-23CF-44E3-9099-C40C66FF867C}">
                  <a14:compatExt spid="_x0000_s330756"/>
                </a:ext>
                <a:ext uri="{FF2B5EF4-FFF2-40B4-BE49-F238E27FC236}">
                  <a16:creationId xmlns:a16="http://schemas.microsoft.com/office/drawing/2014/main" id="{00000000-0008-0000-0800-000004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6</xdr:row>
          <xdr:rowOff>0</xdr:rowOff>
        </xdr:from>
        <xdr:to>
          <xdr:col>5</xdr:col>
          <xdr:colOff>289560</xdr:colOff>
          <xdr:row>6</xdr:row>
          <xdr:rowOff>175260</xdr:rowOff>
        </xdr:to>
        <xdr:sp macro="" textlink="">
          <xdr:nvSpPr>
            <xdr:cNvPr id="330757" name="Check Box 5" hidden="1">
              <a:extLst>
                <a:ext uri="{63B3BB69-23CF-44E3-9099-C40C66FF867C}">
                  <a14:compatExt spid="_x0000_s330757"/>
                </a:ext>
                <a:ext uri="{FF2B5EF4-FFF2-40B4-BE49-F238E27FC236}">
                  <a16:creationId xmlns:a16="http://schemas.microsoft.com/office/drawing/2014/main" id="{00000000-0008-0000-0800-000005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28575</xdr:rowOff>
    </xdr:from>
    <xdr:to>
      <xdr:col>5</xdr:col>
      <xdr:colOff>20955</xdr:colOff>
      <xdr:row>3</xdr:row>
      <xdr:rowOff>59055</xdr:rowOff>
    </xdr:to>
    <xdr:pic>
      <xdr:nvPicPr>
        <xdr:cNvPr id="7" name="Obrázek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28575"/>
          <a:ext cx="1421130" cy="426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1</xdr:row>
          <xdr:rowOff>68580</xdr:rowOff>
        </xdr:to>
        <xdr:sp macro="" textlink="">
          <xdr:nvSpPr>
            <xdr:cNvPr id="331777" name="Check Box 1967" hidden="1">
              <a:extLst>
                <a:ext uri="{63B3BB69-23CF-44E3-9099-C40C66FF867C}">
                  <a14:compatExt spid="_x0000_s331777"/>
                </a:ext>
                <a:ext uri="{FF2B5EF4-FFF2-40B4-BE49-F238E27FC236}">
                  <a16:creationId xmlns:a16="http://schemas.microsoft.com/office/drawing/2014/main" id="{00000000-0008-0000-0A00-00000110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91440</xdr:colOff>
          <xdr:row>20</xdr:row>
          <xdr:rowOff>45720</xdr:rowOff>
        </xdr:from>
        <xdr:to>
          <xdr:col>9</xdr:col>
          <xdr:colOff>22860</xdr:colOff>
          <xdr:row>21</xdr:row>
          <xdr:rowOff>30480</xdr:rowOff>
        </xdr:to>
        <xdr:sp macro="" textlink="">
          <xdr:nvSpPr>
            <xdr:cNvPr id="331778" name="Option Button 2" hidden="1">
              <a:extLst>
                <a:ext uri="{63B3BB69-23CF-44E3-9099-C40C66FF867C}">
                  <a14:compatExt spid="_x0000_s331778"/>
                </a:ext>
                <a:ext uri="{FF2B5EF4-FFF2-40B4-BE49-F238E27FC236}">
                  <a16:creationId xmlns:a16="http://schemas.microsoft.com/office/drawing/2014/main" id="{00000000-0008-0000-0A00-000002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20</xdr:row>
          <xdr:rowOff>30480</xdr:rowOff>
        </xdr:from>
        <xdr:to>
          <xdr:col>12</xdr:col>
          <xdr:colOff>7620</xdr:colOff>
          <xdr:row>21</xdr:row>
          <xdr:rowOff>68580</xdr:rowOff>
        </xdr:to>
        <xdr:sp macro="" textlink="">
          <xdr:nvSpPr>
            <xdr:cNvPr id="331779" name="Option Button 3" hidden="1">
              <a:extLst>
                <a:ext uri="{63B3BB69-23CF-44E3-9099-C40C66FF867C}">
                  <a14:compatExt spid="_x0000_s331779"/>
                </a:ext>
                <a:ext uri="{FF2B5EF4-FFF2-40B4-BE49-F238E27FC236}">
                  <a16:creationId xmlns:a16="http://schemas.microsoft.com/office/drawing/2014/main" id="{00000000-0008-0000-0A00-000003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274320</xdr:colOff>
          <xdr:row>20</xdr:row>
          <xdr:rowOff>45720</xdr:rowOff>
        </xdr:from>
        <xdr:to>
          <xdr:col>15</xdr:col>
          <xdr:colOff>297180</xdr:colOff>
          <xdr:row>21</xdr:row>
          <xdr:rowOff>45720</xdr:rowOff>
        </xdr:to>
        <xdr:sp macro="" textlink="">
          <xdr:nvSpPr>
            <xdr:cNvPr id="331780" name="Option Button 4" hidden="1">
              <a:extLst>
                <a:ext uri="{63B3BB69-23CF-44E3-9099-C40C66FF867C}">
                  <a14:compatExt spid="_x0000_s331780"/>
                </a:ext>
                <a:ext uri="{FF2B5EF4-FFF2-40B4-BE49-F238E27FC236}">
                  <a16:creationId xmlns:a16="http://schemas.microsoft.com/office/drawing/2014/main" id="{00000000-0008-0000-0A00-000004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6</xdr:row>
          <xdr:rowOff>0</xdr:rowOff>
        </xdr:from>
        <xdr:to>
          <xdr:col>5</xdr:col>
          <xdr:colOff>289560</xdr:colOff>
          <xdr:row>6</xdr:row>
          <xdr:rowOff>175260</xdr:rowOff>
        </xdr:to>
        <xdr:sp macro="" textlink="">
          <xdr:nvSpPr>
            <xdr:cNvPr id="331781" name="Check Box 5" hidden="1">
              <a:extLst>
                <a:ext uri="{63B3BB69-23CF-44E3-9099-C40C66FF867C}">
                  <a14:compatExt spid="_x0000_s331781"/>
                </a:ext>
                <a:ext uri="{FF2B5EF4-FFF2-40B4-BE49-F238E27FC236}">
                  <a16:creationId xmlns:a16="http://schemas.microsoft.com/office/drawing/2014/main" id="{00000000-0008-0000-0A00-000005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28575</xdr:rowOff>
    </xdr:from>
    <xdr:to>
      <xdr:col>5</xdr:col>
      <xdr:colOff>17145</xdr:colOff>
      <xdr:row>3</xdr:row>
      <xdr:rowOff>55245</xdr:rowOff>
    </xdr:to>
    <xdr:pic>
      <xdr:nvPicPr>
        <xdr:cNvPr id="7" name="Obrázek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28575"/>
          <a:ext cx="1421130" cy="426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1</xdr:row>
          <xdr:rowOff>68580</xdr:rowOff>
        </xdr:to>
        <xdr:sp macro="" textlink="">
          <xdr:nvSpPr>
            <xdr:cNvPr id="332801" name="Check Box 1967" hidden="1">
              <a:extLst>
                <a:ext uri="{63B3BB69-23CF-44E3-9099-C40C66FF867C}">
                  <a14:compatExt spid="_x0000_s332801"/>
                </a:ext>
                <a:ext uri="{FF2B5EF4-FFF2-40B4-BE49-F238E27FC236}">
                  <a16:creationId xmlns:a16="http://schemas.microsoft.com/office/drawing/2014/main" id="{00000000-0008-0000-0C00-0000011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91440</xdr:colOff>
          <xdr:row>20</xdr:row>
          <xdr:rowOff>45720</xdr:rowOff>
        </xdr:from>
        <xdr:to>
          <xdr:col>9</xdr:col>
          <xdr:colOff>22860</xdr:colOff>
          <xdr:row>21</xdr:row>
          <xdr:rowOff>30480</xdr:rowOff>
        </xdr:to>
        <xdr:sp macro="" textlink="">
          <xdr:nvSpPr>
            <xdr:cNvPr id="332802" name="Option Button 2" hidden="1">
              <a:extLst>
                <a:ext uri="{63B3BB69-23CF-44E3-9099-C40C66FF867C}">
                  <a14:compatExt spid="_x0000_s332802"/>
                </a:ext>
                <a:ext uri="{FF2B5EF4-FFF2-40B4-BE49-F238E27FC236}">
                  <a16:creationId xmlns:a16="http://schemas.microsoft.com/office/drawing/2014/main" id="{00000000-0008-0000-0C00-000002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20</xdr:row>
          <xdr:rowOff>30480</xdr:rowOff>
        </xdr:from>
        <xdr:to>
          <xdr:col>12</xdr:col>
          <xdr:colOff>7620</xdr:colOff>
          <xdr:row>21</xdr:row>
          <xdr:rowOff>68580</xdr:rowOff>
        </xdr:to>
        <xdr:sp macro="" textlink="">
          <xdr:nvSpPr>
            <xdr:cNvPr id="332803" name="Option Button 3" hidden="1">
              <a:extLst>
                <a:ext uri="{63B3BB69-23CF-44E3-9099-C40C66FF867C}">
                  <a14:compatExt spid="_x0000_s332803"/>
                </a:ext>
                <a:ext uri="{FF2B5EF4-FFF2-40B4-BE49-F238E27FC236}">
                  <a16:creationId xmlns:a16="http://schemas.microsoft.com/office/drawing/2014/main" id="{00000000-0008-0000-0C00-000003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274320</xdr:colOff>
          <xdr:row>20</xdr:row>
          <xdr:rowOff>45720</xdr:rowOff>
        </xdr:from>
        <xdr:to>
          <xdr:col>15</xdr:col>
          <xdr:colOff>297180</xdr:colOff>
          <xdr:row>21</xdr:row>
          <xdr:rowOff>45720</xdr:rowOff>
        </xdr:to>
        <xdr:sp macro="" textlink="">
          <xdr:nvSpPr>
            <xdr:cNvPr id="332804" name="Option Button 4" hidden="1">
              <a:extLst>
                <a:ext uri="{63B3BB69-23CF-44E3-9099-C40C66FF867C}">
                  <a14:compatExt spid="_x0000_s332804"/>
                </a:ext>
                <a:ext uri="{FF2B5EF4-FFF2-40B4-BE49-F238E27FC236}">
                  <a16:creationId xmlns:a16="http://schemas.microsoft.com/office/drawing/2014/main" id="{00000000-0008-0000-0C00-000004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6</xdr:row>
          <xdr:rowOff>0</xdr:rowOff>
        </xdr:from>
        <xdr:to>
          <xdr:col>5</xdr:col>
          <xdr:colOff>289560</xdr:colOff>
          <xdr:row>6</xdr:row>
          <xdr:rowOff>175260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C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28575</xdr:rowOff>
    </xdr:from>
    <xdr:to>
      <xdr:col>5</xdr:col>
      <xdr:colOff>17145</xdr:colOff>
      <xdr:row>3</xdr:row>
      <xdr:rowOff>55245</xdr:rowOff>
    </xdr:to>
    <xdr:pic>
      <xdr:nvPicPr>
        <xdr:cNvPr id="7" name="Obrázek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28575"/>
          <a:ext cx="1421130" cy="426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1</xdr:row>
          <xdr:rowOff>68580</xdr:rowOff>
        </xdr:to>
        <xdr:sp macro="" textlink="">
          <xdr:nvSpPr>
            <xdr:cNvPr id="333825" name="Check Box 1967" hidden="1">
              <a:extLst>
                <a:ext uri="{63B3BB69-23CF-44E3-9099-C40C66FF867C}">
                  <a14:compatExt spid="_x0000_s333825"/>
                </a:ext>
                <a:ext uri="{FF2B5EF4-FFF2-40B4-BE49-F238E27FC236}">
                  <a16:creationId xmlns:a16="http://schemas.microsoft.com/office/drawing/2014/main" id="{00000000-0008-0000-0E00-00000118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91440</xdr:colOff>
          <xdr:row>20</xdr:row>
          <xdr:rowOff>45720</xdr:rowOff>
        </xdr:from>
        <xdr:to>
          <xdr:col>9</xdr:col>
          <xdr:colOff>22860</xdr:colOff>
          <xdr:row>21</xdr:row>
          <xdr:rowOff>30480</xdr:rowOff>
        </xdr:to>
        <xdr:sp macro="" textlink="">
          <xdr:nvSpPr>
            <xdr:cNvPr id="333826" name="Option Button 2" hidden="1">
              <a:extLst>
                <a:ext uri="{63B3BB69-23CF-44E3-9099-C40C66FF867C}">
                  <a14:compatExt spid="_x0000_s333826"/>
                </a:ext>
                <a:ext uri="{FF2B5EF4-FFF2-40B4-BE49-F238E27FC236}">
                  <a16:creationId xmlns:a16="http://schemas.microsoft.com/office/drawing/2014/main" id="{00000000-0008-0000-0E00-000002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20</xdr:row>
          <xdr:rowOff>30480</xdr:rowOff>
        </xdr:from>
        <xdr:to>
          <xdr:col>12</xdr:col>
          <xdr:colOff>7620</xdr:colOff>
          <xdr:row>21</xdr:row>
          <xdr:rowOff>68580</xdr:rowOff>
        </xdr:to>
        <xdr:sp macro="" textlink="">
          <xdr:nvSpPr>
            <xdr:cNvPr id="333827" name="Option Button 3" hidden="1">
              <a:extLst>
                <a:ext uri="{63B3BB69-23CF-44E3-9099-C40C66FF867C}">
                  <a14:compatExt spid="_x0000_s333827"/>
                </a:ext>
                <a:ext uri="{FF2B5EF4-FFF2-40B4-BE49-F238E27FC236}">
                  <a16:creationId xmlns:a16="http://schemas.microsoft.com/office/drawing/2014/main" id="{00000000-0008-0000-0E00-000003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274320</xdr:colOff>
          <xdr:row>20</xdr:row>
          <xdr:rowOff>45720</xdr:rowOff>
        </xdr:from>
        <xdr:to>
          <xdr:col>15</xdr:col>
          <xdr:colOff>297180</xdr:colOff>
          <xdr:row>21</xdr:row>
          <xdr:rowOff>45720</xdr:rowOff>
        </xdr:to>
        <xdr:sp macro="" textlink="">
          <xdr:nvSpPr>
            <xdr:cNvPr id="333828" name="Option Button 4" hidden="1">
              <a:extLst>
                <a:ext uri="{63B3BB69-23CF-44E3-9099-C40C66FF867C}">
                  <a14:compatExt spid="_x0000_s333828"/>
                </a:ext>
                <a:ext uri="{FF2B5EF4-FFF2-40B4-BE49-F238E27FC236}">
                  <a16:creationId xmlns:a16="http://schemas.microsoft.com/office/drawing/2014/main" id="{00000000-0008-0000-0E00-000004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6</xdr:row>
          <xdr:rowOff>0</xdr:rowOff>
        </xdr:from>
        <xdr:to>
          <xdr:col>5</xdr:col>
          <xdr:colOff>289560</xdr:colOff>
          <xdr:row>6</xdr:row>
          <xdr:rowOff>175260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0E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28575</xdr:rowOff>
    </xdr:from>
    <xdr:to>
      <xdr:col>5</xdr:col>
      <xdr:colOff>20955</xdr:colOff>
      <xdr:row>3</xdr:row>
      <xdr:rowOff>59055</xdr:rowOff>
    </xdr:to>
    <xdr:pic>
      <xdr:nvPicPr>
        <xdr:cNvPr id="7" name="Obrázek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28575"/>
          <a:ext cx="1421130" cy="426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1</xdr:row>
          <xdr:rowOff>68580</xdr:rowOff>
        </xdr:to>
        <xdr:sp macro="" textlink="">
          <xdr:nvSpPr>
            <xdr:cNvPr id="334849" name="Check Box 1967" hidden="1">
              <a:extLst>
                <a:ext uri="{63B3BB69-23CF-44E3-9099-C40C66FF867C}">
                  <a14:compatExt spid="_x0000_s334849"/>
                </a:ext>
                <a:ext uri="{FF2B5EF4-FFF2-40B4-BE49-F238E27FC236}">
                  <a16:creationId xmlns:a16="http://schemas.microsoft.com/office/drawing/2014/main" id="{00000000-0008-0000-1000-0000011C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91440</xdr:colOff>
          <xdr:row>20</xdr:row>
          <xdr:rowOff>45720</xdr:rowOff>
        </xdr:from>
        <xdr:to>
          <xdr:col>9</xdr:col>
          <xdr:colOff>22860</xdr:colOff>
          <xdr:row>21</xdr:row>
          <xdr:rowOff>30480</xdr:rowOff>
        </xdr:to>
        <xdr:sp macro="" textlink="">
          <xdr:nvSpPr>
            <xdr:cNvPr id="334850" name="Option Button 2" hidden="1">
              <a:extLst>
                <a:ext uri="{63B3BB69-23CF-44E3-9099-C40C66FF867C}">
                  <a14:compatExt spid="_x0000_s334850"/>
                </a:ext>
                <a:ext uri="{FF2B5EF4-FFF2-40B4-BE49-F238E27FC236}">
                  <a16:creationId xmlns:a16="http://schemas.microsoft.com/office/drawing/2014/main" id="{00000000-0008-0000-1000-000002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20</xdr:row>
          <xdr:rowOff>30480</xdr:rowOff>
        </xdr:from>
        <xdr:to>
          <xdr:col>12</xdr:col>
          <xdr:colOff>7620</xdr:colOff>
          <xdr:row>21</xdr:row>
          <xdr:rowOff>68580</xdr:rowOff>
        </xdr:to>
        <xdr:sp macro="" textlink="">
          <xdr:nvSpPr>
            <xdr:cNvPr id="334851" name="Option Button 3" hidden="1">
              <a:extLst>
                <a:ext uri="{63B3BB69-23CF-44E3-9099-C40C66FF867C}">
                  <a14:compatExt spid="_x0000_s334851"/>
                </a:ext>
                <a:ext uri="{FF2B5EF4-FFF2-40B4-BE49-F238E27FC236}">
                  <a16:creationId xmlns:a16="http://schemas.microsoft.com/office/drawing/2014/main" id="{00000000-0008-0000-1000-000003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274320</xdr:colOff>
          <xdr:row>20</xdr:row>
          <xdr:rowOff>45720</xdr:rowOff>
        </xdr:from>
        <xdr:to>
          <xdr:col>15</xdr:col>
          <xdr:colOff>297180</xdr:colOff>
          <xdr:row>21</xdr:row>
          <xdr:rowOff>45720</xdr:rowOff>
        </xdr:to>
        <xdr:sp macro="" textlink="">
          <xdr:nvSpPr>
            <xdr:cNvPr id="334852" name="Option Button 4" hidden="1">
              <a:extLst>
                <a:ext uri="{63B3BB69-23CF-44E3-9099-C40C66FF867C}">
                  <a14:compatExt spid="_x0000_s334852"/>
                </a:ext>
                <a:ext uri="{FF2B5EF4-FFF2-40B4-BE49-F238E27FC236}">
                  <a16:creationId xmlns:a16="http://schemas.microsoft.com/office/drawing/2014/main" id="{00000000-0008-0000-1000-000004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6</xdr:row>
          <xdr:rowOff>0</xdr:rowOff>
        </xdr:from>
        <xdr:to>
          <xdr:col>5</xdr:col>
          <xdr:colOff>289560</xdr:colOff>
          <xdr:row>6</xdr:row>
          <xdr:rowOff>175260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0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28575</xdr:rowOff>
    </xdr:from>
    <xdr:to>
      <xdr:col>5</xdr:col>
      <xdr:colOff>20955</xdr:colOff>
      <xdr:row>3</xdr:row>
      <xdr:rowOff>59055</xdr:rowOff>
    </xdr:to>
    <xdr:pic>
      <xdr:nvPicPr>
        <xdr:cNvPr id="7" name="Obrázek 6">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28575"/>
          <a:ext cx="1421130" cy="426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emostrade.sharepoint.com/sites/Produkty-Productmanagement-operative/Shared%20Documents/Product%20management%20-%20operative/Formul&#225;&#345;e/CORDIA_multilang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MOC SEZNAM PANTU"/>
      <sheetName val="Hlavní"/>
      <sheetName val="Běžné rámečky"/>
      <sheetName val="Ceny"/>
      <sheetName val="Objednávka výroba"/>
      <sheetName val="Použite kovani"/>
      <sheetName val="Vypocet 1"/>
      <sheetName val="Hiearchichie výběru"/>
      <sheetName val="UKOLY"/>
      <sheetName val="Posuvné rámečky"/>
      <sheetName val="Typy profilů"/>
      <sheetName val="Barvy LACOBEL A MATELAC"/>
      <sheetName val="Úvod"/>
    </sheetNames>
    <sheetDataSet>
      <sheetData sheetId="0" refreshError="1"/>
      <sheetData sheetId="1" refreshError="1"/>
      <sheetData sheetId="2">
        <row r="81">
          <cell r="BB81" t="str">
            <v>Sensys naložený tlumený (300279)</v>
          </cell>
          <cell r="BC81" t="str">
            <v>naložený clip (12106)</v>
          </cell>
          <cell r="BD81" t="str">
            <v>STRONG spodní bílý (275689+276001)</v>
          </cell>
          <cell r="BE81">
            <v>1</v>
          </cell>
          <cell r="BF81" t="str">
            <v>Strong Plus naložený clip bez pružiny (350864)</v>
          </cell>
          <cell r="BG81" t="str">
            <v>Naložený clip (92584T)</v>
          </cell>
        </row>
        <row r="82">
          <cell r="AJ82">
            <v>0</v>
          </cell>
          <cell r="AK82">
            <v>1</v>
          </cell>
          <cell r="BB82" t="str">
            <v>Sensys naložený P2O (300285)</v>
          </cell>
          <cell r="BC82" t="str">
            <v>polonaložený clip (12107)</v>
          </cell>
          <cell r="BE82">
            <v>1</v>
          </cell>
          <cell r="BF82">
            <v>0</v>
          </cell>
          <cell r="BG82" t="str">
            <v>Strong Plus naložený clip (350863)</v>
          </cell>
        </row>
        <row r="83">
          <cell r="AP83" t="str">
            <v>naložený clip (12106)</v>
          </cell>
          <cell r="AQ83">
            <v>1</v>
          </cell>
          <cell r="AS83" t="str">
            <v>Clip na vrut (12306)</v>
          </cell>
          <cell r="AT83">
            <v>1</v>
          </cell>
          <cell r="BB83">
            <v>0</v>
          </cell>
          <cell r="BC83" t="str">
            <v>Vložený clip (12108)</v>
          </cell>
          <cell r="BE83">
            <v>1</v>
          </cell>
          <cell r="BF83">
            <v>0</v>
          </cell>
          <cell r="BG83">
            <v>0</v>
          </cell>
        </row>
        <row r="84">
          <cell r="AT84">
            <v>1</v>
          </cell>
          <cell r="BB84">
            <v>0</v>
          </cell>
          <cell r="BC84" t="str">
            <v>naložený s tlumením clip 95° (118033)</v>
          </cell>
          <cell r="BE84">
            <v>1</v>
          </cell>
          <cell r="BF84">
            <v>0</v>
          </cell>
          <cell r="BG84">
            <v>0</v>
          </cell>
        </row>
        <row r="85">
          <cell r="AT85" t="e">
            <v>#N/A</v>
          </cell>
          <cell r="BB85">
            <v>0</v>
          </cell>
          <cell r="BC85" t="str">
            <v>polonaložený s tlumením clip 95° (118120)</v>
          </cell>
          <cell r="BE85">
            <v>1</v>
          </cell>
          <cell r="BF85">
            <v>0</v>
          </cell>
          <cell r="BG85">
            <v>0</v>
          </cell>
        </row>
        <row r="86">
          <cell r="AT86" t="str">
            <v/>
          </cell>
          <cell r="BB86">
            <v>0</v>
          </cell>
          <cell r="BC86" t="str">
            <v>vložený s tlumením clip 95° (118121)</v>
          </cell>
          <cell r="BE86">
            <v>1</v>
          </cell>
          <cell r="BF86">
            <v>0</v>
          </cell>
          <cell r="BG86">
            <v>0</v>
          </cell>
        </row>
        <row r="87">
          <cell r="AT87" t="str">
            <v/>
          </cell>
          <cell r="BB87">
            <v>0</v>
          </cell>
          <cell r="BC87" t="str">
            <v>naložený TIP-ON clip 95° (12109)</v>
          </cell>
          <cell r="BE87">
            <v>1</v>
          </cell>
          <cell r="BF87" t="e">
            <v>#N/A</v>
          </cell>
          <cell r="BG87">
            <v>0</v>
          </cell>
        </row>
        <row r="88">
          <cell r="AT88" t="str">
            <v/>
          </cell>
          <cell r="BB88">
            <v>0</v>
          </cell>
          <cell r="BC88" t="str">
            <v>naložený TIP-ON clip 120° (13764)</v>
          </cell>
          <cell r="BE88" t="e">
            <v>#N/A</v>
          </cell>
          <cell r="BF88" t="e">
            <v>#N/A</v>
          </cell>
          <cell r="BG88" t="e">
            <v>#N/A</v>
          </cell>
        </row>
        <row r="89">
          <cell r="AT89" t="str">
            <v/>
          </cell>
          <cell r="BB89">
            <v>0</v>
          </cell>
          <cell r="BC89" t="str">
            <v>naložený 95°, Onyx (306329)</v>
          </cell>
          <cell r="BE89" t="e">
            <v>#N/A</v>
          </cell>
          <cell r="BF89" t="e">
            <v>#N/A</v>
          </cell>
          <cell r="BG89" t="e">
            <v>#N/A</v>
          </cell>
        </row>
        <row r="90">
          <cell r="AT90" t="str">
            <v/>
          </cell>
          <cell r="BB90" t="e">
            <v>#N/A</v>
          </cell>
          <cell r="BC90">
            <v>0</v>
          </cell>
          <cell r="BE90" t="e">
            <v>#N/A</v>
          </cell>
          <cell r="BF90" t="e">
            <v>#N/A</v>
          </cell>
          <cell r="BG90" t="e">
            <v>#N/A</v>
          </cell>
        </row>
        <row r="91">
          <cell r="AT91" t="str">
            <v/>
          </cell>
          <cell r="BB91" t="e">
            <v>#N/A</v>
          </cell>
          <cell r="BC91">
            <v>0</v>
          </cell>
          <cell r="BE91" t="e">
            <v>#N/A</v>
          </cell>
          <cell r="BF91" t="e">
            <v>#N/A</v>
          </cell>
          <cell r="BG91" t="e">
            <v>#N/A</v>
          </cell>
        </row>
        <row r="92">
          <cell r="AK92" t="str">
            <v/>
          </cell>
          <cell r="AT92" t="str">
            <v/>
          </cell>
          <cell r="BB92" t="e">
            <v>#N/A</v>
          </cell>
          <cell r="BC92">
            <v>0</v>
          </cell>
          <cell r="BE92" t="e">
            <v>#N/A</v>
          </cell>
          <cell r="BF92" t="e">
            <v>#N/A</v>
          </cell>
          <cell r="BG92" t="e">
            <v>#N/A</v>
          </cell>
        </row>
        <row r="93">
          <cell r="BB93" t="e">
            <v>#N/A</v>
          </cell>
          <cell r="BC93">
            <v>0</v>
          </cell>
          <cell r="BE93" t="e">
            <v>#N/A</v>
          </cell>
          <cell r="BF93" t="e">
            <v>#N/A</v>
          </cell>
          <cell r="BG93" t="e">
            <v>#N/A</v>
          </cell>
        </row>
        <row r="94">
          <cell r="BB94" t="e">
            <v>#N/A</v>
          </cell>
          <cell r="BC94" t="e">
            <v>#N/A</v>
          </cell>
          <cell r="BE94" t="e">
            <v>#N/A</v>
          </cell>
          <cell r="BF94" t="e">
            <v>#N/A</v>
          </cell>
          <cell r="BG94" t="e">
            <v>#N/A</v>
          </cell>
        </row>
        <row r="95">
          <cell r="BB95" t="e">
            <v>#N/A</v>
          </cell>
          <cell r="BC95" t="e">
            <v>#N/A</v>
          </cell>
          <cell r="BE95" t="e">
            <v>#N/A</v>
          </cell>
          <cell r="BF95" t="e">
            <v>#N/A</v>
          </cell>
          <cell r="BG95" t="e">
            <v>#N/A</v>
          </cell>
        </row>
        <row r="96">
          <cell r="BB96" t="e">
            <v>#N/A</v>
          </cell>
          <cell r="BC96" t="e">
            <v>#N/A</v>
          </cell>
          <cell r="BE96" t="e">
            <v>#N/A</v>
          </cell>
          <cell r="BF96" t="e">
            <v>#N/A</v>
          </cell>
          <cell r="BG96" t="e">
            <v>#N/A</v>
          </cell>
        </row>
        <row r="97">
          <cell r="BB97" t="e">
            <v>#N/A</v>
          </cell>
          <cell r="BC97" t="e">
            <v>#N/A</v>
          </cell>
          <cell r="BE97" t="e">
            <v>#N/A</v>
          </cell>
          <cell r="BF97" t="e">
            <v>#N/A</v>
          </cell>
          <cell r="BG97" t="e">
            <v>#N/A</v>
          </cell>
        </row>
        <row r="98">
          <cell r="BB98" t="e">
            <v>#N/A</v>
          </cell>
          <cell r="BC98" t="e">
            <v>#N/A</v>
          </cell>
          <cell r="BE98" t="e">
            <v>#N/A</v>
          </cell>
        </row>
        <row r="99">
          <cell r="BE99" t="e">
            <v>#N/A</v>
          </cell>
        </row>
        <row r="100">
          <cell r="BE100" t="e">
            <v>#N/A</v>
          </cell>
        </row>
        <row r="101">
          <cell r="BE101" t="e">
            <v>#N/A</v>
          </cell>
        </row>
        <row r="102">
          <cell r="BE102" t="e">
            <v>#N/A</v>
          </cell>
        </row>
        <row r="103">
          <cell r="BE103" t="e">
            <v>#N/A</v>
          </cell>
        </row>
        <row r="104">
          <cell r="BE104" t="e">
            <v>#N/A</v>
          </cell>
        </row>
        <row r="105">
          <cell r="BE105" t="e">
            <v>#N/A</v>
          </cell>
        </row>
        <row r="106">
          <cell r="BE106" t="e">
            <v>#N/A</v>
          </cell>
        </row>
        <row r="107">
          <cell r="BE107" t="e">
            <v>#N/A</v>
          </cell>
        </row>
        <row r="108">
          <cell r="AQ108" t="e">
            <v>#N/A</v>
          </cell>
          <cell r="BE108" t="e">
            <v>#N/A</v>
          </cell>
        </row>
        <row r="109">
          <cell r="BE109" t="e">
            <v>#N/A</v>
          </cell>
        </row>
        <row r="110">
          <cell r="BE110" t="e">
            <v>#N/A</v>
          </cell>
        </row>
        <row r="111">
          <cell r="BE111" t="e">
            <v>#N/A</v>
          </cell>
        </row>
        <row r="112">
          <cell r="BE112" t="e">
            <v>#N/A</v>
          </cell>
        </row>
        <row r="113">
          <cell r="BE113" t="e">
            <v>#N/A</v>
          </cell>
        </row>
        <row r="114">
          <cell r="BE114" t="e">
            <v>#N/A</v>
          </cell>
        </row>
        <row r="115">
          <cell r="BE115" t="e">
            <v>#N/A</v>
          </cell>
        </row>
        <row r="116">
          <cell r="BE116" t="e">
            <v>#N/A</v>
          </cell>
        </row>
        <row r="117">
          <cell r="BE117" t="e">
            <v>#N/A</v>
          </cell>
        </row>
        <row r="118">
          <cell r="BE118" t="e">
            <v>#N/A</v>
          </cell>
        </row>
        <row r="119">
          <cell r="BE119" t="e">
            <v>#N/A</v>
          </cell>
        </row>
        <row r="120">
          <cell r="BE120" t="e">
            <v>#N/A</v>
          </cell>
        </row>
        <row r="121">
          <cell r="BE121" t="e">
            <v>#N/A</v>
          </cell>
        </row>
        <row r="135">
          <cell r="BD135" t="str">
            <v/>
          </cell>
          <cell r="BE135" t="str">
            <v/>
          </cell>
        </row>
        <row r="136">
          <cell r="AJ136" t="str">
            <v/>
          </cell>
          <cell r="AK136" t="str">
            <v/>
          </cell>
          <cell r="BE136" t="str">
            <v/>
          </cell>
        </row>
        <row r="137">
          <cell r="AP137">
            <v>0</v>
          </cell>
          <cell r="AQ137" t="str">
            <v/>
          </cell>
          <cell r="AS137" t="e">
            <v>#N/A</v>
          </cell>
          <cell r="AT137" t="e">
            <v>#N/A</v>
          </cell>
          <cell r="BE137" t="str">
            <v/>
          </cell>
        </row>
        <row r="138">
          <cell r="AT138" t="e">
            <v>#N/A</v>
          </cell>
          <cell r="BE138" t="str">
            <v/>
          </cell>
        </row>
        <row r="139">
          <cell r="AT139" t="e">
            <v>#N/A</v>
          </cell>
          <cell r="BE139" t="str">
            <v/>
          </cell>
        </row>
        <row r="140">
          <cell r="AT140" t="e">
            <v>#N/A</v>
          </cell>
          <cell r="BE140" t="str">
            <v/>
          </cell>
        </row>
        <row r="141">
          <cell r="AT141" t="e">
            <v>#N/A</v>
          </cell>
          <cell r="BE141" t="str">
            <v/>
          </cell>
        </row>
        <row r="142">
          <cell r="AT142" t="e">
            <v>#N/A</v>
          </cell>
          <cell r="BE142" t="str">
            <v/>
          </cell>
        </row>
        <row r="143">
          <cell r="AT143" t="str">
            <v/>
          </cell>
          <cell r="BE143" t="str">
            <v/>
          </cell>
        </row>
        <row r="144">
          <cell r="AT144" t="str">
            <v/>
          </cell>
          <cell r="BE144" t="str">
            <v/>
          </cell>
        </row>
        <row r="145">
          <cell r="AT145" t="str">
            <v/>
          </cell>
          <cell r="BE145" t="str">
            <v/>
          </cell>
        </row>
        <row r="146">
          <cell r="AK146" t="str">
            <v/>
          </cell>
          <cell r="AT146" t="str">
            <v/>
          </cell>
          <cell r="BE146" t="str">
            <v/>
          </cell>
        </row>
        <row r="147">
          <cell r="BE147" t="str">
            <v/>
          </cell>
        </row>
        <row r="148">
          <cell r="BE148" t="str">
            <v/>
          </cell>
        </row>
        <row r="149">
          <cell r="BE149" t="str">
            <v/>
          </cell>
        </row>
        <row r="150">
          <cell r="BE150" t="str">
            <v/>
          </cell>
        </row>
        <row r="151">
          <cell r="BE151" t="str">
            <v/>
          </cell>
        </row>
        <row r="152">
          <cell r="BE152" t="str">
            <v/>
          </cell>
        </row>
        <row r="153">
          <cell r="BE153" t="str">
            <v/>
          </cell>
        </row>
        <row r="154">
          <cell r="BE154" t="str">
            <v/>
          </cell>
        </row>
        <row r="155">
          <cell r="BE155" t="str">
            <v/>
          </cell>
        </row>
        <row r="156">
          <cell r="BE156" t="str">
            <v/>
          </cell>
        </row>
        <row r="157">
          <cell r="BE157" t="str">
            <v/>
          </cell>
        </row>
        <row r="158">
          <cell r="BE158" t="str">
            <v/>
          </cell>
        </row>
        <row r="159">
          <cell r="BE159" t="str">
            <v/>
          </cell>
        </row>
        <row r="160">
          <cell r="BE160" t="str">
            <v/>
          </cell>
        </row>
        <row r="161">
          <cell r="BE161" t="str">
            <v/>
          </cell>
        </row>
        <row r="162">
          <cell r="AQ162" t="str">
            <v/>
          </cell>
          <cell r="BE162" t="str">
            <v/>
          </cell>
        </row>
        <row r="163">
          <cell r="BE163" t="str">
            <v/>
          </cell>
        </row>
        <row r="164">
          <cell r="BE164" t="str">
            <v/>
          </cell>
        </row>
        <row r="165">
          <cell r="BE165" t="str">
            <v/>
          </cell>
        </row>
        <row r="166">
          <cell r="BE166" t="str">
            <v/>
          </cell>
        </row>
        <row r="167">
          <cell r="BE167" t="str">
            <v/>
          </cell>
        </row>
        <row r="168">
          <cell r="BE168" t="str">
            <v/>
          </cell>
        </row>
        <row r="169">
          <cell r="BE169" t="str">
            <v/>
          </cell>
        </row>
        <row r="170">
          <cell r="BE170" t="str">
            <v/>
          </cell>
        </row>
        <row r="171">
          <cell r="BE171" t="str">
            <v/>
          </cell>
        </row>
        <row r="172">
          <cell r="BE172" t="str">
            <v/>
          </cell>
        </row>
        <row r="173">
          <cell r="BE173" t="str">
            <v/>
          </cell>
        </row>
        <row r="174">
          <cell r="BE174" t="str">
            <v/>
          </cell>
        </row>
        <row r="175">
          <cell r="BE175" t="str">
            <v/>
          </cell>
        </row>
        <row r="189">
          <cell r="BD189" t="str">
            <v/>
          </cell>
          <cell r="BE189" t="str">
            <v/>
          </cell>
        </row>
        <row r="190">
          <cell r="AJ190" t="str">
            <v/>
          </cell>
          <cell r="AK190" t="str">
            <v/>
          </cell>
          <cell r="BE190" t="str">
            <v/>
          </cell>
        </row>
        <row r="191">
          <cell r="AP191">
            <v>0</v>
          </cell>
          <cell r="AQ191" t="str">
            <v/>
          </cell>
          <cell r="AS191" t="e">
            <v>#N/A</v>
          </cell>
          <cell r="AT191" t="e">
            <v>#N/A</v>
          </cell>
          <cell r="BE191" t="str">
            <v/>
          </cell>
        </row>
        <row r="192">
          <cell r="AT192" t="e">
            <v>#N/A</v>
          </cell>
          <cell r="BE192" t="str">
            <v/>
          </cell>
        </row>
        <row r="193">
          <cell r="AT193" t="e">
            <v>#N/A</v>
          </cell>
          <cell r="BE193" t="str">
            <v/>
          </cell>
        </row>
        <row r="194">
          <cell r="AT194" t="e">
            <v>#N/A</v>
          </cell>
          <cell r="BE194" t="str">
            <v/>
          </cell>
        </row>
        <row r="195">
          <cell r="AT195" t="e">
            <v>#N/A</v>
          </cell>
          <cell r="BE195" t="str">
            <v/>
          </cell>
        </row>
        <row r="196">
          <cell r="AT196" t="e">
            <v>#N/A</v>
          </cell>
          <cell r="BE196" t="str">
            <v/>
          </cell>
        </row>
        <row r="197">
          <cell r="AT197" t="str">
            <v/>
          </cell>
          <cell r="BE197" t="str">
            <v/>
          </cell>
        </row>
        <row r="198">
          <cell r="AT198" t="str">
            <v/>
          </cell>
          <cell r="BE198" t="str">
            <v/>
          </cell>
        </row>
        <row r="199">
          <cell r="AT199" t="str">
            <v/>
          </cell>
          <cell r="BE199" t="str">
            <v/>
          </cell>
        </row>
        <row r="200">
          <cell r="AK200" t="str">
            <v/>
          </cell>
          <cell r="AT200" t="str">
            <v/>
          </cell>
          <cell r="BE200" t="str">
            <v/>
          </cell>
        </row>
        <row r="201">
          <cell r="BE201" t="str">
            <v/>
          </cell>
        </row>
        <row r="202">
          <cell r="BE202" t="str">
            <v/>
          </cell>
        </row>
        <row r="203">
          <cell r="BE203" t="str">
            <v/>
          </cell>
        </row>
        <row r="204">
          <cell r="BE204" t="str">
            <v/>
          </cell>
        </row>
        <row r="205">
          <cell r="BE205" t="str">
            <v/>
          </cell>
        </row>
        <row r="206">
          <cell r="BE206" t="str">
            <v/>
          </cell>
        </row>
        <row r="207">
          <cell r="BE207" t="str">
            <v/>
          </cell>
        </row>
        <row r="208">
          <cell r="BE208" t="str">
            <v/>
          </cell>
        </row>
        <row r="209">
          <cell r="BE209" t="str">
            <v/>
          </cell>
        </row>
        <row r="210">
          <cell r="BE210" t="str">
            <v/>
          </cell>
        </row>
        <row r="211">
          <cell r="BE211" t="str">
            <v/>
          </cell>
        </row>
        <row r="212">
          <cell r="BE212" t="str">
            <v/>
          </cell>
        </row>
        <row r="213">
          <cell r="BE213" t="str">
            <v/>
          </cell>
        </row>
        <row r="214">
          <cell r="BE214" t="str">
            <v/>
          </cell>
        </row>
        <row r="215">
          <cell r="BE215" t="str">
            <v/>
          </cell>
        </row>
        <row r="216">
          <cell r="AQ216" t="str">
            <v/>
          </cell>
          <cell r="BE216" t="str">
            <v/>
          </cell>
        </row>
        <row r="217">
          <cell r="BE217" t="str">
            <v/>
          </cell>
        </row>
        <row r="218">
          <cell r="BE218" t="str">
            <v/>
          </cell>
        </row>
        <row r="219">
          <cell r="BE219" t="str">
            <v/>
          </cell>
        </row>
        <row r="220">
          <cell r="BE220" t="str">
            <v/>
          </cell>
        </row>
        <row r="221">
          <cell r="BE221" t="str">
            <v/>
          </cell>
        </row>
        <row r="222">
          <cell r="BE222" t="str">
            <v/>
          </cell>
        </row>
        <row r="223">
          <cell r="BE223" t="str">
            <v/>
          </cell>
        </row>
        <row r="224">
          <cell r="BE224" t="str">
            <v/>
          </cell>
        </row>
        <row r="225">
          <cell r="BE225" t="str">
            <v/>
          </cell>
        </row>
        <row r="226">
          <cell r="BE226" t="str">
            <v/>
          </cell>
        </row>
        <row r="227">
          <cell r="BE227" t="str">
            <v/>
          </cell>
        </row>
        <row r="228">
          <cell r="BE228" t="str">
            <v/>
          </cell>
        </row>
        <row r="229">
          <cell r="BE229" t="str">
            <v/>
          </cell>
        </row>
        <row r="243">
          <cell r="BD243" t="str">
            <v/>
          </cell>
          <cell r="BE243" t="str">
            <v/>
          </cell>
        </row>
        <row r="244">
          <cell r="AJ244" t="str">
            <v/>
          </cell>
          <cell r="AK244" t="str">
            <v/>
          </cell>
          <cell r="BE244" t="str">
            <v/>
          </cell>
        </row>
        <row r="245">
          <cell r="AP245">
            <v>0</v>
          </cell>
          <cell r="AQ245" t="str">
            <v/>
          </cell>
          <cell r="AS245" t="e">
            <v>#N/A</v>
          </cell>
          <cell r="AT245" t="e">
            <v>#N/A</v>
          </cell>
          <cell r="BE245" t="str">
            <v/>
          </cell>
        </row>
        <row r="246">
          <cell r="AT246" t="e">
            <v>#N/A</v>
          </cell>
          <cell r="BE246" t="str">
            <v/>
          </cell>
        </row>
        <row r="247">
          <cell r="AT247" t="e">
            <v>#N/A</v>
          </cell>
          <cell r="BE247" t="str">
            <v/>
          </cell>
        </row>
        <row r="248">
          <cell r="AT248" t="e">
            <v>#N/A</v>
          </cell>
          <cell r="BE248" t="str">
            <v/>
          </cell>
        </row>
        <row r="249">
          <cell r="AT249" t="e">
            <v>#N/A</v>
          </cell>
          <cell r="BE249" t="str">
            <v/>
          </cell>
        </row>
        <row r="250">
          <cell r="AT250" t="e">
            <v>#N/A</v>
          </cell>
          <cell r="BE250" t="str">
            <v/>
          </cell>
        </row>
        <row r="251">
          <cell r="AT251" t="str">
            <v/>
          </cell>
          <cell r="BE251" t="str">
            <v/>
          </cell>
        </row>
        <row r="252">
          <cell r="AT252" t="str">
            <v/>
          </cell>
          <cell r="BE252" t="str">
            <v/>
          </cell>
        </row>
        <row r="253">
          <cell r="AT253" t="str">
            <v/>
          </cell>
          <cell r="BE253" t="str">
            <v/>
          </cell>
        </row>
        <row r="254">
          <cell r="AK254" t="str">
            <v/>
          </cell>
          <cell r="AT254" t="str">
            <v/>
          </cell>
          <cell r="BE254" t="str">
            <v/>
          </cell>
        </row>
        <row r="255">
          <cell r="BE255" t="str">
            <v/>
          </cell>
        </row>
        <row r="256">
          <cell r="BE256" t="str">
            <v/>
          </cell>
        </row>
        <row r="257">
          <cell r="BE257" t="str">
            <v/>
          </cell>
        </row>
        <row r="258">
          <cell r="BE258" t="str">
            <v/>
          </cell>
        </row>
        <row r="259">
          <cell r="BE259" t="str">
            <v/>
          </cell>
        </row>
        <row r="260">
          <cell r="BE260" t="str">
            <v/>
          </cell>
        </row>
        <row r="261">
          <cell r="BE261" t="str">
            <v/>
          </cell>
        </row>
        <row r="262">
          <cell r="BE262" t="str">
            <v/>
          </cell>
        </row>
        <row r="263">
          <cell r="BE263" t="str">
            <v/>
          </cell>
        </row>
        <row r="264">
          <cell r="BE264" t="str">
            <v/>
          </cell>
        </row>
        <row r="265">
          <cell r="BE265" t="str">
            <v/>
          </cell>
        </row>
        <row r="266">
          <cell r="BE266" t="str">
            <v/>
          </cell>
        </row>
        <row r="267">
          <cell r="BE267" t="str">
            <v/>
          </cell>
        </row>
        <row r="268">
          <cell r="BE268" t="str">
            <v/>
          </cell>
        </row>
        <row r="269">
          <cell r="BE269" t="str">
            <v/>
          </cell>
        </row>
        <row r="270">
          <cell r="AQ270" t="str">
            <v/>
          </cell>
          <cell r="BE270" t="str">
            <v/>
          </cell>
        </row>
        <row r="271">
          <cell r="BE271" t="str">
            <v/>
          </cell>
        </row>
        <row r="272">
          <cell r="BE272" t="str">
            <v/>
          </cell>
        </row>
        <row r="273">
          <cell r="BE273" t="str">
            <v/>
          </cell>
        </row>
        <row r="274">
          <cell r="BE274" t="str">
            <v/>
          </cell>
        </row>
        <row r="275">
          <cell r="BE275" t="str">
            <v/>
          </cell>
        </row>
        <row r="276">
          <cell r="BE276" t="str">
            <v/>
          </cell>
        </row>
        <row r="277">
          <cell r="BE277" t="str">
            <v/>
          </cell>
        </row>
        <row r="278">
          <cell r="BE278" t="str">
            <v/>
          </cell>
        </row>
        <row r="279">
          <cell r="BE279" t="str">
            <v/>
          </cell>
        </row>
        <row r="280">
          <cell r="BE280" t="str">
            <v/>
          </cell>
        </row>
        <row r="281">
          <cell r="BE281" t="str">
            <v/>
          </cell>
        </row>
        <row r="282">
          <cell r="BE282" t="str">
            <v/>
          </cell>
        </row>
        <row r="283">
          <cell r="BE283" t="str">
            <v/>
          </cell>
        </row>
        <row r="297">
          <cell r="BD297" t="str">
            <v/>
          </cell>
          <cell r="BE297" t="str">
            <v/>
          </cell>
        </row>
        <row r="298">
          <cell r="AJ298" t="str">
            <v>AVENTOS HK TOP</v>
          </cell>
          <cell r="AK298">
            <v>1</v>
          </cell>
          <cell r="BE298" t="str">
            <v/>
          </cell>
        </row>
        <row r="299">
          <cell r="AP299" t="e">
            <v>#NAME?</v>
          </cell>
          <cell r="AQ299" t="e">
            <v>#NAME?</v>
          </cell>
          <cell r="AS299" t="e">
            <v>#NAME?</v>
          </cell>
          <cell r="AT299" t="e">
            <v>#NAME?</v>
          </cell>
          <cell r="BE299" t="str">
            <v/>
          </cell>
        </row>
        <row r="300">
          <cell r="AT300" t="e">
            <v>#NAME?</v>
          </cell>
          <cell r="BE300" t="str">
            <v/>
          </cell>
        </row>
        <row r="301">
          <cell r="AT301" t="e">
            <v>#NAME?</v>
          </cell>
          <cell r="BE301" t="str">
            <v/>
          </cell>
        </row>
        <row r="302">
          <cell r="AT302" t="e">
            <v>#NAME?</v>
          </cell>
          <cell r="BE302" t="str">
            <v/>
          </cell>
        </row>
        <row r="303">
          <cell r="AT303" t="e">
            <v>#NAME?</v>
          </cell>
          <cell r="BE303" t="str">
            <v/>
          </cell>
        </row>
        <row r="304">
          <cell r="AT304" t="e">
            <v>#NAME?</v>
          </cell>
          <cell r="BE304" t="str">
            <v/>
          </cell>
        </row>
        <row r="305">
          <cell r="AT305" t="str">
            <v/>
          </cell>
          <cell r="BE305" t="str">
            <v/>
          </cell>
        </row>
        <row r="306">
          <cell r="AT306" t="str">
            <v/>
          </cell>
          <cell r="BE306" t="str">
            <v/>
          </cell>
        </row>
        <row r="307">
          <cell r="AT307" t="str">
            <v/>
          </cell>
          <cell r="BE307" t="str">
            <v/>
          </cell>
        </row>
        <row r="308">
          <cell r="AK308">
            <v>1</v>
          </cell>
          <cell r="AT308" t="str">
            <v/>
          </cell>
          <cell r="BE308" t="str">
            <v/>
          </cell>
        </row>
        <row r="309">
          <cell r="BE309" t="str">
            <v/>
          </cell>
        </row>
        <row r="310">
          <cell r="BE310" t="str">
            <v/>
          </cell>
        </row>
        <row r="311">
          <cell r="BE311" t="str">
            <v/>
          </cell>
        </row>
        <row r="312">
          <cell r="BE312" t="str">
            <v/>
          </cell>
        </row>
        <row r="313">
          <cell r="BE313" t="str">
            <v/>
          </cell>
        </row>
        <row r="314">
          <cell r="BE314" t="str">
            <v/>
          </cell>
        </row>
        <row r="315">
          <cell r="BE315" t="str">
            <v/>
          </cell>
        </row>
        <row r="316">
          <cell r="BE316" t="str">
            <v/>
          </cell>
        </row>
        <row r="317">
          <cell r="BE317" t="str">
            <v/>
          </cell>
        </row>
        <row r="318">
          <cell r="BE318" t="str">
            <v/>
          </cell>
        </row>
        <row r="319">
          <cell r="BE319" t="str">
            <v/>
          </cell>
        </row>
        <row r="320">
          <cell r="BE320" t="str">
            <v/>
          </cell>
        </row>
        <row r="321">
          <cell r="BE321" t="str">
            <v/>
          </cell>
        </row>
        <row r="322">
          <cell r="BE322" t="str">
            <v/>
          </cell>
        </row>
        <row r="323">
          <cell r="BE323" t="str">
            <v/>
          </cell>
        </row>
        <row r="324">
          <cell r="AQ324" t="e">
            <v>#NAME?</v>
          </cell>
          <cell r="BE324" t="str">
            <v/>
          </cell>
        </row>
        <row r="325">
          <cell r="BE325" t="str">
            <v/>
          </cell>
        </row>
        <row r="326">
          <cell r="BE326" t="str">
            <v/>
          </cell>
        </row>
        <row r="327">
          <cell r="BE327" t="str">
            <v/>
          </cell>
        </row>
        <row r="328">
          <cell r="BE328" t="str">
            <v/>
          </cell>
        </row>
        <row r="329">
          <cell r="BE329" t="str">
            <v/>
          </cell>
        </row>
        <row r="330">
          <cell r="BE330" t="str">
            <v/>
          </cell>
        </row>
        <row r="331">
          <cell r="BE331" t="str">
            <v/>
          </cell>
        </row>
        <row r="332">
          <cell r="BE332" t="str">
            <v/>
          </cell>
        </row>
        <row r="333">
          <cell r="BE333" t="str">
            <v/>
          </cell>
        </row>
        <row r="334">
          <cell r="BE334" t="str">
            <v/>
          </cell>
        </row>
        <row r="335">
          <cell r="BE335" t="str">
            <v/>
          </cell>
        </row>
        <row r="336">
          <cell r="BE336" t="str">
            <v/>
          </cell>
        </row>
        <row r="337">
          <cell r="BE337" t="str">
            <v/>
          </cell>
        </row>
        <row r="351">
          <cell r="BD351" t="str">
            <v/>
          </cell>
          <cell r="BE351" t="str">
            <v/>
          </cell>
        </row>
        <row r="352">
          <cell r="AJ352" t="str">
            <v/>
          </cell>
          <cell r="AK352" t="str">
            <v/>
          </cell>
          <cell r="BE352" t="str">
            <v/>
          </cell>
        </row>
        <row r="353">
          <cell r="AP353">
            <v>0</v>
          </cell>
          <cell r="AQ353" t="str">
            <v/>
          </cell>
          <cell r="AS353" t="e">
            <v>#N/A</v>
          </cell>
          <cell r="AT353" t="e">
            <v>#N/A</v>
          </cell>
          <cell r="BE353" t="str">
            <v/>
          </cell>
        </row>
        <row r="354">
          <cell r="AT354" t="e">
            <v>#N/A</v>
          </cell>
          <cell r="BE354" t="str">
            <v/>
          </cell>
        </row>
        <row r="355">
          <cell r="AT355" t="e">
            <v>#N/A</v>
          </cell>
          <cell r="BE355" t="str">
            <v/>
          </cell>
        </row>
        <row r="356">
          <cell r="AT356" t="e">
            <v>#N/A</v>
          </cell>
          <cell r="BE356" t="str">
            <v/>
          </cell>
        </row>
        <row r="357">
          <cell r="AT357" t="e">
            <v>#N/A</v>
          </cell>
          <cell r="BE357" t="str">
            <v/>
          </cell>
        </row>
        <row r="358">
          <cell r="AT358" t="e">
            <v>#N/A</v>
          </cell>
          <cell r="BE358" t="str">
            <v/>
          </cell>
        </row>
        <row r="359">
          <cell r="AT359" t="str">
            <v/>
          </cell>
          <cell r="BE359" t="str">
            <v/>
          </cell>
        </row>
        <row r="360">
          <cell r="AT360" t="str">
            <v/>
          </cell>
          <cell r="BE360" t="str">
            <v/>
          </cell>
        </row>
        <row r="361">
          <cell r="AT361" t="str">
            <v/>
          </cell>
          <cell r="BE361" t="str">
            <v/>
          </cell>
        </row>
        <row r="362">
          <cell r="AK362" t="str">
            <v/>
          </cell>
          <cell r="AT362" t="str">
            <v/>
          </cell>
          <cell r="BE362" t="str">
            <v/>
          </cell>
        </row>
        <row r="363">
          <cell r="BE363" t="str">
            <v/>
          </cell>
        </row>
        <row r="364">
          <cell r="BE364" t="str">
            <v/>
          </cell>
        </row>
        <row r="365">
          <cell r="BE365" t="str">
            <v/>
          </cell>
        </row>
        <row r="366">
          <cell r="BE366" t="str">
            <v/>
          </cell>
        </row>
        <row r="367">
          <cell r="BE367" t="str">
            <v/>
          </cell>
        </row>
        <row r="368">
          <cell r="BE368" t="str">
            <v/>
          </cell>
        </row>
        <row r="369">
          <cell r="BE369" t="str">
            <v/>
          </cell>
        </row>
        <row r="370">
          <cell r="BE370" t="str">
            <v/>
          </cell>
        </row>
        <row r="371">
          <cell r="BE371" t="str">
            <v/>
          </cell>
        </row>
        <row r="372">
          <cell r="BE372" t="str">
            <v/>
          </cell>
        </row>
        <row r="373">
          <cell r="BE373" t="str">
            <v/>
          </cell>
        </row>
        <row r="374">
          <cell r="BE374" t="str">
            <v/>
          </cell>
        </row>
        <row r="375">
          <cell r="BE375" t="str">
            <v/>
          </cell>
        </row>
        <row r="376">
          <cell r="BE376" t="str">
            <v/>
          </cell>
        </row>
        <row r="377">
          <cell r="BE377" t="str">
            <v/>
          </cell>
        </row>
        <row r="378">
          <cell r="AQ378" t="str">
            <v/>
          </cell>
          <cell r="BE378" t="str">
            <v/>
          </cell>
        </row>
        <row r="379">
          <cell r="BE379" t="str">
            <v/>
          </cell>
        </row>
        <row r="380">
          <cell r="BE380" t="str">
            <v/>
          </cell>
        </row>
        <row r="381">
          <cell r="BE381" t="str">
            <v/>
          </cell>
        </row>
        <row r="382">
          <cell r="BE382" t="str">
            <v/>
          </cell>
        </row>
        <row r="383">
          <cell r="BE383" t="str">
            <v/>
          </cell>
        </row>
        <row r="384">
          <cell r="BE384" t="str">
            <v/>
          </cell>
        </row>
        <row r="385">
          <cell r="BE385" t="str">
            <v/>
          </cell>
        </row>
        <row r="386">
          <cell r="BE386" t="str">
            <v/>
          </cell>
        </row>
        <row r="387">
          <cell r="BE387" t="str">
            <v/>
          </cell>
        </row>
        <row r="388">
          <cell r="BE388" t="str">
            <v/>
          </cell>
        </row>
        <row r="389">
          <cell r="BE389" t="str">
            <v/>
          </cell>
        </row>
        <row r="390">
          <cell r="BE390" t="str">
            <v/>
          </cell>
        </row>
        <row r="391">
          <cell r="BE391" t="str">
            <v/>
          </cell>
        </row>
        <row r="404">
          <cell r="J404" t="str">
            <v>Závěsy</v>
          </cell>
        </row>
        <row r="406">
          <cell r="J406" t="str">
            <v>AVENTOS HF</v>
          </cell>
        </row>
        <row r="407">
          <cell r="J407" t="str">
            <v>AVENTOS HF Servo Drive</v>
          </cell>
        </row>
        <row r="408">
          <cell r="J408" t="str">
            <v>Aventos ostatní</v>
          </cell>
        </row>
        <row r="411">
          <cell r="J411" t="str">
            <v>Horní dvířko</v>
          </cell>
        </row>
        <row r="412">
          <cell r="J412" t="str">
            <v>Spodní dvířko</v>
          </cell>
        </row>
        <row r="413">
          <cell r="J413" t="str">
            <v>AVENTOS HK TOP</v>
          </cell>
        </row>
        <row r="414">
          <cell r="J414" t="str">
            <v>AVENTOS HKS</v>
          </cell>
        </row>
        <row r="415">
          <cell r="J415" t="str">
            <v>AVENTOS HL</v>
          </cell>
        </row>
        <row r="416">
          <cell r="J416" t="str">
            <v>AVENTOS HS</v>
          </cell>
        </row>
        <row r="417">
          <cell r="J417" t="str">
            <v>AVENTOS HK-XS</v>
          </cell>
        </row>
        <row r="419">
          <cell r="J419" t="str">
            <v>BLUM</v>
          </cell>
        </row>
        <row r="420">
          <cell r="J420" t="str">
            <v>STRONG s tlumením</v>
          </cell>
        </row>
        <row r="421">
          <cell r="J421" t="str">
            <v>STRONG bez tlumení</v>
          </cell>
        </row>
        <row r="422">
          <cell r="J422" t="str">
            <v>HETTICH</v>
          </cell>
        </row>
        <row r="423">
          <cell r="J423" t="str">
            <v>STRONG Plus</v>
          </cell>
        </row>
        <row r="425">
          <cell r="J425" t="str">
            <v xml:space="preserve">Vpravo </v>
          </cell>
        </row>
        <row r="426">
          <cell r="J426" t="str">
            <v>Vlevo</v>
          </cell>
        </row>
        <row r="427">
          <cell r="J427" t="str">
            <v>2 Kusy (obě strany)</v>
          </cell>
        </row>
        <row r="428">
          <cell r="J428" t="str">
            <v>AVENTOS HK TOP Servo Drive</v>
          </cell>
        </row>
        <row r="429">
          <cell r="J429" t="str">
            <v>Hmotnost úchytky (g)</v>
          </cell>
        </row>
        <row r="430">
          <cell r="J430" t="str">
            <v>Typ ramene</v>
          </cell>
        </row>
        <row r="431">
          <cell r="J431" t="str">
            <v>Typ závěsů</v>
          </cell>
        </row>
        <row r="432">
          <cell r="J432" t="str">
            <v>Provedení druhého dvířka</v>
          </cell>
        </row>
        <row r="434">
          <cell r="J434" t="str">
            <v>Výrobce závěsů</v>
          </cell>
        </row>
        <row r="435">
          <cell r="J435" t="str">
            <v>Typ Aventosu</v>
          </cell>
        </row>
        <row r="436">
          <cell r="J436" t="str">
            <v>Typ podložky</v>
          </cell>
        </row>
        <row r="437">
          <cell r="J437" t="str">
            <v>AVENTOS HL Servo Drive</v>
          </cell>
        </row>
        <row r="438">
          <cell r="J438" t="str">
            <v>Počet závěsu na 1 rámeček</v>
          </cell>
        </row>
        <row r="439">
          <cell r="J439" t="str">
            <v>Vzdálenost závěsu od kraje</v>
          </cell>
        </row>
        <row r="440">
          <cell r="J440" t="str">
            <v>Úzký ALU rámeček</v>
          </cell>
        </row>
        <row r="441">
          <cell r="J441" t="str">
            <v>Výběr pozice rámečku</v>
          </cell>
        </row>
        <row r="442">
          <cell r="J442" t="str">
            <v>Umístění ramene</v>
          </cell>
        </row>
        <row r="443">
          <cell r="J443" t="str">
            <v>Široký ALU rámeček</v>
          </cell>
        </row>
        <row r="444">
          <cell r="J444" t="str">
            <v>MDF tloušťky 16 mm</v>
          </cell>
        </row>
        <row r="445">
          <cell r="J445" t="str">
            <v>MDF tloušťky 18 mm</v>
          </cell>
        </row>
        <row r="446">
          <cell r="J446" t="str">
            <v>DTDL tloušťky 18 mm</v>
          </cell>
        </row>
        <row r="447">
          <cell r="J447" t="str">
            <v>AVENTOS HK-XS TIP-ON</v>
          </cell>
        </row>
        <row r="448">
          <cell r="J448" t="str">
            <v>AVENTOS HK TOP TIP ON</v>
          </cell>
        </row>
        <row r="449">
          <cell r="J449" t="str">
            <v>AVENTOS HS Servo Drive</v>
          </cell>
        </row>
        <row r="450">
          <cell r="J450" t="str">
            <v>AVENTOS HKS TIP ON</v>
          </cell>
        </row>
        <row r="451">
          <cell r="J451" t="str">
            <v>Nahoře</v>
          </cell>
        </row>
        <row r="452">
          <cell r="J452" t="str">
            <v>Dole</v>
          </cell>
        </row>
      </sheetData>
      <sheetData sheetId="3">
        <row r="292">
          <cell r="B292" t="str">
            <v>Maximální možný rozměr rámečku je 2500x1300mm</v>
          </cell>
        </row>
        <row r="293">
          <cell r="B293" t="str">
            <v>Minimální vzdálenost závěsu od kraje rámečku je 70mm</v>
          </cell>
        </row>
        <row r="294">
          <cell r="B294" t="str">
            <v>Minimální vzdálenost závěsu od kraje rámečku je 80mm</v>
          </cell>
        </row>
        <row r="472">
          <cell r="B472" t="str">
            <v>Minimální možný rozměr rámečku je 140x140mm</v>
          </cell>
        </row>
      </sheetData>
      <sheetData sheetId="4" refreshError="1"/>
      <sheetData sheetId="5">
        <row r="1">
          <cell r="M1" t="str">
            <v>Úzký ALU rámeček</v>
          </cell>
        </row>
        <row r="2">
          <cell r="D2" t="str">
            <v>STRONG 30N bílý Automatický (248162+276001)</v>
          </cell>
          <cell r="M2" t="str">
            <v>Široký ALU rámeček</v>
          </cell>
          <cell r="X2" t="str">
            <v>Čiré</v>
          </cell>
          <cell r="Y2" t="str">
            <v>Zrcadlo</v>
          </cell>
          <cell r="AB2" t="str">
            <v>BRW (elox.)</v>
          </cell>
        </row>
        <row r="3">
          <cell r="D3" t="str">
            <v>STRONG 60N bílý Automatický (248163+276001)</v>
          </cell>
          <cell r="M3" t="str">
            <v>MDF tloušťky 16 mm</v>
          </cell>
          <cell r="X3" t="str">
            <v>Čiré kalené (dodání 3 týdny)</v>
          </cell>
          <cell r="Y3" t="str">
            <v>Zrcadlo hnědé</v>
          </cell>
          <cell r="AB3" t="str">
            <v>BRW antracit</v>
          </cell>
        </row>
        <row r="4">
          <cell r="D4" t="str">
            <v>STRONG 80N bílý Automatický (248164+276001)</v>
          </cell>
          <cell r="M4" t="str">
            <v>MDF tloušťky 18 mm</v>
          </cell>
          <cell r="X4" t="str">
            <v>Satinato</v>
          </cell>
          <cell r="Y4" t="str">
            <v>Zrcadlo grafit</v>
          </cell>
          <cell r="AB4" t="str">
            <v>BRW bílá mat</v>
          </cell>
        </row>
        <row r="5">
          <cell r="D5" t="str">
            <v>STRONG 100N bílý Automatický (248165+276001)</v>
          </cell>
          <cell r="M5" t="str">
            <v>DTDL tloušťky 18 mm</v>
          </cell>
          <cell r="X5" t="str">
            <v>Satinato kalené (dodání 3 týdny)</v>
          </cell>
          <cell r="Y5" t="str">
            <v>Zrcadlo + bezpečnostní fólie</v>
          </cell>
          <cell r="AB5" t="str">
            <v>BRW bílá lesk</v>
          </cell>
        </row>
        <row r="6">
          <cell r="D6" t="str">
            <v>STRONG 120N bílý Automatický (248166+276001)</v>
          </cell>
          <cell r="X6" t="str">
            <v>Satinato hnědé</v>
          </cell>
          <cell r="Y6" t="str">
            <v>Stopsol bronz</v>
          </cell>
          <cell r="AB6" t="str">
            <v>BRW hnědá</v>
          </cell>
        </row>
        <row r="7">
          <cell r="D7" t="str">
            <v>STRONG 60N bílý Polohovací (284254+276001)</v>
          </cell>
          <cell r="X7" t="str">
            <v>Satinato grafit</v>
          </cell>
          <cell r="Y7" t="str">
            <v>Lakomat</v>
          </cell>
          <cell r="AB7" t="str">
            <v>BRW broušené</v>
          </cell>
        </row>
        <row r="8">
          <cell r="D8" t="str">
            <v>STRONG 80N bílý Polohovací (284255+276001)</v>
          </cell>
          <cell r="X8" t="str">
            <v>Screen</v>
          </cell>
          <cell r="Y8" t="str">
            <v>Master  Ligne</v>
          </cell>
          <cell r="AB8" t="str">
            <v>BRW černá mat</v>
          </cell>
        </row>
        <row r="9">
          <cell r="D9" t="str">
            <v>STRONG 100N bílý Polohovací (284256+276001)</v>
          </cell>
          <cell r="X9" t="str">
            <v>Venus VG10</v>
          </cell>
          <cell r="Y9" t="str">
            <v>Master  Point</v>
          </cell>
          <cell r="AB9" t="str">
            <v>BRW černá lesk</v>
          </cell>
        </row>
        <row r="10">
          <cell r="D10" t="str">
            <v>STRONG 120N bílý Polohovací (284257+276001)</v>
          </cell>
          <cell r="X10" t="str">
            <v>Stopsol bronz</v>
          </cell>
          <cell r="Y10" t="str">
            <v xml:space="preserve">Master  Ray </v>
          </cell>
          <cell r="AB10" t="str">
            <v>BRW černá broušená</v>
          </cell>
        </row>
        <row r="11">
          <cell r="D11" t="str">
            <v>STRONG 30N šedý Automatický (275672+276001)</v>
          </cell>
          <cell r="X11" t="str">
            <v>Lakomat</v>
          </cell>
          <cell r="Y11" t="str">
            <v>Master  Shine</v>
          </cell>
          <cell r="AB11" t="str">
            <v>BRW světlá nerez (ACIER GRATA)</v>
          </cell>
        </row>
        <row r="12">
          <cell r="D12" t="str">
            <v>STRONG 60N šedý Automatický (275673+276001)</v>
          </cell>
          <cell r="X12" t="str">
            <v>Pisek</v>
          </cell>
          <cell r="Y12" t="str">
            <v>Lacobel RAL 1013</v>
          </cell>
          <cell r="AB12" t="str">
            <v>BRW champagne</v>
          </cell>
        </row>
        <row r="13">
          <cell r="D13" t="str">
            <v>STRONG 80N šedý Automatický (275674+276001)</v>
          </cell>
          <cell r="X13" t="str">
            <v>Antisol bronz</v>
          </cell>
          <cell r="Y13" t="str">
            <v>Lacobel RAL 1014</v>
          </cell>
          <cell r="AB13" t="str">
            <v>BRW tmavá nerez br. (Inox lija)</v>
          </cell>
        </row>
        <row r="14">
          <cell r="D14" t="str">
            <v>STRONG 100N šedý Automatický (275675+276001)</v>
          </cell>
          <cell r="X14" t="str">
            <v>Antisol grafit</v>
          </cell>
          <cell r="Y14" t="str">
            <v>Lacobel RAL 1015</v>
          </cell>
          <cell r="AB14" t="str">
            <v>Corleone (elox.)</v>
          </cell>
        </row>
        <row r="15">
          <cell r="D15" t="str">
            <v>STRONG 120N šedý Automatický (275676+276001)</v>
          </cell>
          <cell r="P15" t="str">
            <v>20L3200</v>
          </cell>
          <cell r="X15" t="str">
            <v>Zrcadlo</v>
          </cell>
          <cell r="Y15" t="str">
            <v>Lacobel RAL 2001</v>
          </cell>
          <cell r="AB15" t="str">
            <v>Corleone černé mat</v>
          </cell>
        </row>
        <row r="16">
          <cell r="D16" t="str">
            <v>STRONG 60N šedý Polohovací (284250+276001)</v>
          </cell>
          <cell r="P16" t="str">
            <v>20L3500</v>
          </cell>
          <cell r="X16" t="str">
            <v>Zrcadlo hnědé</v>
          </cell>
          <cell r="Y16" t="str">
            <v>Lacobel RAL 3004</v>
          </cell>
          <cell r="AB16" t="str">
            <v>Corleone champagne</v>
          </cell>
        </row>
        <row r="17">
          <cell r="D17" t="str">
            <v>STRONG 80N šedý Polohovací (284251+276001)</v>
          </cell>
          <cell r="P17" t="str">
            <v>20L3800</v>
          </cell>
          <cell r="X17" t="str">
            <v>Zrcadlo grafit</v>
          </cell>
          <cell r="Y17" t="str">
            <v>Lacobel RAL 4006</v>
          </cell>
          <cell r="AB17" t="str">
            <v>Imola (elox.)</v>
          </cell>
        </row>
        <row r="18">
          <cell r="D18" t="str">
            <v>STRONG 100N šedý Polohovací (284252+276001)</v>
          </cell>
          <cell r="P18" t="str">
            <v>20L3900</v>
          </cell>
          <cell r="X18" t="str">
            <v>Zrcadlo + bezpečnostní fólie</v>
          </cell>
          <cell r="Y18" t="str">
            <v>Lacobel RAL 5002</v>
          </cell>
          <cell r="AB18" t="str">
            <v>Imola černá mat</v>
          </cell>
        </row>
        <row r="19">
          <cell r="D19" t="str">
            <v>STRONG 120N šedý Polohovací (284253+276001)</v>
          </cell>
          <cell r="X19" t="str">
            <v>Krizet</v>
          </cell>
          <cell r="Y19" t="str">
            <v>Lacobel RAL 7035</v>
          </cell>
          <cell r="AB19" t="str">
            <v>Imola bílá mat</v>
          </cell>
        </row>
        <row r="20">
          <cell r="D20" t="str">
            <v>HUWIL DUO (135017+135019+135024)</v>
          </cell>
          <cell r="P20" t="str">
            <v>Vlevo</v>
          </cell>
          <cell r="X20" t="str">
            <v>Master (Carre)</v>
          </cell>
          <cell r="Y20" t="str">
            <v>Lacobel RAL 8017</v>
          </cell>
          <cell r="AB20" t="str">
            <v>Modena (elox.)</v>
          </cell>
        </row>
        <row r="21">
          <cell r="D21" t="str">
            <v>HUWIL DUO FORTE (135018+135019+135024)</v>
          </cell>
          <cell r="P21" t="str">
            <v xml:space="preserve">Vpravo </v>
          </cell>
          <cell r="X21" t="str">
            <v xml:space="preserve">Master  Lens </v>
          </cell>
          <cell r="Y21" t="str">
            <v>Lacobel RAL 9003</v>
          </cell>
          <cell r="AB21" t="str">
            <v>Modena černá mat</v>
          </cell>
        </row>
        <row r="22">
          <cell r="D22" t="str">
            <v>HUWILIFT MAXI (135044+135045+135047)</v>
          </cell>
          <cell r="P22" t="str">
            <v>2 Kusy (obě strany)</v>
          </cell>
          <cell r="X22" t="str">
            <v>Master  Ligne</v>
          </cell>
          <cell r="Y22" t="str">
            <v>Lacobel RAL 9005</v>
          </cell>
          <cell r="AB22" t="str">
            <v>Modena černá lesk</v>
          </cell>
        </row>
        <row r="23">
          <cell r="D23" t="str">
            <v>HUWILIFT MAXI (135044+135045+135047)</v>
          </cell>
          <cell r="X23" t="str">
            <v>Master  Point</v>
          </cell>
          <cell r="Y23" t="str">
            <v>Lacobel RAL 9006</v>
          </cell>
          <cell r="AB23" t="str">
            <v>Modena černá broušená</v>
          </cell>
        </row>
        <row r="24">
          <cell r="D24" t="str">
            <v>KRABY 164 45N (135006+15597+2x15598+15599)</v>
          </cell>
          <cell r="P24" t="str">
            <v>Vlevo</v>
          </cell>
          <cell r="X24" t="str">
            <v xml:space="preserve">Master  Ray </v>
          </cell>
          <cell r="Y24" t="str">
            <v>Lacobel RAL 9007</v>
          </cell>
          <cell r="AB24" t="str">
            <v>Modena tmavá nerez br. (inox lija)</v>
          </cell>
        </row>
        <row r="25">
          <cell r="D25" t="str">
            <v>KRABY 164 60N (135007+15597+2x15598+15600)</v>
          </cell>
          <cell r="P25" t="str">
            <v xml:space="preserve">Vpravo </v>
          </cell>
          <cell r="X25" t="str">
            <v>Master  Shine</v>
          </cell>
          <cell r="Y25" t="str">
            <v>Lacobel RAL 9010</v>
          </cell>
          <cell r="AB25" t="str">
            <v>Palio (elox.)</v>
          </cell>
        </row>
        <row r="26">
          <cell r="D26" t="str">
            <v>KRABY 244 45N (15590+15597+2x15598+15601)</v>
          </cell>
          <cell r="P26" t="str">
            <v>2 Kusy (obě strany)</v>
          </cell>
          <cell r="X26" t="str">
            <v>Lacobel RAL 1013</v>
          </cell>
          <cell r="Y26" t="str">
            <v>Lacobel REF 0128</v>
          </cell>
          <cell r="AB26" t="str">
            <v>Pisa (elox.)</v>
          </cell>
        </row>
        <row r="27">
          <cell r="D27" t="str">
            <v>KRABY 244 60N (15591+15597+2x15598+15602)</v>
          </cell>
          <cell r="X27" t="str">
            <v>Lacobel RAL 1014</v>
          </cell>
          <cell r="Y27" t="str">
            <v>Lacobel REF 0327</v>
          </cell>
          <cell r="AB27" t="str">
            <v>Pisa černá mat</v>
          </cell>
        </row>
        <row r="28">
          <cell r="D28" t="str">
            <v>KRABY 244 90N (15592+15597+2x15598+15603)</v>
          </cell>
          <cell r="X28" t="str">
            <v>Lacobel RAL 1015</v>
          </cell>
          <cell r="Y28" t="str">
            <v>Lacobel REF 0337</v>
          </cell>
          <cell r="AB28" t="str">
            <v>Pisa černá lesk</v>
          </cell>
        </row>
        <row r="29">
          <cell r="D29" t="str">
            <v>KRABY 244 120N (15593+15597+2x15598+15604)</v>
          </cell>
          <cell r="X29" t="str">
            <v>Lacobel RAL 2001</v>
          </cell>
          <cell r="Y29" t="str">
            <v>Lacobel REF 0627</v>
          </cell>
          <cell r="AB29" t="str">
            <v>Ravena (elox.)</v>
          </cell>
        </row>
        <row r="30">
          <cell r="D30" t="str">
            <v>KRABY 355 45N (135008+15597+2x15598+15605)</v>
          </cell>
          <cell r="X30" t="str">
            <v>Lacobel RAL 3004</v>
          </cell>
          <cell r="Y30" t="str">
            <v>Lacobel REF 0667</v>
          </cell>
          <cell r="AB30" t="str">
            <v>Siena (elox.)</v>
          </cell>
        </row>
        <row r="31">
          <cell r="D31" t="str">
            <v>KRABY 355 60N (135009+15597+2x15598+15606)</v>
          </cell>
          <cell r="X31" t="str">
            <v>Lacobel RAL 4006</v>
          </cell>
          <cell r="Y31" t="str">
            <v>Lacobel REF 1164</v>
          </cell>
          <cell r="AB31" t="str">
            <v>Verona (elox.)</v>
          </cell>
        </row>
        <row r="32">
          <cell r="D32" t="str">
            <v>KRABY 355 90N (135010+15597+2x15598+15607)</v>
          </cell>
          <cell r="X32" t="str">
            <v>Lacobel RAL 5002</v>
          </cell>
          <cell r="Y32" t="str">
            <v>Lacobel REF 1236</v>
          </cell>
          <cell r="AB32" t="str">
            <v>Verona broušený hliník</v>
          </cell>
        </row>
        <row r="33">
          <cell r="D33" t="str">
            <v>KRABY 355 120N (135011+15597+2x15598+15608)</v>
          </cell>
          <cell r="X33" t="str">
            <v>Lacobel RAL 7035</v>
          </cell>
          <cell r="Y33" t="str">
            <v>Lacobel REF 1435</v>
          </cell>
          <cell r="AB33" t="str">
            <v>Verona černá lesk</v>
          </cell>
        </row>
        <row r="34">
          <cell r="D34" t="str">
            <v>K12 244 50N (282471+282479)</v>
          </cell>
          <cell r="X34" t="str">
            <v>Lacobel RAL 8017</v>
          </cell>
          <cell r="Y34" t="str">
            <v>Lacobel REF 1586</v>
          </cell>
          <cell r="AB34" t="str">
            <v>Verona černá mat</v>
          </cell>
        </row>
        <row r="35">
          <cell r="D35" t="str">
            <v>K12 244 80N (282472+282479)</v>
          </cell>
          <cell r="X35" t="str">
            <v>Lacobel RAL 9003</v>
          </cell>
          <cell r="Y35" t="str">
            <v>Lacobel REF 1603</v>
          </cell>
          <cell r="AB35" t="str">
            <v>Verona hnědá</v>
          </cell>
        </row>
        <row r="36">
          <cell r="D36" t="str">
            <v>K12 244 100N (282473+282479)</v>
          </cell>
          <cell r="X36" t="str">
            <v>Lacobel RAL 9005</v>
          </cell>
          <cell r="Y36" t="str">
            <v>Lacobel REF 1604</v>
          </cell>
          <cell r="AB36" t="str">
            <v>Verona champagne</v>
          </cell>
        </row>
        <row r="37">
          <cell r="D37" t="str">
            <v>K12 244 120N (282474+282479)</v>
          </cell>
          <cell r="X37" t="str">
            <v>Lacobel RAL 9006</v>
          </cell>
          <cell r="Y37" t="str">
            <v>Matelac RAL 2001</v>
          </cell>
          <cell r="AB37" t="str">
            <v>Verona tmavá nerez broušená</v>
          </cell>
        </row>
        <row r="38">
          <cell r="D38" t="str">
            <v>K12 355 60N (282475+282479)</v>
          </cell>
          <cell r="X38" t="str">
            <v>Lacobel RAL 9007</v>
          </cell>
          <cell r="Y38" t="str">
            <v>Matelac RAL 3004</v>
          </cell>
          <cell r="AB38" t="str">
            <v>Verona světlá nerez (Acier grata)</v>
          </cell>
        </row>
        <row r="39">
          <cell r="D39" t="str">
            <v>K12 355 90N (282476+282479)</v>
          </cell>
          <cell r="X39" t="str">
            <v>Lacobel RAL 9010</v>
          </cell>
          <cell r="Y39" t="str">
            <v>Matelac RAL 7021</v>
          </cell>
          <cell r="AB39" t="str">
            <v>Vivaro (elox.)</v>
          </cell>
        </row>
        <row r="40">
          <cell r="D40" t="str">
            <v>K12 355 110N (282477+282479)</v>
          </cell>
          <cell r="X40" t="str">
            <v>Lacobel REF 0128</v>
          </cell>
          <cell r="Y40" t="str">
            <v>Matelac RAL 9003</v>
          </cell>
          <cell r="AB40" t="str">
            <v>Vivaro černá mat</v>
          </cell>
        </row>
        <row r="41">
          <cell r="D41" t="str">
            <v>K12 355 130N (282478+282479)</v>
          </cell>
          <cell r="X41" t="str">
            <v>Lacobel REF 0327</v>
          </cell>
          <cell r="Y41" t="str">
            <v>Matelac RAL 9005</v>
          </cell>
          <cell r="AB41" t="str">
            <v>Vivaro tmavá nerez br. (inox lija)</v>
          </cell>
        </row>
        <row r="42">
          <cell r="X42" t="str">
            <v>Lacobel REF 0337</v>
          </cell>
          <cell r="Y42" t="str">
            <v>Matelac RAL 9006</v>
          </cell>
          <cell r="AB42" t="str">
            <v>Vivaro bílá mat</v>
          </cell>
        </row>
        <row r="43">
          <cell r="X43" t="str">
            <v>Lacobel REF 0627</v>
          </cell>
          <cell r="Y43" t="str">
            <v>Matelac RAL 9010</v>
          </cell>
          <cell r="AB43" t="str">
            <v>Vivaro bílá lesk</v>
          </cell>
        </row>
        <row r="44">
          <cell r="X44" t="str">
            <v>Lacobel REF 0667</v>
          </cell>
          <cell r="Y44" t="str">
            <v>Matelac REF 1435</v>
          </cell>
        </row>
        <row r="45">
          <cell r="X45" t="str">
            <v>Lacobel REF 1164</v>
          </cell>
          <cell r="Y45" t="str">
            <v>Matelac REF 1586</v>
          </cell>
        </row>
        <row r="46">
          <cell r="X46" t="str">
            <v>Lacobel REF 1236</v>
          </cell>
          <cell r="Y46" t="str">
            <v>Matelac zrcadlo bronz</v>
          </cell>
        </row>
        <row r="47">
          <cell r="X47" t="str">
            <v>Lacobel REF 1435</v>
          </cell>
          <cell r="Y47" t="str">
            <v>Matelac zrcadlo grafit</v>
          </cell>
        </row>
        <row r="48">
          <cell r="X48" t="str">
            <v>Lacobel REF 1586</v>
          </cell>
          <cell r="Y48" t="str">
            <v>Matelac zrcadlo stříbr.</v>
          </cell>
        </row>
        <row r="49">
          <cell r="D49" t="str">
            <v>STRONG spodní bílý (275689+276001)</v>
          </cell>
          <cell r="X49" t="str">
            <v>Lacobel REF 1603</v>
          </cell>
        </row>
        <row r="50">
          <cell r="D50" t="str">
            <v>STRONG spodní šedý (248167+276001)</v>
          </cell>
          <cell r="X50" t="str">
            <v>Lacobel REF 1604</v>
          </cell>
        </row>
        <row r="51">
          <cell r="D51" t="str">
            <v>HUWIL DUO (90°)  (135017+135019+135021)</v>
          </cell>
          <cell r="X51" t="str">
            <v>Matelac RAL 2001</v>
          </cell>
        </row>
        <row r="52">
          <cell r="D52" t="str">
            <v>HUWIL DUO FORTE (135018+135019+135045)</v>
          </cell>
          <cell r="X52" t="str">
            <v>Matelac RAL 3004</v>
          </cell>
        </row>
        <row r="53">
          <cell r="D53" t="str">
            <v>KRABY 164 spodní (15588+15597+2x15598+15599)</v>
          </cell>
          <cell r="X53" t="str">
            <v>Matelac RAL 7021</v>
          </cell>
        </row>
        <row r="54">
          <cell r="D54" t="str">
            <v>KRABY 244 spodní (15594+15597+2x15598+15599)</v>
          </cell>
          <cell r="X54" t="str">
            <v>Matelac RAL 9003</v>
          </cell>
        </row>
        <row r="55">
          <cell r="D55" t="str">
            <v>KRABY 355 spodní (15589+15597+2x15598+15599)</v>
          </cell>
          <cell r="X55" t="str">
            <v>Matelac RAL 9005</v>
          </cell>
        </row>
        <row r="56">
          <cell r="X56" t="str">
            <v>Matelac RAL 9006</v>
          </cell>
        </row>
        <row r="57">
          <cell r="X57" t="str">
            <v>Matelac RAL 9010</v>
          </cell>
        </row>
        <row r="58">
          <cell r="X58" t="str">
            <v>Matelac REF 1435</v>
          </cell>
        </row>
        <row r="59">
          <cell r="X59" t="str">
            <v>Matelac REF 1586</v>
          </cell>
        </row>
        <row r="60">
          <cell r="D60" t="str">
            <v>STRONG 30N bílý Automatický (248162)</v>
          </cell>
          <cell r="X60" t="str">
            <v>Matelac zrcadlo bronz</v>
          </cell>
        </row>
        <row r="61">
          <cell r="D61" t="str">
            <v>STRONG 60N bílý Automatický (248163)</v>
          </cell>
          <cell r="X61" t="str">
            <v>Matelac zrcadlo grafit</v>
          </cell>
        </row>
        <row r="62">
          <cell r="D62" t="str">
            <v>STRONG 80N bílý Automatický (248164)</v>
          </cell>
          <cell r="X62" t="str">
            <v>Matelac zrcadlo stříbr.</v>
          </cell>
        </row>
        <row r="63">
          <cell r="D63" t="str">
            <v>STRONG 100N bílý Automatický (248165)</v>
          </cell>
        </row>
        <row r="64">
          <cell r="D64" t="str">
            <v>STRONG 120N bílý Automatický (248166)</v>
          </cell>
        </row>
        <row r="65">
          <cell r="D65" t="str">
            <v>STRONG 60N bílý Polohovací (284254)</v>
          </cell>
        </row>
        <row r="66">
          <cell r="D66" t="str">
            <v>STRONG 80N bílý Polohovací (284255)</v>
          </cell>
        </row>
        <row r="67">
          <cell r="D67" t="str">
            <v>STRONG 100N bílý Polohovací (284256)</v>
          </cell>
        </row>
        <row r="68">
          <cell r="D68" t="str">
            <v>STRONG 120N bílý Polohovací (284257)</v>
          </cell>
        </row>
        <row r="69">
          <cell r="D69" t="str">
            <v>STRONG 30N šedý Automatický (275672)</v>
          </cell>
        </row>
        <row r="70">
          <cell r="D70" t="str">
            <v>STRONG 60N šedý Automatický (275673)</v>
          </cell>
        </row>
        <row r="71">
          <cell r="D71" t="str">
            <v>STRONG 80N šedý Automatický (275674)</v>
          </cell>
        </row>
        <row r="72">
          <cell r="D72" t="str">
            <v>STRONG 100N šedý Automatický (275675)</v>
          </cell>
        </row>
        <row r="73">
          <cell r="D73" t="str">
            <v>STRONG 120N šedý Automatický (275676)</v>
          </cell>
        </row>
        <row r="74">
          <cell r="D74" t="str">
            <v>STRONG 60N šedý Polohovací (284250)</v>
          </cell>
        </row>
        <row r="75">
          <cell r="D75" t="str">
            <v>STRONG 80N šedý Polohovací (284251)</v>
          </cell>
        </row>
        <row r="76">
          <cell r="D76" t="str">
            <v>STRONG 100N šedý Polohovací (284252)</v>
          </cell>
        </row>
        <row r="77">
          <cell r="D77" t="str">
            <v>STRONG 120N šedý Polohovací (284253)</v>
          </cell>
        </row>
        <row r="78">
          <cell r="D78" t="str">
            <v>HUWIL DUO (135017+135019+135045)</v>
          </cell>
        </row>
        <row r="79">
          <cell r="D79" t="str">
            <v>HUWIL DUO FORTE (135018+135019+135045)</v>
          </cell>
        </row>
        <row r="80">
          <cell r="D80" t="str">
            <v>HUWILIFT MAXI (135044+135045)</v>
          </cell>
        </row>
        <row r="81">
          <cell r="D81" t="str">
            <v>HUWILIFT MAXI (135044+135045)</v>
          </cell>
        </row>
        <row r="82">
          <cell r="D82" t="str">
            <v>KRABY 164 45N (135006)</v>
          </cell>
        </row>
        <row r="83">
          <cell r="D83" t="str">
            <v>KRABY 164 60N (135007)</v>
          </cell>
        </row>
        <row r="84">
          <cell r="D84" t="str">
            <v>KRABY 244 45N (15590)</v>
          </cell>
        </row>
        <row r="85">
          <cell r="D85" t="str">
            <v>KRABY 244 60N (15591)</v>
          </cell>
        </row>
        <row r="86">
          <cell r="D86" t="str">
            <v>KRABY 244 90N (15592)</v>
          </cell>
        </row>
        <row r="87">
          <cell r="D87" t="str">
            <v>KRABY 244 120N (15593)</v>
          </cell>
        </row>
        <row r="88">
          <cell r="D88" t="str">
            <v>KRABY 355 45N (135008)</v>
          </cell>
        </row>
        <row r="89">
          <cell r="D89" t="str">
            <v>KRABY 355 60N (135009)</v>
          </cell>
        </row>
        <row r="90">
          <cell r="D90" t="str">
            <v>KRABY 355 90N (135010)</v>
          </cell>
        </row>
        <row r="91">
          <cell r="D91" t="str">
            <v>KRABY 355 120N (135011)</v>
          </cell>
        </row>
        <row r="92">
          <cell r="D92" t="str">
            <v>K12 244 50N (282471)</v>
          </cell>
        </row>
        <row r="93">
          <cell r="D93" t="str">
            <v>K12 244 80N (282472)</v>
          </cell>
        </row>
        <row r="94">
          <cell r="D94" t="str">
            <v>K12 244 100N (282473)</v>
          </cell>
        </row>
        <row r="95">
          <cell r="D95" t="str">
            <v>K12 244 120N (282474)</v>
          </cell>
        </row>
        <row r="96">
          <cell r="D96" t="str">
            <v>K12 355 60N (282475)</v>
          </cell>
        </row>
        <row r="97">
          <cell r="D97" t="str">
            <v>K12 355 90N (282476)</v>
          </cell>
        </row>
        <row r="98">
          <cell r="D98" t="str">
            <v>K12 355 110N (282477)</v>
          </cell>
        </row>
        <row r="99">
          <cell r="D99" t="str">
            <v>K12 355 130N (282478)</v>
          </cell>
        </row>
        <row r="104">
          <cell r="D104" t="str">
            <v>STRONG spodní bílý (275689)</v>
          </cell>
        </row>
        <row r="105">
          <cell r="D105" t="str">
            <v>STRONG spodní šedý (248167)</v>
          </cell>
        </row>
        <row r="106">
          <cell r="D106" t="str">
            <v>HUWIL DUO (90°)  (135017+135019+135021)</v>
          </cell>
        </row>
        <row r="107">
          <cell r="D107" t="str">
            <v>HUWIL DUO FORTE (135018+135019+135045)</v>
          </cell>
        </row>
        <row r="108">
          <cell r="D108" t="str">
            <v>KRABY 164 spodní (15588)</v>
          </cell>
        </row>
        <row r="109">
          <cell r="D109" t="str">
            <v>KRABY 244 spodní (15594)</v>
          </cell>
        </row>
        <row r="110">
          <cell r="D110" t="str">
            <v>KRABY 355 spodní (15589)</v>
          </cell>
        </row>
        <row r="134">
          <cell r="E134" t="str">
            <v>Strong Plus naložený clip bez pružiny (350837)</v>
          </cell>
        </row>
        <row r="135">
          <cell r="E135" t="str">
            <v>Strong Plus naložený clip bez pružiny (350838)</v>
          </cell>
        </row>
        <row r="136">
          <cell r="E136" t="str">
            <v>Storng Plus vložený clip bez pružiny (350839)</v>
          </cell>
        </row>
        <row r="137">
          <cell r="E137" t="str">
            <v>Strong Plus 30° clip bez pružiny (350856)</v>
          </cell>
        </row>
        <row r="159">
          <cell r="E159" t="str">
            <v>Naložený clip (92580T)</v>
          </cell>
        </row>
        <row r="160">
          <cell r="E160" t="str">
            <v>Polonaložený clip (92581T)</v>
          </cell>
        </row>
        <row r="161">
          <cell r="E161" t="str">
            <v>Vložený clip (92582T)</v>
          </cell>
        </row>
        <row r="162">
          <cell r="E162" t="str">
            <v>45° clip (92583T)</v>
          </cell>
        </row>
        <row r="163">
          <cell r="E163" t="str">
            <v>Strong Plus naložený clip (350827)</v>
          </cell>
        </row>
        <row r="164">
          <cell r="E164" t="str">
            <v>Strong Plus polonaložený clip (350828)</v>
          </cell>
        </row>
        <row r="165">
          <cell r="E165" t="str">
            <v>Strong Plus vložený clip (350829)</v>
          </cell>
        </row>
        <row r="166">
          <cell r="E166" t="str">
            <v>Strong Plus 30°clip (350854)</v>
          </cell>
        </row>
        <row r="174">
          <cell r="E174" t="str">
            <v>Strong Plus naložený clip bez pružiny (350864)</v>
          </cell>
        </row>
        <row r="181">
          <cell r="E181" t="str">
            <v>Naložený clip (92584T)</v>
          </cell>
        </row>
        <row r="182">
          <cell r="E182" t="str">
            <v>Strong Plus naložený clip (350863)</v>
          </cell>
        </row>
        <row r="192">
          <cell r="E192" t="str">
            <v>Sensys SiSy naložený  (308058)</v>
          </cell>
        </row>
        <row r="193">
          <cell r="E193" t="str">
            <v>Sensys SiSy polonaložený  (308454)</v>
          </cell>
        </row>
        <row r="194">
          <cell r="E194" t="str">
            <v>Sensys SiSy vložený  (308455)</v>
          </cell>
        </row>
        <row r="195">
          <cell r="E195" t="str">
            <v>Sensys P2o naložený  (336503)</v>
          </cell>
        </row>
        <row r="196">
          <cell r="E196" t="str">
            <v>Sensys P2o polonaložený  (336506)</v>
          </cell>
        </row>
        <row r="197">
          <cell r="E197" t="str">
            <v>Sensys P2o vložený  (346823)</v>
          </cell>
        </row>
        <row r="214">
          <cell r="E214" t="str">
            <v>Sensys naložený tlumený (300279)</v>
          </cell>
        </row>
        <row r="215">
          <cell r="E215" t="str">
            <v>Sensys naložený P2O (300285)</v>
          </cell>
        </row>
        <row r="232">
          <cell r="E232" t="str">
            <v>naložený clip (12002)</v>
          </cell>
        </row>
        <row r="233">
          <cell r="E233" t="str">
            <v>polonaložený clip (12005)</v>
          </cell>
        </row>
        <row r="234">
          <cell r="E234" t="str">
            <v>Vložený clip (12008)</v>
          </cell>
        </row>
        <row r="235">
          <cell r="E235" t="str">
            <v>naložený s tlumením clip 110° (12047)</v>
          </cell>
        </row>
        <row r="236">
          <cell r="E236" t="str">
            <v>polonaložený s tlumením clip 110° (12048)</v>
          </cell>
        </row>
        <row r="237">
          <cell r="E237" t="str">
            <v>vložený s tlumením clip 110° (12049)</v>
          </cell>
        </row>
        <row r="238">
          <cell r="E238" t="str">
            <v>naložený bez tlumení clip 110° (12052)</v>
          </cell>
        </row>
        <row r="239">
          <cell r="E239" t="str">
            <v>polonaložený bez tlumení clip 110° (12053)</v>
          </cell>
        </row>
        <row r="240">
          <cell r="E240" t="str">
            <v>vložený bez tlumení clip 110° (12059)</v>
          </cell>
        </row>
        <row r="241">
          <cell r="E241" t="str">
            <v>naložený TIP-ON clip 110° (226668)</v>
          </cell>
        </row>
        <row r="242">
          <cell r="E242" t="str">
            <v>polonaložený TIP-ON clip 110° (226670)</v>
          </cell>
        </row>
        <row r="243">
          <cell r="E243" t="str">
            <v>vložený TIP-ON clip 110° (226671)</v>
          </cell>
        </row>
        <row r="244">
          <cell r="E244" t="str">
            <v>naložený s tlumením clip 110°, ONYX (306317)</v>
          </cell>
        </row>
        <row r="245">
          <cell r="E245" t="str">
            <v>polonaložený s tlumením clip 110°, ONYX (306318)</v>
          </cell>
        </row>
        <row r="246">
          <cell r="E246" t="str">
            <v>vložený s tlumením clip 110°, ONYX (306319)</v>
          </cell>
        </row>
        <row r="254">
          <cell r="E254" t="str">
            <v>naložený clip (12106)</v>
          </cell>
        </row>
        <row r="255">
          <cell r="E255" t="str">
            <v>polonaložený clip (12107)</v>
          </cell>
        </row>
        <row r="256">
          <cell r="E256" t="str">
            <v>Vložený clip (12108)</v>
          </cell>
        </row>
        <row r="257">
          <cell r="E257" t="str">
            <v>naložený s tlumením clip 95° (118033)</v>
          </cell>
        </row>
        <row r="258">
          <cell r="E258" t="str">
            <v>polonaložený s tlumením clip 95° (118120)</v>
          </cell>
        </row>
        <row r="259">
          <cell r="E259" t="str">
            <v>vložený s tlumením clip 95° (118121)</v>
          </cell>
        </row>
        <row r="260">
          <cell r="E260" t="str">
            <v>naložený TIP-ON clip 95° (12109)</v>
          </cell>
        </row>
        <row r="261">
          <cell r="E261" t="str">
            <v>naložený TIP-ON clip 120° (13764)</v>
          </cell>
        </row>
        <row r="262">
          <cell r="E262" t="str">
            <v>naložený 95°, Onyx (306329)</v>
          </cell>
        </row>
      </sheetData>
      <sheetData sheetId="6">
        <row r="3">
          <cell r="A3" t="str">
            <v>Čiré</v>
          </cell>
          <cell r="B3">
            <v>1</v>
          </cell>
          <cell r="N3" t="str">
            <v>Čiré</v>
          </cell>
          <cell r="O3">
            <v>1</v>
          </cell>
          <cell r="AA3" t="e">
            <v>#N/A</v>
          </cell>
          <cell r="AB3" t="e">
            <v>#N/A</v>
          </cell>
          <cell r="AN3" t="e">
            <v>#N/A</v>
          </cell>
          <cell r="AO3" t="e">
            <v>#N/A</v>
          </cell>
          <cell r="BA3" t="str">
            <v>Čiré</v>
          </cell>
          <cell r="BB3">
            <v>1</v>
          </cell>
          <cell r="BN3" t="str">
            <v/>
          </cell>
          <cell r="BO3" t="str">
            <v/>
          </cell>
        </row>
        <row r="4">
          <cell r="B4">
            <v>1</v>
          </cell>
          <cell r="O4">
            <v>1</v>
          </cell>
          <cell r="AB4" t="e">
            <v>#N/A</v>
          </cell>
          <cell r="AO4" t="e">
            <v>#N/A</v>
          </cell>
          <cell r="BB4">
            <v>1</v>
          </cell>
          <cell r="BO4" t="str">
            <v/>
          </cell>
        </row>
        <row r="5">
          <cell r="B5">
            <v>1</v>
          </cell>
          <cell r="O5">
            <v>1</v>
          </cell>
          <cell r="AB5" t="e">
            <v>#N/A</v>
          </cell>
          <cell r="AO5" t="e">
            <v>#N/A</v>
          </cell>
          <cell r="BB5">
            <v>1</v>
          </cell>
          <cell r="BO5" t="str">
            <v/>
          </cell>
        </row>
        <row r="6">
          <cell r="B6">
            <v>1</v>
          </cell>
          <cell r="O6">
            <v>1</v>
          </cell>
          <cell r="AB6" t="e">
            <v>#N/A</v>
          </cell>
          <cell r="AO6" t="e">
            <v>#N/A</v>
          </cell>
          <cell r="BB6">
            <v>1</v>
          </cell>
          <cell r="BO6" t="str">
            <v/>
          </cell>
        </row>
        <row r="7">
          <cell r="B7">
            <v>1</v>
          </cell>
          <cell r="O7">
            <v>1</v>
          </cell>
          <cell r="AB7" t="e">
            <v>#N/A</v>
          </cell>
          <cell r="AO7" t="e">
            <v>#N/A</v>
          </cell>
          <cell r="BB7">
            <v>1</v>
          </cell>
          <cell r="BO7" t="str">
            <v/>
          </cell>
        </row>
        <row r="8">
          <cell r="B8">
            <v>1</v>
          </cell>
          <cell r="O8">
            <v>1</v>
          </cell>
          <cell r="AB8" t="e">
            <v>#N/A</v>
          </cell>
          <cell r="AO8" t="e">
            <v>#N/A</v>
          </cell>
          <cell r="BB8">
            <v>1</v>
          </cell>
          <cell r="BO8" t="str">
            <v/>
          </cell>
        </row>
        <row r="9">
          <cell r="B9">
            <v>1</v>
          </cell>
          <cell r="O9">
            <v>1</v>
          </cell>
          <cell r="AB9" t="e">
            <v>#N/A</v>
          </cell>
          <cell r="AO9" t="e">
            <v>#N/A</v>
          </cell>
          <cell r="BB9">
            <v>1</v>
          </cell>
          <cell r="BO9" t="str">
            <v/>
          </cell>
        </row>
        <row r="10">
          <cell r="B10">
            <v>1</v>
          </cell>
          <cell r="O10">
            <v>1</v>
          </cell>
          <cell r="AB10" t="e">
            <v>#N/A</v>
          </cell>
          <cell r="AO10" t="e">
            <v>#N/A</v>
          </cell>
          <cell r="BB10">
            <v>1</v>
          </cell>
          <cell r="BO10" t="str">
            <v/>
          </cell>
        </row>
        <row r="11">
          <cell r="B11">
            <v>1</v>
          </cell>
          <cell r="O11">
            <v>1</v>
          </cell>
          <cell r="AB11" t="e">
            <v>#N/A</v>
          </cell>
          <cell r="AO11" t="e">
            <v>#N/A</v>
          </cell>
          <cell r="BB11">
            <v>1</v>
          </cell>
          <cell r="BO11" t="str">
            <v/>
          </cell>
        </row>
        <row r="12">
          <cell r="B12">
            <v>1</v>
          </cell>
          <cell r="O12">
            <v>1</v>
          </cell>
          <cell r="AB12" t="e">
            <v>#N/A</v>
          </cell>
          <cell r="AO12" t="e">
            <v>#N/A</v>
          </cell>
          <cell r="BB12">
            <v>1</v>
          </cell>
          <cell r="BO12" t="str">
            <v/>
          </cell>
        </row>
        <row r="13">
          <cell r="B13">
            <v>1</v>
          </cell>
          <cell r="O13">
            <v>1</v>
          </cell>
          <cell r="AB13" t="e">
            <v>#N/A</v>
          </cell>
          <cell r="AO13" t="e">
            <v>#N/A</v>
          </cell>
          <cell r="BB13">
            <v>1</v>
          </cell>
          <cell r="BO13" t="str">
            <v/>
          </cell>
        </row>
        <row r="14">
          <cell r="B14">
            <v>1</v>
          </cell>
          <cell r="O14">
            <v>1</v>
          </cell>
          <cell r="AB14" t="e">
            <v>#N/A</v>
          </cell>
          <cell r="AO14" t="e">
            <v>#N/A</v>
          </cell>
          <cell r="BB14">
            <v>1</v>
          </cell>
          <cell r="BO14" t="str">
            <v/>
          </cell>
        </row>
        <row r="15">
          <cell r="B15">
            <v>1</v>
          </cell>
          <cell r="O15">
            <v>1</v>
          </cell>
          <cell r="AB15" t="e">
            <v>#N/A</v>
          </cell>
          <cell r="AO15" t="e">
            <v>#N/A</v>
          </cell>
          <cell r="BB15">
            <v>1</v>
          </cell>
          <cell r="BO15" t="str">
            <v/>
          </cell>
        </row>
        <row r="16">
          <cell r="B16">
            <v>1</v>
          </cell>
          <cell r="O16">
            <v>1</v>
          </cell>
          <cell r="AB16" t="e">
            <v>#N/A</v>
          </cell>
          <cell r="AO16" t="e">
            <v>#N/A</v>
          </cell>
          <cell r="BB16">
            <v>1</v>
          </cell>
          <cell r="BO16" t="str">
            <v/>
          </cell>
        </row>
        <row r="17">
          <cell r="B17">
            <v>1</v>
          </cell>
          <cell r="O17">
            <v>1</v>
          </cell>
          <cell r="AB17" t="e">
            <v>#N/A</v>
          </cell>
          <cell r="AO17" t="e">
            <v>#N/A</v>
          </cell>
          <cell r="BB17">
            <v>1</v>
          </cell>
          <cell r="BO17" t="str">
            <v/>
          </cell>
        </row>
        <row r="18">
          <cell r="B18">
            <v>1</v>
          </cell>
          <cell r="O18">
            <v>1</v>
          </cell>
          <cell r="AB18" t="e">
            <v>#N/A</v>
          </cell>
          <cell r="AO18" t="e">
            <v>#N/A</v>
          </cell>
          <cell r="BB18">
            <v>1</v>
          </cell>
          <cell r="BO18" t="str">
            <v/>
          </cell>
        </row>
        <row r="19">
          <cell r="B19">
            <v>1</v>
          </cell>
          <cell r="O19">
            <v>1</v>
          </cell>
          <cell r="AB19" t="e">
            <v>#N/A</v>
          </cell>
          <cell r="AO19" t="e">
            <v>#N/A</v>
          </cell>
          <cell r="BB19">
            <v>1</v>
          </cell>
          <cell r="BO19" t="str">
            <v/>
          </cell>
        </row>
        <row r="20">
          <cell r="B20">
            <v>1</v>
          </cell>
          <cell r="O20">
            <v>1</v>
          </cell>
          <cell r="AB20" t="e">
            <v>#N/A</v>
          </cell>
          <cell r="AO20" t="e">
            <v>#N/A</v>
          </cell>
          <cell r="BB20">
            <v>1</v>
          </cell>
          <cell r="BO20" t="str">
            <v/>
          </cell>
        </row>
        <row r="21">
          <cell r="B21">
            <v>1</v>
          </cell>
          <cell r="O21">
            <v>1</v>
          </cell>
          <cell r="AB21" t="e">
            <v>#N/A</v>
          </cell>
          <cell r="AO21" t="e">
            <v>#N/A</v>
          </cell>
          <cell r="BB21">
            <v>1</v>
          </cell>
          <cell r="BO21" t="str">
            <v/>
          </cell>
        </row>
        <row r="22">
          <cell r="B22">
            <v>1</v>
          </cell>
          <cell r="O22">
            <v>1</v>
          </cell>
          <cell r="AB22" t="e">
            <v>#N/A</v>
          </cell>
          <cell r="AO22" t="e">
            <v>#N/A</v>
          </cell>
          <cell r="BB22">
            <v>1</v>
          </cell>
          <cell r="BO22" t="str">
            <v/>
          </cell>
        </row>
        <row r="23">
          <cell r="B23">
            <v>1</v>
          </cell>
          <cell r="O23">
            <v>1</v>
          </cell>
          <cell r="AB23" t="e">
            <v>#N/A</v>
          </cell>
          <cell r="AO23" t="e">
            <v>#N/A</v>
          </cell>
          <cell r="BB23">
            <v>1</v>
          </cell>
          <cell r="BO23" t="str">
            <v/>
          </cell>
        </row>
        <row r="24">
          <cell r="B24">
            <v>1</v>
          </cell>
          <cell r="O24">
            <v>1</v>
          </cell>
          <cell r="AB24" t="e">
            <v>#N/A</v>
          </cell>
          <cell r="AO24" t="e">
            <v>#N/A</v>
          </cell>
          <cell r="BB24">
            <v>1</v>
          </cell>
          <cell r="BO24" t="str">
            <v/>
          </cell>
        </row>
        <row r="25">
          <cell r="B25">
            <v>1</v>
          </cell>
          <cell r="O25">
            <v>1</v>
          </cell>
          <cell r="AB25" t="e">
            <v>#N/A</v>
          </cell>
          <cell r="AO25" t="e">
            <v>#N/A</v>
          </cell>
          <cell r="BB25">
            <v>1</v>
          </cell>
          <cell r="BO25" t="str">
            <v/>
          </cell>
        </row>
        <row r="26">
          <cell r="B26">
            <v>1</v>
          </cell>
          <cell r="O26">
            <v>1</v>
          </cell>
          <cell r="AB26" t="e">
            <v>#N/A</v>
          </cell>
          <cell r="AO26" t="e">
            <v>#N/A</v>
          </cell>
          <cell r="BB26">
            <v>1</v>
          </cell>
          <cell r="BO26" t="str">
            <v/>
          </cell>
        </row>
        <row r="27">
          <cell r="B27">
            <v>1</v>
          </cell>
          <cell r="O27">
            <v>1</v>
          </cell>
          <cell r="AB27" t="e">
            <v>#N/A</v>
          </cell>
          <cell r="AO27" t="e">
            <v>#N/A</v>
          </cell>
          <cell r="BB27">
            <v>1</v>
          </cell>
          <cell r="BO27" t="str">
            <v/>
          </cell>
        </row>
        <row r="28">
          <cell r="B28">
            <v>1</v>
          </cell>
          <cell r="O28">
            <v>1</v>
          </cell>
          <cell r="AB28" t="e">
            <v>#N/A</v>
          </cell>
          <cell r="AO28" t="e">
            <v>#N/A</v>
          </cell>
          <cell r="BB28">
            <v>1</v>
          </cell>
          <cell r="BO28" t="str">
            <v/>
          </cell>
        </row>
        <row r="29">
          <cell r="B29">
            <v>1</v>
          </cell>
          <cell r="O29">
            <v>1</v>
          </cell>
          <cell r="AB29" t="e">
            <v>#N/A</v>
          </cell>
          <cell r="AO29" t="e">
            <v>#N/A</v>
          </cell>
          <cell r="BB29">
            <v>1</v>
          </cell>
          <cell r="BO29" t="str">
            <v/>
          </cell>
        </row>
        <row r="30">
          <cell r="B30">
            <v>1</v>
          </cell>
          <cell r="O30">
            <v>1</v>
          </cell>
          <cell r="AB30" t="e">
            <v>#N/A</v>
          </cell>
          <cell r="AO30" t="e">
            <v>#N/A</v>
          </cell>
          <cell r="BB30">
            <v>1</v>
          </cell>
          <cell r="BO30" t="str">
            <v/>
          </cell>
        </row>
        <row r="31">
          <cell r="B31">
            <v>1</v>
          </cell>
          <cell r="O31">
            <v>1</v>
          </cell>
          <cell r="AB31" t="e">
            <v>#N/A</v>
          </cell>
          <cell r="AO31" t="e">
            <v>#N/A</v>
          </cell>
          <cell r="BB31">
            <v>1</v>
          </cell>
          <cell r="BO31" t="str">
            <v/>
          </cell>
        </row>
        <row r="32">
          <cell r="B32">
            <v>1</v>
          </cell>
          <cell r="O32">
            <v>1</v>
          </cell>
          <cell r="AB32" t="e">
            <v>#N/A</v>
          </cell>
          <cell r="AO32" t="e">
            <v>#N/A</v>
          </cell>
          <cell r="BB32">
            <v>1</v>
          </cell>
          <cell r="BO32" t="str">
            <v/>
          </cell>
        </row>
        <row r="33">
          <cell r="B33">
            <v>1</v>
          </cell>
          <cell r="O33">
            <v>1</v>
          </cell>
          <cell r="AB33" t="e">
            <v>#N/A</v>
          </cell>
          <cell r="AO33" t="e">
            <v>#N/A</v>
          </cell>
          <cell r="BB33">
            <v>1</v>
          </cell>
          <cell r="BO33" t="str">
            <v/>
          </cell>
        </row>
        <row r="34">
          <cell r="B34">
            <v>1</v>
          </cell>
          <cell r="O34">
            <v>1</v>
          </cell>
          <cell r="AB34" t="e">
            <v>#N/A</v>
          </cell>
          <cell r="AO34" t="e">
            <v>#N/A</v>
          </cell>
          <cell r="BB34">
            <v>1</v>
          </cell>
          <cell r="BO34" t="str">
            <v/>
          </cell>
        </row>
        <row r="35">
          <cell r="B35">
            <v>1</v>
          </cell>
          <cell r="O35">
            <v>1</v>
          </cell>
          <cell r="AB35" t="e">
            <v>#N/A</v>
          </cell>
          <cell r="AO35" t="e">
            <v>#N/A</v>
          </cell>
          <cell r="BB35">
            <v>1</v>
          </cell>
          <cell r="BO35" t="str">
            <v/>
          </cell>
        </row>
        <row r="36">
          <cell r="B36">
            <v>1</v>
          </cell>
          <cell r="O36">
            <v>1</v>
          </cell>
          <cell r="AB36" t="e">
            <v>#N/A</v>
          </cell>
          <cell r="AO36" t="e">
            <v>#N/A</v>
          </cell>
          <cell r="BB36">
            <v>1</v>
          </cell>
          <cell r="BO36" t="str">
            <v/>
          </cell>
        </row>
        <row r="37">
          <cell r="B37">
            <v>1</v>
          </cell>
          <cell r="O37">
            <v>1</v>
          </cell>
          <cell r="AB37" t="e">
            <v>#N/A</v>
          </cell>
          <cell r="AO37" t="e">
            <v>#N/A</v>
          </cell>
          <cell r="BB37">
            <v>1</v>
          </cell>
          <cell r="BO37" t="str">
            <v/>
          </cell>
        </row>
        <row r="38">
          <cell r="B38">
            <v>1</v>
          </cell>
          <cell r="O38">
            <v>1</v>
          </cell>
          <cell r="AB38" t="e">
            <v>#N/A</v>
          </cell>
          <cell r="AO38" t="e">
            <v>#N/A</v>
          </cell>
          <cell r="BB38">
            <v>1</v>
          </cell>
          <cell r="BO38" t="str">
            <v/>
          </cell>
        </row>
        <row r="39">
          <cell r="B39">
            <v>1</v>
          </cell>
          <cell r="O39">
            <v>1</v>
          </cell>
          <cell r="AB39" t="e">
            <v>#N/A</v>
          </cell>
          <cell r="AO39" t="e">
            <v>#N/A</v>
          </cell>
          <cell r="BB39">
            <v>1</v>
          </cell>
          <cell r="BO39" t="str">
            <v/>
          </cell>
        </row>
        <row r="40">
          <cell r="B40">
            <v>1</v>
          </cell>
          <cell r="O40">
            <v>1</v>
          </cell>
          <cell r="AB40" t="e">
            <v>#N/A</v>
          </cell>
          <cell r="AO40" t="e">
            <v>#N/A</v>
          </cell>
          <cell r="BB40">
            <v>1</v>
          </cell>
          <cell r="BO40" t="str">
            <v/>
          </cell>
        </row>
        <row r="41">
          <cell r="B41">
            <v>1</v>
          </cell>
          <cell r="O41">
            <v>1</v>
          </cell>
          <cell r="AB41" t="e">
            <v>#N/A</v>
          </cell>
          <cell r="AO41" t="e">
            <v>#N/A</v>
          </cell>
          <cell r="BB41">
            <v>1</v>
          </cell>
          <cell r="BO41" t="str">
            <v/>
          </cell>
        </row>
        <row r="42">
          <cell r="B42">
            <v>1</v>
          </cell>
          <cell r="O42">
            <v>1</v>
          </cell>
          <cell r="AB42" t="e">
            <v>#N/A</v>
          </cell>
          <cell r="AO42" t="e">
            <v>#N/A</v>
          </cell>
          <cell r="BB42">
            <v>1</v>
          </cell>
          <cell r="BO42" t="str">
            <v/>
          </cell>
        </row>
        <row r="43">
          <cell r="B43">
            <v>1</v>
          </cell>
          <cell r="O43">
            <v>1</v>
          </cell>
          <cell r="AB43" t="e">
            <v>#N/A</v>
          </cell>
          <cell r="AO43" t="e">
            <v>#N/A</v>
          </cell>
          <cell r="BB43">
            <v>1</v>
          </cell>
          <cell r="BO43" t="str">
            <v/>
          </cell>
        </row>
        <row r="44">
          <cell r="B44">
            <v>1</v>
          </cell>
          <cell r="O44">
            <v>1</v>
          </cell>
          <cell r="AB44" t="e">
            <v>#N/A</v>
          </cell>
          <cell r="AO44" t="e">
            <v>#N/A</v>
          </cell>
          <cell r="BB44">
            <v>1</v>
          </cell>
          <cell r="BO44" t="str">
            <v/>
          </cell>
        </row>
        <row r="45">
          <cell r="B45">
            <v>1</v>
          </cell>
          <cell r="O45">
            <v>1</v>
          </cell>
          <cell r="AB45" t="e">
            <v>#N/A</v>
          </cell>
          <cell r="AO45" t="e">
            <v>#N/A</v>
          </cell>
          <cell r="BB45">
            <v>1</v>
          </cell>
          <cell r="BO45" t="str">
            <v/>
          </cell>
        </row>
        <row r="46">
          <cell r="B46">
            <v>1</v>
          </cell>
          <cell r="O46">
            <v>1</v>
          </cell>
          <cell r="AB46" t="e">
            <v>#N/A</v>
          </cell>
          <cell r="AO46" t="e">
            <v>#N/A</v>
          </cell>
          <cell r="BB46">
            <v>1</v>
          </cell>
          <cell r="BO46" t="str">
            <v/>
          </cell>
        </row>
        <row r="47">
          <cell r="B47">
            <v>1</v>
          </cell>
          <cell r="O47">
            <v>1</v>
          </cell>
          <cell r="AB47" t="e">
            <v>#N/A</v>
          </cell>
          <cell r="AO47" t="e">
            <v>#N/A</v>
          </cell>
          <cell r="BB47">
            <v>1</v>
          </cell>
          <cell r="BO47" t="str">
            <v/>
          </cell>
        </row>
        <row r="48">
          <cell r="B48">
            <v>1</v>
          </cell>
          <cell r="O48">
            <v>1</v>
          </cell>
          <cell r="AB48" t="e">
            <v>#N/A</v>
          </cell>
          <cell r="AO48" t="e">
            <v>#N/A</v>
          </cell>
          <cell r="BB48">
            <v>1</v>
          </cell>
          <cell r="BO48" t="str">
            <v/>
          </cell>
        </row>
        <row r="49">
          <cell r="B49">
            <v>1</v>
          </cell>
          <cell r="O49">
            <v>1</v>
          </cell>
          <cell r="AB49" t="e">
            <v>#N/A</v>
          </cell>
          <cell r="AO49" t="e">
            <v>#N/A</v>
          </cell>
          <cell r="BB49">
            <v>1</v>
          </cell>
          <cell r="BO49" t="str">
            <v/>
          </cell>
        </row>
        <row r="50">
          <cell r="B50">
            <v>1</v>
          </cell>
          <cell r="O50">
            <v>1</v>
          </cell>
          <cell r="AB50" t="e">
            <v>#N/A</v>
          </cell>
          <cell r="AO50" t="e">
            <v>#N/A</v>
          </cell>
          <cell r="BB50">
            <v>1</v>
          </cell>
          <cell r="BO50" t="str">
            <v/>
          </cell>
        </row>
        <row r="51">
          <cell r="B51">
            <v>1</v>
          </cell>
          <cell r="O51">
            <v>1</v>
          </cell>
          <cell r="AB51" t="e">
            <v>#N/A</v>
          </cell>
          <cell r="AO51" t="e">
            <v>#N/A</v>
          </cell>
          <cell r="BB51">
            <v>1</v>
          </cell>
          <cell r="BO51" t="str">
            <v/>
          </cell>
        </row>
        <row r="52">
          <cell r="B52">
            <v>1</v>
          </cell>
          <cell r="O52">
            <v>1</v>
          </cell>
          <cell r="AB52" t="e">
            <v>#N/A</v>
          </cell>
          <cell r="AO52" t="e">
            <v>#N/A</v>
          </cell>
          <cell r="BB52">
            <v>1</v>
          </cell>
          <cell r="BO52" t="str">
            <v/>
          </cell>
        </row>
        <row r="53">
          <cell r="B53">
            <v>1</v>
          </cell>
          <cell r="O53">
            <v>1</v>
          </cell>
          <cell r="AB53" t="e">
            <v>#N/A</v>
          </cell>
          <cell r="AO53" t="e">
            <v>#N/A</v>
          </cell>
          <cell r="BB53">
            <v>1</v>
          </cell>
          <cell r="BO53" t="str">
            <v/>
          </cell>
        </row>
        <row r="54">
          <cell r="B54">
            <v>1</v>
          </cell>
          <cell r="O54">
            <v>1</v>
          </cell>
          <cell r="AB54" t="e">
            <v>#N/A</v>
          </cell>
          <cell r="AO54" t="e">
            <v>#N/A</v>
          </cell>
          <cell r="BB54">
            <v>1</v>
          </cell>
          <cell r="BO54" t="str">
            <v/>
          </cell>
        </row>
        <row r="55">
          <cell r="B55">
            <v>1</v>
          </cell>
          <cell r="O55">
            <v>1</v>
          </cell>
          <cell r="AB55" t="e">
            <v>#N/A</v>
          </cell>
          <cell r="AO55" t="e">
            <v>#N/A</v>
          </cell>
          <cell r="BB55">
            <v>1</v>
          </cell>
          <cell r="BO55" t="str">
            <v/>
          </cell>
        </row>
        <row r="56">
          <cell r="B56">
            <v>1</v>
          </cell>
          <cell r="O56">
            <v>1</v>
          </cell>
          <cell r="AB56" t="e">
            <v>#N/A</v>
          </cell>
          <cell r="AO56" t="e">
            <v>#N/A</v>
          </cell>
          <cell r="BB56">
            <v>1</v>
          </cell>
          <cell r="BO56" t="str">
            <v/>
          </cell>
        </row>
        <row r="57">
          <cell r="B57">
            <v>1</v>
          </cell>
          <cell r="O57">
            <v>1</v>
          </cell>
          <cell r="AB57" t="e">
            <v>#N/A</v>
          </cell>
          <cell r="AO57" t="e">
            <v>#N/A</v>
          </cell>
          <cell r="BB57">
            <v>1</v>
          </cell>
          <cell r="BO57" t="str">
            <v/>
          </cell>
        </row>
        <row r="58">
          <cell r="B58">
            <v>1</v>
          </cell>
          <cell r="O58">
            <v>1</v>
          </cell>
          <cell r="AB58" t="e">
            <v>#N/A</v>
          </cell>
          <cell r="AO58" t="e">
            <v>#N/A</v>
          </cell>
          <cell r="BB58">
            <v>1</v>
          </cell>
          <cell r="BO58" t="str">
            <v/>
          </cell>
        </row>
        <row r="59">
          <cell r="B59">
            <v>1</v>
          </cell>
          <cell r="O59">
            <v>1</v>
          </cell>
          <cell r="AB59" t="e">
            <v>#N/A</v>
          </cell>
          <cell r="AO59" t="e">
            <v>#N/A</v>
          </cell>
          <cell r="BB59">
            <v>1</v>
          </cell>
          <cell r="BO59" t="str">
            <v/>
          </cell>
        </row>
        <row r="60">
          <cell r="B60">
            <v>1</v>
          </cell>
          <cell r="O60">
            <v>1</v>
          </cell>
          <cell r="AB60" t="e">
            <v>#N/A</v>
          </cell>
          <cell r="AO60" t="e">
            <v>#N/A</v>
          </cell>
          <cell r="BB60">
            <v>1</v>
          </cell>
          <cell r="BO60" t="str">
            <v/>
          </cell>
        </row>
        <row r="61">
          <cell r="B61">
            <v>1</v>
          </cell>
          <cell r="O61">
            <v>1</v>
          </cell>
          <cell r="AB61" t="e">
            <v>#N/A</v>
          </cell>
          <cell r="AO61" t="e">
            <v>#N/A</v>
          </cell>
          <cell r="BB61">
            <v>1</v>
          </cell>
          <cell r="BO61" t="str">
            <v/>
          </cell>
        </row>
        <row r="62">
          <cell r="B62">
            <v>1</v>
          </cell>
          <cell r="O62">
            <v>1</v>
          </cell>
          <cell r="AB62" t="e">
            <v>#N/A</v>
          </cell>
          <cell r="AO62" t="e">
            <v>#N/A</v>
          </cell>
          <cell r="BB62">
            <v>1</v>
          </cell>
          <cell r="BO62" t="str">
            <v/>
          </cell>
        </row>
        <row r="63">
          <cell r="B63">
            <v>1</v>
          </cell>
          <cell r="O63">
            <v>1</v>
          </cell>
          <cell r="AB63" t="e">
            <v>#N/A</v>
          </cell>
          <cell r="AO63" t="e">
            <v>#N/A</v>
          </cell>
          <cell r="BB63">
            <v>1</v>
          </cell>
          <cell r="BO63" t="str">
            <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7.vml"/><Relationship Id="rId7" Type="http://schemas.openxmlformats.org/officeDocument/2006/relationships/ctrlProp" Target="../ctrlProps/ctrlProp29.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8.vml"/><Relationship Id="rId7" Type="http://schemas.openxmlformats.org/officeDocument/2006/relationships/ctrlProp" Target="../ctrlProps/ctrlProp34.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9.vml"/><Relationship Id="rId7" Type="http://schemas.openxmlformats.org/officeDocument/2006/relationships/ctrlProp" Target="../ctrlProps/ctrlProp39.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0.vml"/><Relationship Id="rId7" Type="http://schemas.openxmlformats.org/officeDocument/2006/relationships/ctrlProp" Target="../ctrlProps/ctrlProp44.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trlProp" Target="../ctrlProps/ctrlProp4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49.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www.demos-trade.com/"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15.vml"/><Relationship Id="rId7" Type="http://schemas.openxmlformats.org/officeDocument/2006/relationships/ctrlProp" Target="../ctrlProps/ctrlProp53.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52.xml"/><Relationship Id="rId11" Type="http://schemas.openxmlformats.org/officeDocument/2006/relationships/comments" Target="../comments1.xml"/><Relationship Id="rId5" Type="http://schemas.openxmlformats.org/officeDocument/2006/relationships/ctrlProp" Target="../ctrlProps/ctrlProp5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29.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7" Type="http://schemas.openxmlformats.org/officeDocument/2006/relationships/comments" Target="../comments2.xm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vmlDrawing" Target="../drawings/vmlDrawing16.vml"/><Relationship Id="rId5" Type="http://schemas.openxmlformats.org/officeDocument/2006/relationships/printerSettings" Target="../printerSettings/printerSettings21.bin"/><Relationship Id="rId4" Type="http://schemas.openxmlformats.org/officeDocument/2006/relationships/hyperlink" Target="mailto:objednavky@demos-trade.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30.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7" Type="http://schemas.openxmlformats.org/officeDocument/2006/relationships/comments" Target="../comments3.xm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vmlDrawing" Target="../drawings/vmlDrawing17.vml"/><Relationship Id="rId5" Type="http://schemas.openxmlformats.org/officeDocument/2006/relationships/printerSettings" Target="../printerSettings/printerSettings22.bin"/><Relationship Id="rId4" Type="http://schemas.openxmlformats.org/officeDocument/2006/relationships/hyperlink" Target="mailto:objednavky@demos-trade.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objednavky@demos-trade.com" TargetMode="External"/><Relationship Id="rId1" Type="http://schemas.openxmlformats.org/officeDocument/2006/relationships/hyperlink" Target="mailto:objednavky@demos-trade.com"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5.vml"/><Relationship Id="rId7"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7D8CA-0E6A-4824-A9C1-C2B8EB8875D8}">
  <sheetPr codeName="List31">
    <tabColor rgb="FF92D050"/>
  </sheetPr>
  <dimension ref="A1:AF39"/>
  <sheetViews>
    <sheetView showGridLines="0" showRowColHeaders="0" tabSelected="1" zoomScale="90" zoomScaleNormal="90" workbookViewId="0">
      <selection activeCell="L12" sqref="L12"/>
    </sheetView>
  </sheetViews>
  <sheetFormatPr defaultColWidth="0" defaultRowHeight="11.4" customHeight="1" zeroHeight="1" x14ac:dyDescent="0.2"/>
  <cols>
    <col min="1" max="1" width="8" style="601" customWidth="1"/>
    <col min="2" max="2" width="3" style="601" customWidth="1"/>
    <col min="3" max="3" width="8" style="601" customWidth="1"/>
    <col min="4" max="4" width="3" style="601" customWidth="1"/>
    <col min="5" max="5" width="8" style="601" customWidth="1"/>
    <col min="6" max="6" width="3" style="601" customWidth="1"/>
    <col min="7" max="7" width="8" style="601" customWidth="1"/>
    <col min="8" max="9" width="2" style="601" customWidth="1"/>
    <col min="10" max="10" width="3.5546875" style="601" customWidth="1"/>
    <col min="11" max="11" width="7.77734375" style="601" customWidth="1"/>
    <col min="12" max="12" width="3.109375" style="601" customWidth="1"/>
    <col min="13" max="13" width="7.77734375" style="601" customWidth="1"/>
    <col min="14" max="14" width="3.109375" style="601" customWidth="1"/>
    <col min="15" max="15" width="6.88671875" style="601" customWidth="1"/>
    <col min="16" max="16" width="5.33203125" style="601" customWidth="1"/>
    <col min="17" max="17" width="8" style="601" customWidth="1"/>
    <col min="18" max="18" width="3.109375" style="601" customWidth="1"/>
    <col min="19" max="20" width="8" style="601" customWidth="1"/>
    <col min="21" max="21" width="3.88671875" style="601" customWidth="1"/>
    <col min="22" max="22" width="8" style="601" customWidth="1"/>
    <col min="23" max="23" width="3.77734375" style="601" hidden="1" customWidth="1"/>
    <col min="24" max="16384" width="8" style="601" hidden="1"/>
  </cols>
  <sheetData>
    <row r="1" spans="1:32" ht="11.4" customHeight="1" x14ac:dyDescent="0.2">
      <c r="A1" s="600"/>
      <c r="B1" s="600"/>
      <c r="C1" s="600"/>
      <c r="D1" s="600"/>
      <c r="E1" s="600"/>
      <c r="F1" s="600"/>
      <c r="G1" s="600"/>
      <c r="H1" s="600"/>
      <c r="I1" s="600"/>
      <c r="J1" s="600"/>
      <c r="K1" s="600"/>
      <c r="L1" s="600"/>
      <c r="M1" s="600"/>
      <c r="N1" s="600"/>
      <c r="O1" s="600"/>
      <c r="P1" s="600"/>
      <c r="Q1" s="600"/>
      <c r="R1" s="600"/>
      <c r="S1" s="600"/>
    </row>
    <row r="2" spans="1:32" ht="11.4" customHeight="1" x14ac:dyDescent="0.2">
      <c r="A2" s="602"/>
      <c r="B2" s="602"/>
      <c r="C2" s="602"/>
      <c r="D2" s="602"/>
      <c r="E2" s="602"/>
      <c r="F2" s="602"/>
      <c r="G2" s="602"/>
      <c r="H2" s="602"/>
      <c r="I2" s="602"/>
      <c r="J2" s="602"/>
      <c r="K2" s="602"/>
      <c r="L2" s="602"/>
      <c r="M2" s="602"/>
      <c r="N2" s="602"/>
      <c r="O2" s="602"/>
      <c r="P2" s="602"/>
      <c r="Q2" s="602"/>
      <c r="R2" s="602"/>
      <c r="S2" s="602"/>
      <c r="T2" s="602"/>
      <c r="U2" s="602"/>
      <c r="V2" s="602"/>
    </row>
    <row r="3" spans="1:32" ht="11.4" customHeight="1" x14ac:dyDescent="0.2">
      <c r="A3" s="602"/>
      <c r="B3" s="602"/>
      <c r="C3" s="602"/>
      <c r="D3" s="602"/>
      <c r="E3" s="602"/>
      <c r="F3" s="602"/>
      <c r="G3" s="602"/>
      <c r="H3" s="602"/>
      <c r="I3" s="602"/>
      <c r="J3" s="602"/>
      <c r="K3" s="602"/>
      <c r="L3" s="602"/>
      <c r="M3" s="602"/>
      <c r="N3" s="602"/>
      <c r="O3" s="602"/>
      <c r="P3" s="602"/>
      <c r="Q3" s="602"/>
      <c r="R3" s="602"/>
      <c r="S3" s="602"/>
      <c r="T3" s="602"/>
      <c r="U3" s="602"/>
      <c r="V3" s="602"/>
    </row>
    <row r="4" spans="1:32" ht="24" customHeight="1" x14ac:dyDescent="0.2"/>
    <row r="5" spans="1:32" ht="11.4" customHeight="1" x14ac:dyDescent="0.2"/>
    <row r="6" spans="1:32" ht="11.4" customHeight="1" x14ac:dyDescent="0.2"/>
    <row r="7" spans="1:32" ht="11.4" customHeight="1" x14ac:dyDescent="0.2">
      <c r="C7" s="742" t="str">
        <f>'Translate &amp; Prices'!$B$225</f>
        <v>Objednávkový formulář ALU rámečků</v>
      </c>
      <c r="D7" s="742"/>
      <c r="E7" s="742"/>
      <c r="F7" s="742"/>
      <c r="G7" s="742"/>
      <c r="H7" s="742"/>
      <c r="I7" s="742"/>
      <c r="J7" s="742"/>
      <c r="K7" s="742"/>
      <c r="L7" s="742"/>
      <c r="M7" s="742"/>
      <c r="N7" s="742"/>
      <c r="O7" s="742"/>
      <c r="P7" s="742"/>
      <c r="Q7" s="742"/>
      <c r="R7" s="742"/>
      <c r="S7" s="742"/>
    </row>
    <row r="8" spans="1:32" ht="11.4" customHeight="1" x14ac:dyDescent="0.2">
      <c r="C8" s="742"/>
      <c r="D8" s="742"/>
      <c r="E8" s="742"/>
      <c r="F8" s="742"/>
      <c r="G8" s="742"/>
      <c r="H8" s="742"/>
      <c r="I8" s="742"/>
      <c r="J8" s="742"/>
      <c r="K8" s="742"/>
      <c r="L8" s="742"/>
      <c r="M8" s="742"/>
      <c r="N8" s="742"/>
      <c r="O8" s="742"/>
      <c r="P8" s="742"/>
      <c r="Q8" s="742"/>
      <c r="R8" s="742"/>
      <c r="S8" s="742"/>
    </row>
    <row r="9" spans="1:32" ht="11.4" customHeight="1" x14ac:dyDescent="0.2">
      <c r="C9" s="743"/>
      <c r="D9" s="743"/>
      <c r="E9" s="743"/>
      <c r="F9" s="743"/>
      <c r="G9" s="743"/>
      <c r="H9" s="743"/>
      <c r="I9" s="743"/>
      <c r="J9" s="743"/>
      <c r="K9" s="743"/>
      <c r="L9" s="743"/>
      <c r="M9" s="743"/>
      <c r="N9" s="743"/>
      <c r="O9" s="743"/>
      <c r="P9" s="743"/>
      <c r="Q9" s="743"/>
      <c r="R9" s="743"/>
      <c r="S9" s="743"/>
    </row>
    <row r="10" spans="1:32" ht="11.4" customHeight="1" x14ac:dyDescent="0.2"/>
    <row r="11" spans="1:32" ht="20.399999999999999" customHeight="1" x14ac:dyDescent="0.2">
      <c r="F11" s="603"/>
      <c r="G11" s="603"/>
      <c r="H11" s="603"/>
      <c r="I11" s="603"/>
    </row>
    <row r="12" spans="1:32" ht="11.4" customHeight="1" x14ac:dyDescent="0.2"/>
    <row r="13" spans="1:32" ht="18.600000000000001" customHeight="1" x14ac:dyDescent="0.2"/>
    <row r="14" spans="1:32" ht="15" customHeight="1" x14ac:dyDescent="0.3">
      <c r="A14" s="600"/>
      <c r="B14" s="744" t="str">
        <f>'Translate &amp; Prices'!$B$288</f>
        <v>Běžné rámečky</v>
      </c>
      <c r="C14" s="744"/>
      <c r="D14" s="744"/>
      <c r="E14" s="744"/>
      <c r="F14" s="744"/>
      <c r="G14" s="744"/>
      <c r="J14" s="600"/>
      <c r="K14" s="600"/>
      <c r="L14" s="600"/>
      <c r="Q14" s="744" t="str">
        <f>'Translate &amp; Prices'!$B$289</f>
        <v>Posuvné rámečky</v>
      </c>
      <c r="R14" s="744"/>
      <c r="S14" s="744"/>
      <c r="T14" s="744"/>
      <c r="U14" s="744"/>
      <c r="V14" s="604"/>
      <c r="W14" s="604"/>
      <c r="X14" s="604"/>
      <c r="AE14" s="604"/>
      <c r="AF14" s="604"/>
    </row>
    <row r="15" spans="1:32" ht="15" customHeight="1" x14ac:dyDescent="0.3">
      <c r="A15" s="600"/>
      <c r="B15" s="744"/>
      <c r="C15" s="744"/>
      <c r="D15" s="744"/>
      <c r="E15" s="744"/>
      <c r="F15" s="744"/>
      <c r="G15" s="744"/>
      <c r="J15" s="600"/>
      <c r="K15" s="600"/>
      <c r="L15" s="600"/>
      <c r="Q15" s="744"/>
      <c r="R15" s="744"/>
      <c r="S15" s="744"/>
      <c r="T15" s="744"/>
      <c r="U15" s="744"/>
      <c r="AE15" s="577"/>
      <c r="AF15" s="577"/>
    </row>
    <row r="16" spans="1:32" ht="11.4" customHeight="1" x14ac:dyDescent="0.3">
      <c r="Z16" s="605"/>
      <c r="AA16" s="604"/>
      <c r="AB16" s="604"/>
      <c r="AC16" s="604"/>
      <c r="AD16" s="604"/>
      <c r="AE16" s="604"/>
      <c r="AF16" s="604"/>
    </row>
    <row r="17" spans="1:32" ht="11.4" customHeight="1" x14ac:dyDescent="0.3">
      <c r="AA17" s="577"/>
      <c r="AB17" s="577"/>
      <c r="AC17" s="577"/>
      <c r="AD17" s="577"/>
      <c r="AE17" s="577"/>
      <c r="AF17" s="577"/>
    </row>
    <row r="18" spans="1:32" ht="11.4" customHeight="1" x14ac:dyDescent="0.3">
      <c r="Z18" s="605"/>
      <c r="AA18" s="604"/>
      <c r="AB18" s="604"/>
      <c r="AC18" s="604"/>
      <c r="AD18" s="604"/>
      <c r="AE18" s="604"/>
      <c r="AF18" s="604"/>
    </row>
    <row r="19" spans="1:32" ht="11.4" customHeight="1" x14ac:dyDescent="0.3">
      <c r="Y19" s="606"/>
      <c r="Z19" s="604"/>
      <c r="AA19" s="577"/>
      <c r="AB19" s="577"/>
      <c r="AC19" s="577"/>
      <c r="AD19" s="577"/>
      <c r="AE19" s="577"/>
      <c r="AF19" s="577"/>
    </row>
    <row r="20" spans="1:32" ht="11.4" customHeight="1" x14ac:dyDescent="0.3">
      <c r="T20" s="607"/>
      <c r="U20" s="607"/>
      <c r="V20" s="607"/>
      <c r="W20" s="577"/>
      <c r="X20" s="577"/>
      <c r="Y20" s="577"/>
      <c r="Z20" s="577"/>
      <c r="AA20" s="577"/>
      <c r="AB20" s="577"/>
      <c r="AC20" s="577"/>
      <c r="AD20" s="604"/>
      <c r="AE20" s="604"/>
      <c r="AF20" s="604"/>
    </row>
    <row r="21" spans="1:32" ht="11.4" customHeight="1" x14ac:dyDescent="0.3">
      <c r="J21" s="744" t="str">
        <f>'Translate &amp; Prices'!$B$561</f>
        <v>Objednávka skla</v>
      </c>
      <c r="K21" s="744"/>
      <c r="L21" s="744"/>
      <c r="M21" s="744"/>
      <c r="N21" s="744"/>
      <c r="O21" s="744"/>
      <c r="T21" s="606"/>
      <c r="U21" s="606"/>
      <c r="V21" s="606"/>
      <c r="W21" s="606"/>
      <c r="X21" s="606"/>
      <c r="Y21" s="606"/>
      <c r="Z21" s="604"/>
      <c r="AA21" s="577"/>
      <c r="AB21" s="577"/>
      <c r="AC21" s="577"/>
      <c r="AD21" s="577"/>
      <c r="AE21" s="577"/>
      <c r="AF21" s="577"/>
    </row>
    <row r="22" spans="1:32" ht="11.4" customHeight="1" x14ac:dyDescent="0.3">
      <c r="J22" s="744"/>
      <c r="K22" s="744"/>
      <c r="L22" s="744"/>
      <c r="M22" s="744"/>
      <c r="N22" s="744"/>
      <c r="O22" s="744"/>
      <c r="T22" s="607"/>
      <c r="U22" s="607"/>
      <c r="V22" s="607"/>
      <c r="W22" s="577"/>
      <c r="X22" s="577"/>
      <c r="Y22" s="577"/>
      <c r="Z22" s="577"/>
      <c r="AA22" s="604"/>
      <c r="AB22" s="604"/>
      <c r="AC22" s="604"/>
      <c r="AD22" s="604"/>
      <c r="AE22" s="604"/>
      <c r="AF22" s="604"/>
    </row>
    <row r="23" spans="1:32" ht="11.4" customHeight="1" x14ac:dyDescent="0.3">
      <c r="T23" s="606"/>
      <c r="U23" s="606"/>
      <c r="V23" s="606"/>
      <c r="W23" s="606"/>
      <c r="X23" s="606"/>
      <c r="Y23" s="606"/>
      <c r="Z23" s="604"/>
      <c r="AA23" s="577"/>
      <c r="AB23" s="577"/>
      <c r="AC23" s="577"/>
      <c r="AD23" s="577"/>
      <c r="AE23" s="577"/>
      <c r="AF23" s="577"/>
    </row>
    <row r="24" spans="1:32" ht="11.4" customHeight="1" x14ac:dyDescent="0.3">
      <c r="T24" s="607"/>
      <c r="U24" s="607"/>
      <c r="V24" s="607"/>
      <c r="W24" s="577"/>
      <c r="X24" s="577"/>
      <c r="Y24" s="577"/>
      <c r="Z24" s="577"/>
      <c r="AA24" s="606"/>
      <c r="AB24" s="606"/>
      <c r="AC24" s="606"/>
      <c r="AD24" s="606"/>
      <c r="AE24" s="606"/>
      <c r="AF24" s="606"/>
    </row>
    <row r="25" spans="1:32" ht="11.4" customHeight="1" x14ac:dyDescent="0.3">
      <c r="T25" s="606"/>
      <c r="U25" s="606"/>
      <c r="V25" s="606"/>
      <c r="W25" s="606"/>
      <c r="X25" s="606"/>
      <c r="Y25" s="606"/>
      <c r="Z25" s="604"/>
      <c r="AA25" s="606"/>
      <c r="AB25" s="606"/>
      <c r="AC25" s="606"/>
      <c r="AD25" s="606"/>
      <c r="AE25" s="606"/>
      <c r="AF25" s="606"/>
    </row>
    <row r="26" spans="1:32" ht="11.4" customHeight="1" x14ac:dyDescent="0.3">
      <c r="T26" s="607"/>
      <c r="U26" s="607"/>
      <c r="V26" s="607"/>
      <c r="W26" s="577"/>
      <c r="X26" s="577"/>
      <c r="Y26" s="577"/>
      <c r="Z26" s="577"/>
      <c r="AA26" s="606"/>
      <c r="AB26" s="606"/>
      <c r="AC26" s="606"/>
      <c r="AD26" s="606"/>
      <c r="AE26" s="606"/>
      <c r="AF26" s="606"/>
    </row>
    <row r="27" spans="1:32" ht="14.4" x14ac:dyDescent="0.3">
      <c r="E27" s="608"/>
      <c r="T27" s="606"/>
      <c r="U27" s="606"/>
      <c r="V27" s="606"/>
      <c r="W27" s="606"/>
      <c r="X27" s="606"/>
      <c r="Y27" s="606"/>
      <c r="Z27" s="604"/>
      <c r="AA27" s="606"/>
      <c r="AB27" s="606"/>
      <c r="AC27" s="606"/>
      <c r="AD27" s="606"/>
      <c r="AE27" s="606"/>
      <c r="AF27" s="606"/>
    </row>
    <row r="28" spans="1:32" ht="15" customHeight="1" x14ac:dyDescent="0.3">
      <c r="A28" s="600"/>
      <c r="B28" s="744" t="str">
        <f>'Translate &amp; Prices'!$B$259</f>
        <v>Barvy LACOBEL A MATELAC</v>
      </c>
      <c r="C28" s="744"/>
      <c r="D28" s="744"/>
      <c r="E28" s="744"/>
      <c r="F28" s="744"/>
      <c r="G28" s="744"/>
      <c r="J28" s="600"/>
      <c r="K28" s="600"/>
      <c r="L28" s="600"/>
      <c r="Q28" s="744" t="str">
        <f>'Translate &amp; Prices'!$B$290</f>
        <v>Nákresy profilů a spoj. kování</v>
      </c>
      <c r="R28" s="744"/>
      <c r="S28" s="744"/>
      <c r="T28" s="744"/>
      <c r="U28" s="744"/>
      <c r="V28" s="607"/>
      <c r="AE28" s="606"/>
      <c r="AF28" s="606"/>
    </row>
    <row r="29" spans="1:32" ht="15" customHeight="1" x14ac:dyDescent="0.2">
      <c r="A29" s="600"/>
      <c r="B29" s="744"/>
      <c r="C29" s="744"/>
      <c r="D29" s="744"/>
      <c r="E29" s="744"/>
      <c r="F29" s="744"/>
      <c r="G29" s="744"/>
      <c r="J29" s="600"/>
      <c r="K29" s="600"/>
      <c r="L29" s="600"/>
      <c r="Q29" s="744"/>
      <c r="R29" s="744"/>
      <c r="S29" s="744"/>
      <c r="T29" s="744"/>
      <c r="U29" s="744"/>
      <c r="V29" s="606"/>
    </row>
    <row r="30" spans="1:32" ht="11.4" customHeight="1" x14ac:dyDescent="0.3">
      <c r="T30" s="607"/>
      <c r="U30" s="607"/>
      <c r="V30" s="607"/>
      <c r="W30" s="577"/>
      <c r="X30" s="577"/>
      <c r="Y30" s="577"/>
      <c r="Z30" s="577"/>
    </row>
    <row r="31" spans="1:32" ht="11.4" customHeight="1" x14ac:dyDescent="0.3">
      <c r="Z31" s="604"/>
    </row>
    <row r="32" spans="1:32" ht="11.4" customHeight="1" x14ac:dyDescent="0.2"/>
    <row r="33" spans="1:1" ht="11.4" customHeight="1" x14ac:dyDescent="0.2"/>
    <row r="34" spans="1:1" ht="11.4" customHeight="1" x14ac:dyDescent="0.2"/>
    <row r="35" spans="1:1" ht="11.4" customHeight="1" x14ac:dyDescent="0.2"/>
    <row r="36" spans="1:1" ht="11.4" customHeight="1" x14ac:dyDescent="0.2"/>
    <row r="37" spans="1:1" ht="11.4" customHeight="1" x14ac:dyDescent="0.2"/>
    <row r="38" spans="1:1" ht="11.4" customHeight="1" x14ac:dyDescent="0.2">
      <c r="A38" s="609" t="str">
        <f>'Translate &amp; Prices'!$B$227</f>
        <v>Ceny jsou platné od 25.1.2021/Verze 3.01</v>
      </c>
    </row>
    <row r="39" spans="1:1" ht="11.4" customHeight="1" x14ac:dyDescent="0.2"/>
  </sheetData>
  <sheetProtection algorithmName="SHA-512" hashValue="BOBzTAN+3qwZ0abUJ3ec6/TyYRZ8YXyOcn0Z675+F20LZI8NWMKlg1bmCH6m+Z6k7PGY9Covpg6lKBEQ1sf62g==" saltValue="SAZEFVr+uZILtdOK39zw+Q==" spinCount="100000" sheet="1" objects="1" scenarios="1" selectLockedCells="1" selectUnlockedCells="1"/>
  <mergeCells count="6">
    <mergeCell ref="C7:S9"/>
    <mergeCell ref="B14:G15"/>
    <mergeCell ref="Q14:U15"/>
    <mergeCell ref="J21:O22"/>
    <mergeCell ref="B28:G29"/>
    <mergeCell ref="Q28:U29"/>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5025" r:id="rId4" name="Option Button 1">
              <controlPr defaultSize="0" autoFill="0" autoLine="0" autoPict="0">
                <anchor moveWithCells="1">
                  <from>
                    <xdr:col>10</xdr:col>
                    <xdr:colOff>419100</xdr:colOff>
                    <xdr:row>1</xdr:row>
                    <xdr:rowOff>0</xdr:rowOff>
                  </from>
                  <to>
                    <xdr:col>11</xdr:col>
                    <xdr:colOff>121920</xdr:colOff>
                    <xdr:row>3</xdr:row>
                    <xdr:rowOff>0</xdr:rowOff>
                  </to>
                </anchor>
              </controlPr>
            </control>
          </mc:Choice>
        </mc:AlternateContent>
        <mc:AlternateContent xmlns:mc="http://schemas.openxmlformats.org/markup-compatibility/2006">
          <mc:Choice Requires="x14">
            <control shapeId="385026" r:id="rId5" name="Option Button 2">
              <controlPr defaultSize="0" autoFill="0" autoLine="0" autoPict="0">
                <anchor moveWithCells="1">
                  <from>
                    <xdr:col>12</xdr:col>
                    <xdr:colOff>403860</xdr:colOff>
                    <xdr:row>1</xdr:row>
                    <xdr:rowOff>0</xdr:rowOff>
                  </from>
                  <to>
                    <xdr:col>13</xdr:col>
                    <xdr:colOff>114300</xdr:colOff>
                    <xdr:row>3</xdr:row>
                    <xdr:rowOff>0</xdr:rowOff>
                  </to>
                </anchor>
              </controlPr>
            </control>
          </mc:Choice>
        </mc:AlternateContent>
        <mc:AlternateContent xmlns:mc="http://schemas.openxmlformats.org/markup-compatibility/2006">
          <mc:Choice Requires="x14">
            <control shapeId="385027" r:id="rId6" name="Option Button 3">
              <controlPr defaultSize="0" autoFill="0" autoLine="0" autoPict="0">
                <anchor moveWithCells="1">
                  <from>
                    <xdr:col>14</xdr:col>
                    <xdr:colOff>388620</xdr:colOff>
                    <xdr:row>1</xdr:row>
                    <xdr:rowOff>0</xdr:rowOff>
                  </from>
                  <to>
                    <xdr:col>15</xdr:col>
                    <xdr:colOff>144780</xdr:colOff>
                    <xdr:row>3</xdr:row>
                    <xdr:rowOff>0</xdr:rowOff>
                  </to>
                </anchor>
              </controlPr>
            </control>
          </mc:Choice>
        </mc:AlternateContent>
        <mc:AlternateContent xmlns:mc="http://schemas.openxmlformats.org/markup-compatibility/2006">
          <mc:Choice Requires="x14">
            <control shapeId="385028" r:id="rId7" name="Option Button 4">
              <controlPr defaultSize="0" autoFill="0" autoLine="0" autoPict="0">
                <anchor moveWithCells="1">
                  <from>
                    <xdr:col>16</xdr:col>
                    <xdr:colOff>320040</xdr:colOff>
                    <xdr:row>1</xdr:row>
                    <xdr:rowOff>0</xdr:rowOff>
                  </from>
                  <to>
                    <xdr:col>17</xdr:col>
                    <xdr:colOff>0</xdr:colOff>
                    <xdr:row>3</xdr:row>
                    <xdr:rowOff>0</xdr:rowOff>
                  </to>
                </anchor>
              </controlPr>
            </control>
          </mc:Choice>
        </mc:AlternateContent>
        <mc:AlternateContent xmlns:mc="http://schemas.openxmlformats.org/markup-compatibility/2006">
          <mc:Choice Requires="x14">
            <control shapeId="385029" r:id="rId8" name="Option Button 5">
              <controlPr defaultSize="0" autoFill="0" autoLine="0" autoPict="0">
                <anchor moveWithCells="1">
                  <from>
                    <xdr:col>18</xdr:col>
                    <xdr:colOff>335280</xdr:colOff>
                    <xdr:row>1</xdr:row>
                    <xdr:rowOff>0</xdr:rowOff>
                  </from>
                  <to>
                    <xdr:col>19</xdr:col>
                    <xdr:colOff>22860</xdr:colOff>
                    <xdr:row>3</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D9D5F-20CF-4CED-90A3-65D71B9F60B3}">
  <sheetPr codeName="List9"/>
  <dimension ref="A1:DQ61"/>
  <sheetViews>
    <sheetView topLeftCell="BS1" zoomScale="102" zoomScaleNormal="102" workbookViewId="0">
      <selection activeCell="CD10" sqref="CD1:CF1048576"/>
    </sheetView>
  </sheetViews>
  <sheetFormatPr defaultRowHeight="14.4" x14ac:dyDescent="0.3"/>
  <cols>
    <col min="1" max="1" width="29.109375" style="137" bestFit="1" customWidth="1"/>
    <col min="2" max="2" width="24" style="137" customWidth="1"/>
    <col min="3" max="3" width="17" style="137" bestFit="1" customWidth="1"/>
    <col min="4" max="4" width="17" style="137" customWidth="1"/>
    <col min="5" max="5" width="3" style="406" customWidth="1"/>
    <col min="6" max="6" width="15.44140625" style="137" bestFit="1" customWidth="1"/>
    <col min="7" max="7" width="11.109375" style="137" bestFit="1" customWidth="1"/>
    <col min="8" max="8" width="18.109375" style="137" bestFit="1" customWidth="1"/>
    <col min="9" max="9" width="24.109375" style="137" bestFit="1" customWidth="1"/>
    <col min="10" max="11" width="18.109375" style="137" customWidth="1"/>
    <col min="12" max="12" width="3" style="406" customWidth="1"/>
    <col min="13" max="13" width="21" style="137" bestFit="1" customWidth="1"/>
    <col min="14" max="14" width="15" style="137" bestFit="1" customWidth="1"/>
    <col min="15" max="15" width="3" style="406" customWidth="1"/>
    <col min="16" max="16" width="23.109375" style="137" customWidth="1"/>
    <col min="17" max="18" width="19.44140625" style="137" bestFit="1" customWidth="1"/>
    <col min="19" max="19" width="19.44140625" style="137" customWidth="1"/>
    <col min="20" max="21" width="15.109375" style="137" customWidth="1"/>
    <col min="22" max="22" width="19.44140625" style="137" bestFit="1" customWidth="1"/>
    <col min="23" max="23" width="3" style="406" customWidth="1"/>
    <col min="24" max="24" width="12.21875" style="137" bestFit="1" customWidth="1"/>
    <col min="25" max="25" width="4.109375" style="137" bestFit="1" customWidth="1"/>
    <col min="26" max="26" width="3" style="406" customWidth="1"/>
    <col min="27" max="27" width="18.5546875" style="137" bestFit="1" customWidth="1"/>
    <col min="28" max="28" width="17.33203125" style="137" bestFit="1" customWidth="1"/>
    <col min="29" max="29" width="14.33203125" style="137" bestFit="1" customWidth="1"/>
    <col min="30" max="30" width="16.44140625" style="137" customWidth="1"/>
    <col min="31" max="31" width="3" style="406" customWidth="1"/>
    <col min="32" max="32" width="17.33203125" style="137" customWidth="1"/>
    <col min="33" max="48" width="16.5546875" style="137" customWidth="1"/>
    <col min="49" max="49" width="3" style="406" customWidth="1"/>
    <col min="50" max="53" width="19.6640625" style="137" customWidth="1"/>
    <col min="54" max="54" width="3" style="406" customWidth="1"/>
    <col min="55" max="61" width="9.5546875" style="137" customWidth="1"/>
    <col min="62" max="62" width="3" style="406" customWidth="1"/>
    <col min="63" max="63" width="17.33203125" style="137" bestFit="1" customWidth="1"/>
    <col min="64" max="64" width="3" style="406" customWidth="1"/>
    <col min="65" max="65" width="12.88671875" style="137" customWidth="1"/>
    <col min="66" max="68" width="8.88671875" style="137"/>
    <col min="69" max="69" width="6.88671875" style="137" bestFit="1" customWidth="1"/>
    <col min="70" max="70" width="18.5546875" style="137" bestFit="1" customWidth="1"/>
    <col min="71" max="72" width="8.88671875" style="137"/>
    <col min="73" max="73" width="13.77734375" style="137" customWidth="1"/>
    <col min="74" max="74" width="32.6640625" style="137" customWidth="1"/>
    <col min="75" max="75" width="17.77734375" style="137" customWidth="1"/>
    <col min="76" max="76" width="8.88671875" style="137"/>
    <col min="77" max="77" width="21.33203125" style="137" bestFit="1" customWidth="1"/>
    <col min="78" max="81" width="8.88671875" style="137"/>
    <col min="82" max="82" width="16.5546875" style="137" customWidth="1"/>
    <col min="83" max="84" width="8.88671875" style="137"/>
    <col min="85" max="85" width="28.77734375" style="137" bestFit="1" customWidth="1"/>
    <col min="86" max="86" width="23.33203125" style="137" bestFit="1" customWidth="1"/>
    <col min="87" max="87" width="20.88671875" style="137" bestFit="1" customWidth="1"/>
    <col min="88" max="88" width="22.109375" style="137" bestFit="1" customWidth="1"/>
    <col min="89" max="89" width="23.5546875" style="137" bestFit="1" customWidth="1"/>
    <col min="90" max="90" width="20.109375" style="137" bestFit="1" customWidth="1"/>
    <col min="91" max="91" width="23.5546875" style="137" bestFit="1" customWidth="1"/>
    <col min="92" max="92" width="20.109375" style="137" bestFit="1" customWidth="1"/>
    <col min="93" max="93" width="23.5546875" style="137" bestFit="1" customWidth="1"/>
    <col min="94" max="94" width="20.109375" style="137" bestFit="1" customWidth="1"/>
    <col min="95" max="95" width="21.44140625" style="137" bestFit="1" customWidth="1"/>
    <col min="96" max="96" width="19.109375" style="137" bestFit="1" customWidth="1"/>
    <col min="97" max="97" width="21.44140625" style="137" bestFit="1" customWidth="1"/>
    <col min="98" max="98" width="19.109375" style="137" bestFit="1" customWidth="1"/>
    <col min="99" max="99" width="23.5546875" style="137" bestFit="1" customWidth="1"/>
    <col min="100" max="100" width="20.109375" style="137" bestFit="1" customWidth="1"/>
    <col min="101" max="102" width="19.109375" style="137" bestFit="1" customWidth="1"/>
    <col min="103" max="103" width="23.5546875" style="137" bestFit="1" customWidth="1"/>
    <col min="104" max="104" width="20.109375" style="137" bestFit="1" customWidth="1"/>
    <col min="105" max="110" width="19.109375" style="137" bestFit="1" customWidth="1"/>
    <col min="111" max="111" width="23.5546875" style="137" bestFit="1" customWidth="1"/>
    <col min="112" max="112" width="20.109375" style="137" bestFit="1" customWidth="1"/>
    <col min="113" max="113" width="23.5546875" style="137" bestFit="1" customWidth="1"/>
    <col min="114" max="114" width="20.109375" style="137" bestFit="1" customWidth="1"/>
    <col min="115" max="116" width="19.109375" style="137" bestFit="1" customWidth="1"/>
    <col min="117" max="16384" width="8.88671875" style="137"/>
  </cols>
  <sheetData>
    <row r="1" spans="1:121" x14ac:dyDescent="0.3">
      <c r="A1" s="376" t="s">
        <v>38</v>
      </c>
      <c r="B1" s="405"/>
      <c r="C1" s="405"/>
      <c r="D1" s="405"/>
      <c r="F1" s="376" t="s">
        <v>2064</v>
      </c>
      <c r="G1" s="405"/>
      <c r="H1" s="405" t="b">
        <v>0</v>
      </c>
      <c r="I1" s="405"/>
      <c r="J1" s="405"/>
      <c r="K1" s="405"/>
      <c r="M1" s="376" t="s">
        <v>2065</v>
      </c>
      <c r="N1" s="405"/>
      <c r="P1" s="405" t="e" cm="1">
        <f t="array" ref="P1">IF($S$1=Varianta_N1,_N1,IF($S$1=Varianta_A1,_A1,IF($S$1=Varianta_N2,_N2,IF($S$1=Varianta_A2,_A2,IF($S$1=Varianta_N3,_N3,IF($S$1=Varianta_A3,_A3,0))))))</f>
        <v>#N/A</v>
      </c>
      <c r="Q1" s="412" t="s">
        <v>2132</v>
      </c>
      <c r="R1" s="413" t="e">
        <f>VLOOKUP(Ram_2!H8,$A:$C,3,0)</f>
        <v>#N/A</v>
      </c>
      <c r="S1" s="405" t="e">
        <f>CONCATENATE("_",R1,V1)</f>
        <v>#N/A</v>
      </c>
      <c r="T1" s="405"/>
      <c r="U1" s="412" t="s">
        <v>2131</v>
      </c>
      <c r="V1" s="413">
        <v>1</v>
      </c>
      <c r="X1" s="376" t="s">
        <v>2066</v>
      </c>
      <c r="Y1" s="405"/>
      <c r="AA1" s="405" t="s">
        <v>1085</v>
      </c>
      <c r="AB1" s="405"/>
      <c r="AC1" s="405"/>
      <c r="AD1" s="405"/>
      <c r="AF1" s="405" t="s">
        <v>2067</v>
      </c>
      <c r="AG1" s="405"/>
      <c r="AH1" s="405"/>
      <c r="AI1" s="405"/>
      <c r="AJ1" s="405"/>
      <c r="AK1" s="405"/>
      <c r="AL1" s="405"/>
      <c r="AM1" s="405"/>
      <c r="AN1" s="405"/>
      <c r="AO1" s="405"/>
      <c r="AP1" s="405"/>
      <c r="AQ1" s="405"/>
      <c r="AR1" s="405"/>
      <c r="AS1" s="405"/>
      <c r="AT1" s="405"/>
      <c r="AU1" s="405"/>
      <c r="AV1" s="405"/>
      <c r="AX1" s="405" t="s">
        <v>735</v>
      </c>
      <c r="AY1" s="405"/>
      <c r="AZ1" s="405"/>
      <c r="BA1" s="405"/>
      <c r="BC1" s="405" t="s">
        <v>22</v>
      </c>
      <c r="BD1" s="405"/>
      <c r="BE1" s="405"/>
      <c r="BF1" s="405"/>
      <c r="BG1" s="405"/>
      <c r="BH1" s="405"/>
      <c r="BI1" s="405"/>
      <c r="BK1" s="405" t="s">
        <v>1031</v>
      </c>
      <c r="BM1" s="137" t="s">
        <v>2121</v>
      </c>
      <c r="BQ1" s="414" t="s">
        <v>1441</v>
      </c>
    </row>
    <row r="2" spans="1:121" x14ac:dyDescent="0.3">
      <c r="A2" s="407" t="s">
        <v>2068</v>
      </c>
      <c r="B2" s="407" t="s">
        <v>2125</v>
      </c>
      <c r="C2" s="407" t="s">
        <v>2126</v>
      </c>
      <c r="D2" s="407" t="s">
        <v>2065</v>
      </c>
      <c r="F2" s="407" t="s">
        <v>2070</v>
      </c>
      <c r="G2" s="407" t="s">
        <v>2071</v>
      </c>
      <c r="H2" s="407" t="s">
        <v>2072</v>
      </c>
      <c r="I2" s="407" t="s">
        <v>2073</v>
      </c>
      <c r="J2" s="407"/>
      <c r="K2" s="407"/>
      <c r="M2" s="407" t="s">
        <v>2074</v>
      </c>
      <c r="P2" s="407" t="s">
        <v>2127</v>
      </c>
      <c r="Q2" s="407" t="s">
        <v>2124</v>
      </c>
      <c r="R2" s="407" t="s">
        <v>2128</v>
      </c>
      <c r="S2" s="407" t="s">
        <v>2123</v>
      </c>
      <c r="T2" s="407" t="s">
        <v>2129</v>
      </c>
      <c r="U2" s="407" t="s">
        <v>2066</v>
      </c>
      <c r="V2" s="407" t="s">
        <v>2130</v>
      </c>
      <c r="X2" s="407" t="s">
        <v>2075</v>
      </c>
      <c r="Y2" s="407" t="s">
        <v>2076</v>
      </c>
      <c r="AA2" s="407" t="s">
        <v>1441</v>
      </c>
      <c r="AB2" s="407" t="s">
        <v>2077</v>
      </c>
      <c r="AC2" s="407" t="s">
        <v>2078</v>
      </c>
      <c r="AD2" s="407" t="s">
        <v>1031</v>
      </c>
      <c r="AF2" s="408" t="s">
        <v>2079</v>
      </c>
      <c r="AG2" s="408" t="s">
        <v>1030</v>
      </c>
      <c r="AH2" s="137">
        <v>1</v>
      </c>
      <c r="AI2" s="137">
        <v>2</v>
      </c>
      <c r="AJ2" s="137">
        <v>3</v>
      </c>
      <c r="AK2" s="137">
        <v>4</v>
      </c>
      <c r="AL2" s="137">
        <v>5</v>
      </c>
      <c r="AM2" s="137">
        <v>6</v>
      </c>
      <c r="AN2" s="137">
        <v>7</v>
      </c>
      <c r="AO2" s="137">
        <v>8</v>
      </c>
      <c r="AP2" s="137">
        <v>9</v>
      </c>
      <c r="AQ2" s="137">
        <v>10</v>
      </c>
      <c r="AR2" s="137">
        <v>11</v>
      </c>
      <c r="AS2" s="137">
        <v>12</v>
      </c>
      <c r="AT2" s="137">
        <v>13</v>
      </c>
      <c r="AU2" s="137">
        <v>14</v>
      </c>
      <c r="AV2" s="137">
        <v>15</v>
      </c>
      <c r="AX2" s="407" t="s">
        <v>2069</v>
      </c>
      <c r="AY2" s="407" t="s">
        <v>1441</v>
      </c>
      <c r="AZ2" s="407" t="s">
        <v>2080</v>
      </c>
      <c r="BA2" s="407" t="s">
        <v>2081</v>
      </c>
      <c r="BC2" s="409">
        <v>1</v>
      </c>
      <c r="BD2" s="409">
        <v>2</v>
      </c>
      <c r="BE2" s="409">
        <v>3</v>
      </c>
      <c r="BF2" s="409">
        <v>4</v>
      </c>
      <c r="BG2" s="409">
        <v>5</v>
      </c>
      <c r="BH2" s="409">
        <v>6</v>
      </c>
      <c r="BI2" s="409">
        <v>7</v>
      </c>
      <c r="BK2" s="409" t="s">
        <v>2082</v>
      </c>
      <c r="BM2" s="407" t="s">
        <v>2122</v>
      </c>
      <c r="BN2" s="407" t="s">
        <v>2123</v>
      </c>
      <c r="BO2" s="407" t="s">
        <v>2066</v>
      </c>
      <c r="BQ2" s="137" t="str">
        <f>'Translate &amp; Prices'!B531</f>
        <v>Závěsy</v>
      </c>
      <c r="BR2" s="137" t="str">
        <f>'Translate &amp; Prices'!B532</f>
        <v>Výklopy</v>
      </c>
      <c r="BU2" s="137" t="e">
        <f>CONCATENATE("_",#REF!,"_",#REF!)</f>
        <v>#REF!</v>
      </c>
      <c r="BV2" s="137" t="s">
        <v>2149</v>
      </c>
      <c r="BW2" s="137" t="s">
        <v>2144</v>
      </c>
      <c r="BY2" s="137" t="s">
        <v>250</v>
      </c>
      <c r="CA2" s="137" t="s">
        <v>2176</v>
      </c>
      <c r="CD2" s="137" t="s">
        <v>2265</v>
      </c>
      <c r="CF2" s="137" t="s">
        <v>2628</v>
      </c>
      <c r="CG2" s="407" t="s">
        <v>845</v>
      </c>
      <c r="CH2" s="407" t="s">
        <v>2264</v>
      </c>
      <c r="CI2" s="410" t="s">
        <v>845</v>
      </c>
      <c r="CJ2" s="410" t="s">
        <v>2264</v>
      </c>
      <c r="CK2" s="407" t="s">
        <v>845</v>
      </c>
      <c r="CL2" s="407" t="s">
        <v>2264</v>
      </c>
      <c r="CM2" s="410" t="s">
        <v>845</v>
      </c>
      <c r="CN2" s="410" t="s">
        <v>2264</v>
      </c>
      <c r="CO2" s="407" t="s">
        <v>845</v>
      </c>
      <c r="CP2" s="407" t="s">
        <v>2264</v>
      </c>
      <c r="CQ2" s="410" t="s">
        <v>845</v>
      </c>
      <c r="CR2" s="410" t="s">
        <v>2264</v>
      </c>
      <c r="CS2" s="407" t="s">
        <v>845</v>
      </c>
      <c r="CT2" s="407" t="s">
        <v>2264</v>
      </c>
      <c r="CU2" s="410" t="s">
        <v>845</v>
      </c>
      <c r="CV2" s="410" t="s">
        <v>2264</v>
      </c>
      <c r="CW2" s="407" t="s">
        <v>845</v>
      </c>
      <c r="CX2" s="407" t="s">
        <v>2264</v>
      </c>
      <c r="CY2" s="410" t="s">
        <v>845</v>
      </c>
      <c r="CZ2" s="410" t="s">
        <v>2264</v>
      </c>
      <c r="DA2" s="407" t="s">
        <v>845</v>
      </c>
      <c r="DB2" s="407" t="s">
        <v>2264</v>
      </c>
      <c r="DC2" s="410" t="s">
        <v>845</v>
      </c>
      <c r="DD2" s="410" t="s">
        <v>2264</v>
      </c>
      <c r="DE2" s="407" t="s">
        <v>845</v>
      </c>
      <c r="DF2" s="407" t="s">
        <v>2264</v>
      </c>
      <c r="DG2" s="410" t="s">
        <v>845</v>
      </c>
      <c r="DH2" s="410" t="s">
        <v>2264</v>
      </c>
      <c r="DI2" s="407" t="s">
        <v>845</v>
      </c>
      <c r="DJ2" s="407" t="s">
        <v>2264</v>
      </c>
      <c r="DK2" s="410" t="s">
        <v>845</v>
      </c>
      <c r="DL2" s="410" t="s">
        <v>2264</v>
      </c>
      <c r="DN2" s="137" t="str">
        <f>'Translate &amp; Prices'!B533</f>
        <v>Naložený</v>
      </c>
      <c r="DP2" s="137" t="str">
        <f>'Translate &amp; Prices'!B531</f>
        <v>Závěsy</v>
      </c>
      <c r="DQ2" s="137">
        <v>2</v>
      </c>
    </row>
    <row r="3" spans="1:121" x14ac:dyDescent="0.3">
      <c r="A3" s="446" t="str">
        <f>'Translate &amp; Prices'!B6</f>
        <v>BRW (elox.)</v>
      </c>
      <c r="B3" s="137">
        <v>1</v>
      </c>
      <c r="C3" s="137" t="s">
        <v>1222</v>
      </c>
      <c r="D3" s="137">
        <v>1</v>
      </c>
      <c r="F3" s="137" t="s">
        <v>2083</v>
      </c>
      <c r="G3" s="137" t="s">
        <v>713</v>
      </c>
      <c r="H3" s="137" t="s">
        <v>2084</v>
      </c>
      <c r="I3" s="137">
        <v>1</v>
      </c>
      <c r="J3" s="137">
        <v>2</v>
      </c>
      <c r="K3" s="137" t="s">
        <v>1222</v>
      </c>
      <c r="M3" s="137" t="s">
        <v>2085</v>
      </c>
      <c r="N3" s="137" t="s">
        <v>991</v>
      </c>
      <c r="Q3" s="414" t="s">
        <v>2134</v>
      </c>
      <c r="R3" s="414" t="s">
        <v>2135</v>
      </c>
      <c r="S3" s="414" t="s">
        <v>2136</v>
      </c>
      <c r="T3" s="414" t="s">
        <v>2137</v>
      </c>
      <c r="U3" s="414" t="s">
        <v>2138</v>
      </c>
      <c r="V3" s="414" t="s">
        <v>2139</v>
      </c>
      <c r="X3" s="137" t="str">
        <f>'Translate &amp; Prices'!$B$543</f>
        <v>Transparentní</v>
      </c>
      <c r="Y3" s="137">
        <v>1</v>
      </c>
      <c r="AA3" s="137" t="s">
        <v>2087</v>
      </c>
      <c r="AB3" s="137" t="s">
        <v>2144</v>
      </c>
      <c r="AF3" s="407" t="s">
        <v>245</v>
      </c>
      <c r="AG3" s="407" t="s">
        <v>1032</v>
      </c>
      <c r="AY3" s="137" t="s">
        <v>2117</v>
      </c>
      <c r="BK3" s="137" t="s">
        <v>245</v>
      </c>
      <c r="BQ3" s="137" t="s">
        <v>2117</v>
      </c>
      <c r="BR3" s="137" t="s">
        <v>2087</v>
      </c>
      <c r="BU3" s="137" t="e">
        <f>VLOOKUP(BU2,BV:BW,2,0)</f>
        <v>#REF!</v>
      </c>
      <c r="BV3" s="137" t="s">
        <v>2152</v>
      </c>
      <c r="BW3" s="137" t="s">
        <v>2148</v>
      </c>
      <c r="BY3" s="137" t="str">
        <f>'Translate &amp; Prices'!B210</f>
        <v>Vlevo</v>
      </c>
      <c r="BZ3" s="137">
        <v>1</v>
      </c>
      <c r="CA3" s="137">
        <v>32</v>
      </c>
      <c r="CD3" s="137" t="s">
        <v>2272</v>
      </c>
      <c r="CE3" s="137">
        <v>1</v>
      </c>
      <c r="CF3" s="137">
        <v>1</v>
      </c>
      <c r="CG3" s="407" t="s">
        <v>2272</v>
      </c>
      <c r="CH3" s="407" t="s">
        <v>2272</v>
      </c>
      <c r="CI3" s="410" t="s">
        <v>2273</v>
      </c>
      <c r="CJ3" s="410" t="s">
        <v>2273</v>
      </c>
      <c r="CK3" s="407" t="s">
        <v>2097</v>
      </c>
      <c r="CL3" s="407" t="s">
        <v>2097</v>
      </c>
      <c r="CM3" s="410" t="s">
        <v>2100</v>
      </c>
      <c r="CN3" s="410" t="s">
        <v>2100</v>
      </c>
      <c r="CO3" s="407" t="s">
        <v>2107</v>
      </c>
      <c r="CP3" s="407" t="s">
        <v>2107</v>
      </c>
      <c r="CQ3" s="410" t="s">
        <v>2274</v>
      </c>
      <c r="CR3" s="410" t="s">
        <v>2274</v>
      </c>
      <c r="CS3" s="407" t="s">
        <v>2102</v>
      </c>
      <c r="CT3" s="407" t="s">
        <v>2102</v>
      </c>
      <c r="CU3" s="410" t="s">
        <v>2108</v>
      </c>
      <c r="CV3" s="410" t="s">
        <v>2108</v>
      </c>
      <c r="CW3" s="407" t="s">
        <v>2269</v>
      </c>
      <c r="CX3" s="407" t="s">
        <v>2269</v>
      </c>
      <c r="CY3" s="410" t="s">
        <v>2111</v>
      </c>
      <c r="CZ3" s="410" t="s">
        <v>2111</v>
      </c>
      <c r="DA3" s="407" t="s">
        <v>2268</v>
      </c>
      <c r="DB3" s="407" t="s">
        <v>2268</v>
      </c>
      <c r="DC3" s="410" t="s">
        <v>2113</v>
      </c>
      <c r="DD3" s="410" t="s">
        <v>2113</v>
      </c>
      <c r="DE3" s="407" t="s">
        <v>2114</v>
      </c>
      <c r="DF3" s="407" t="s">
        <v>2114</v>
      </c>
      <c r="DG3" s="137" t="s">
        <v>2638</v>
      </c>
      <c r="DH3" s="137" t="s">
        <v>2638</v>
      </c>
      <c r="DI3" s="137" t="s">
        <v>2639</v>
      </c>
      <c r="DJ3" s="137" t="s">
        <v>2639</v>
      </c>
      <c r="DK3" s="410" t="s">
        <v>2119</v>
      </c>
      <c r="DL3" s="410" t="s">
        <v>2119</v>
      </c>
      <c r="DN3" s="137" t="str">
        <f>'Translate &amp; Prices'!B534</f>
        <v>Polonaložený</v>
      </c>
      <c r="DP3" s="137" t="str">
        <f>'Translate &amp; Prices'!B532</f>
        <v>Výklopy</v>
      </c>
      <c r="DQ3" s="137">
        <v>3</v>
      </c>
    </row>
    <row r="4" spans="1:121" x14ac:dyDescent="0.3">
      <c r="A4" s="446" t="str">
        <f>'Translate &amp; Prices'!B7</f>
        <v>BRW antracit</v>
      </c>
      <c r="B4" s="137">
        <v>1</v>
      </c>
      <c r="C4" s="137" t="s">
        <v>1222</v>
      </c>
      <c r="D4" s="137">
        <v>0</v>
      </c>
      <c r="G4" s="137" t="s">
        <v>2084</v>
      </c>
      <c r="H4" s="137" t="s">
        <v>713</v>
      </c>
      <c r="I4" s="137">
        <v>0</v>
      </c>
      <c r="J4" s="137">
        <v>2</v>
      </c>
      <c r="K4" s="137" t="s">
        <v>1222</v>
      </c>
      <c r="M4" s="137" t="s">
        <v>2088</v>
      </c>
      <c r="N4" s="137" t="s">
        <v>1648</v>
      </c>
      <c r="Q4" s="446" t="str">
        <f>'Translate &amp; Prices'!$B$82</f>
        <v>Čiré</v>
      </c>
      <c r="R4" s="446" t="str">
        <f>'Translate &amp; Prices'!$B$93</f>
        <v>Stopsol bronz</v>
      </c>
      <c r="S4" s="446" t="str">
        <f>'Translate &amp; Prices'!$B$82</f>
        <v>Čiré</v>
      </c>
      <c r="T4" s="446" t="str">
        <f>'Translate &amp; Prices'!$B$93</f>
        <v>Stopsol bronz</v>
      </c>
      <c r="U4" s="446" t="str">
        <f>'Translate &amp; Prices'!$B$98</f>
        <v>Zrcadlo</v>
      </c>
      <c r="V4" s="446" t="str">
        <f>'Translate &amp; Prices'!$B$98</f>
        <v>Zrcadlo</v>
      </c>
      <c r="X4" s="137" t="str">
        <f>'Translate &amp; Prices'!$B$544</f>
        <v>Bílá</v>
      </c>
      <c r="Y4" s="137">
        <v>2</v>
      </c>
      <c r="AA4" s="137" t="s">
        <v>2087</v>
      </c>
      <c r="AB4" s="137" t="s">
        <v>2272</v>
      </c>
      <c r="AC4" s="137">
        <v>1</v>
      </c>
      <c r="AD4" s="137">
        <v>1</v>
      </c>
      <c r="AF4" s="407" t="s">
        <v>246</v>
      </c>
      <c r="AG4" s="407" t="s">
        <v>1032</v>
      </c>
      <c r="AY4" s="137" t="s">
        <v>2117</v>
      </c>
      <c r="AZ4" s="137" t="s">
        <v>2154</v>
      </c>
      <c r="BK4" s="137" t="s">
        <v>246</v>
      </c>
      <c r="BQ4" s="137" t="s">
        <v>2087</v>
      </c>
      <c r="BR4" s="137" t="s">
        <v>2099</v>
      </c>
      <c r="BV4" s="137" t="s">
        <v>2153</v>
      </c>
      <c r="BW4" s="137" t="s">
        <v>2147</v>
      </c>
      <c r="BY4" s="137" t="str">
        <f>'Translate &amp; Prices'!B209</f>
        <v xml:space="preserve">Vpravo </v>
      </c>
      <c r="BZ4" s="137">
        <v>2</v>
      </c>
      <c r="CA4" s="137">
        <v>64</v>
      </c>
      <c r="CD4" s="137" t="s">
        <v>2273</v>
      </c>
      <c r="CE4" s="137">
        <v>1</v>
      </c>
      <c r="CF4" s="137">
        <v>0</v>
      </c>
      <c r="CG4" s="137" t="str">
        <f>CONCATENATE("_",CG2,"_",CG3)</f>
        <v>_Úzký_Aventos_HF</v>
      </c>
      <c r="CH4" s="137" t="str">
        <f t="shared" ref="CH4:DL4" si="0">CONCATENATE("_",CH2,"_",CH3)</f>
        <v>_široký_Aventos_HF</v>
      </c>
      <c r="CI4" s="137" t="str">
        <f t="shared" si="0"/>
        <v>_Úzký_Aventos_HK-XS</v>
      </c>
      <c r="CJ4" s="137" t="str">
        <f t="shared" si="0"/>
        <v>_široký_Aventos_HK-XS</v>
      </c>
      <c r="CK4" s="137" t="str">
        <f t="shared" si="0"/>
        <v>_Úzký_FREElight</v>
      </c>
      <c r="CL4" s="137" t="str">
        <f t="shared" si="0"/>
        <v>_široký_FREElight</v>
      </c>
      <c r="CM4" s="137" t="str">
        <f t="shared" si="0"/>
        <v>_Úzký_FREEfold</v>
      </c>
      <c r="CN4" s="137" t="str">
        <f t="shared" si="0"/>
        <v>_široký_FREEfold</v>
      </c>
      <c r="CO4" s="137" t="str">
        <f t="shared" si="0"/>
        <v>_Úzký_Maxi</v>
      </c>
      <c r="CP4" s="137" t="str">
        <f t="shared" si="0"/>
        <v>_široký_Maxi</v>
      </c>
      <c r="CQ4" s="137" t="str">
        <f t="shared" si="0"/>
        <v>_Úzký_Duo_Forte</v>
      </c>
      <c r="CR4" s="137" t="str">
        <f t="shared" si="0"/>
        <v>_široký_Duo_Forte</v>
      </c>
      <c r="CS4" s="137" t="str">
        <f t="shared" si="0"/>
        <v>_Úzký_Duo</v>
      </c>
      <c r="CT4" s="137" t="str">
        <f t="shared" si="0"/>
        <v>_široký_Duo</v>
      </c>
      <c r="CU4" s="137" t="str">
        <f t="shared" si="0"/>
        <v>_Úzký_K12</v>
      </c>
      <c r="CV4" s="137" t="str">
        <f t="shared" si="0"/>
        <v>_široký_K12</v>
      </c>
      <c r="CW4" s="137" t="str">
        <f t="shared" si="0"/>
        <v>_Úzký_Spodní_K12</v>
      </c>
      <c r="CX4" s="137" t="str">
        <f t="shared" si="0"/>
        <v>_široký_Spodní_K12</v>
      </c>
      <c r="CY4" s="137" t="str">
        <f t="shared" si="0"/>
        <v>_Úzký_Kraby</v>
      </c>
      <c r="CZ4" s="137" t="str">
        <f t="shared" si="0"/>
        <v>_široký_Kraby</v>
      </c>
      <c r="DA4" s="137" t="str">
        <f t="shared" si="0"/>
        <v>_Úzký_Spodní_Kraby</v>
      </c>
      <c r="DB4" s="137" t="str">
        <f t="shared" si="0"/>
        <v>_široký_Spodní_Kraby</v>
      </c>
      <c r="DC4" s="137" t="str">
        <f t="shared" si="0"/>
        <v>_Úzký_Kiaro</v>
      </c>
      <c r="DD4" s="137" t="str">
        <f t="shared" si="0"/>
        <v>_široký_Kiaro</v>
      </c>
      <c r="DE4" s="137" t="str">
        <f t="shared" si="0"/>
        <v>_Úzký_Link</v>
      </c>
      <c r="DF4" s="137" t="str">
        <f t="shared" si="0"/>
        <v>_široký_Link</v>
      </c>
      <c r="DG4" s="137" t="str">
        <f t="shared" si="0"/>
        <v>_Úzký_Strong_horní</v>
      </c>
      <c r="DH4" s="137" t="str">
        <f t="shared" si="0"/>
        <v>_široký_Strong_horní</v>
      </c>
      <c r="DI4" s="137" t="str">
        <f t="shared" si="0"/>
        <v>_Úzký_Strong_spodní</v>
      </c>
      <c r="DJ4" s="137" t="str">
        <f t="shared" si="0"/>
        <v>_široký_Strong_spodní</v>
      </c>
      <c r="DK4" s="137" t="str">
        <f t="shared" si="0"/>
        <v>_Úzký_LiftMini</v>
      </c>
      <c r="DL4" s="137" t="str">
        <f t="shared" si="0"/>
        <v>_široký_LiftMini</v>
      </c>
      <c r="DN4" s="137" t="str">
        <f>'Translate &amp; Prices'!B535</f>
        <v>Vložený</v>
      </c>
    </row>
    <row r="5" spans="1:121" x14ac:dyDescent="0.3">
      <c r="A5" s="446" t="str">
        <f>'Translate &amp; Prices'!B8</f>
        <v>BRW bílá mat</v>
      </c>
      <c r="B5" s="137">
        <v>1</v>
      </c>
      <c r="C5" s="137" t="s">
        <v>1222</v>
      </c>
      <c r="D5" s="137">
        <v>0</v>
      </c>
      <c r="F5" s="137" t="s">
        <v>2090</v>
      </c>
      <c r="G5" s="137" t="s">
        <v>712</v>
      </c>
      <c r="H5" s="137" t="s">
        <v>2084</v>
      </c>
      <c r="I5" s="137">
        <v>1</v>
      </c>
      <c r="J5" s="137">
        <v>2</v>
      </c>
      <c r="K5" s="137" t="s">
        <v>1222</v>
      </c>
      <c r="M5" s="137" t="s">
        <v>2091</v>
      </c>
      <c r="N5" s="137" t="s">
        <v>1011</v>
      </c>
      <c r="Q5" s="446" t="str">
        <f>'Translate &amp; Prices'!$B$87</f>
        <v>Satinato</v>
      </c>
      <c r="R5" s="446" t="str">
        <f>'Translate &amp; Prices'!$B$94</f>
        <v>Lakomat</v>
      </c>
      <c r="S5" s="446" t="str">
        <f>'Translate &amp; Prices'!$B$87</f>
        <v>Satinato</v>
      </c>
      <c r="T5" s="446" t="str">
        <f>'Translate &amp; Prices'!$B$105</f>
        <v>Master  Ligne</v>
      </c>
      <c r="U5" s="446" t="str">
        <f>'Translate &amp; Prices'!$B$99</f>
        <v>Zrcadlo hnědé</v>
      </c>
      <c r="V5" s="446" t="str">
        <f>'Translate &amp; Prices'!$B$99</f>
        <v>Zrcadlo hnědé</v>
      </c>
      <c r="X5" s="137" t="str">
        <f>'Translate &amp; Prices'!$B$545</f>
        <v>Černá</v>
      </c>
      <c r="Y5" s="137">
        <v>3</v>
      </c>
      <c r="AA5" s="137" t="s">
        <v>2087</v>
      </c>
      <c r="AB5" s="137" t="s">
        <v>2275</v>
      </c>
      <c r="AC5" s="137">
        <v>0</v>
      </c>
      <c r="AD5" s="137">
        <v>0</v>
      </c>
      <c r="AF5" s="410" t="s">
        <v>245</v>
      </c>
      <c r="AG5" s="410" t="s">
        <v>2093</v>
      </c>
      <c r="AY5" s="137" t="s">
        <v>2117</v>
      </c>
      <c r="AZ5" s="137" t="s">
        <v>2155</v>
      </c>
      <c r="BK5" s="137" t="s">
        <v>2094</v>
      </c>
      <c r="BQ5" s="137" t="s">
        <v>1021</v>
      </c>
      <c r="BR5" s="137" t="s">
        <v>2109</v>
      </c>
      <c r="BV5" s="137" t="s">
        <v>2150</v>
      </c>
      <c r="BW5" s="137" t="s">
        <v>2145</v>
      </c>
      <c r="BY5" s="137" t="str">
        <f>'Translate &amp; Prices'!B207</f>
        <v>Nahoře</v>
      </c>
      <c r="BZ5" s="137">
        <v>3</v>
      </c>
      <c r="CA5" s="137">
        <v>76</v>
      </c>
      <c r="CD5" s="137" t="s">
        <v>2097</v>
      </c>
      <c r="CE5" s="137">
        <v>1</v>
      </c>
      <c r="CF5" s="137">
        <v>0</v>
      </c>
      <c r="CG5" s="404" t="s">
        <v>2177</v>
      </c>
      <c r="CH5" s="404" t="s">
        <v>2185</v>
      </c>
      <c r="CI5" s="404" t="s">
        <v>2192</v>
      </c>
      <c r="CJ5" s="404" t="s">
        <v>2197</v>
      </c>
      <c r="CK5" s="404" t="s">
        <v>2200</v>
      </c>
      <c r="CL5" s="404" t="s">
        <v>2210</v>
      </c>
      <c r="CM5" s="404" t="s">
        <v>2200</v>
      </c>
      <c r="CN5" s="404" t="s">
        <v>2210</v>
      </c>
      <c r="CO5" s="404" t="s">
        <v>2200</v>
      </c>
      <c r="CP5" s="404" t="s">
        <v>2210</v>
      </c>
      <c r="CQ5" s="404" t="s">
        <v>2221</v>
      </c>
      <c r="CR5" s="404" t="s">
        <v>2229</v>
      </c>
      <c r="CS5" s="404" t="s">
        <v>2221</v>
      </c>
      <c r="CT5" s="404" t="s">
        <v>2229</v>
      </c>
      <c r="CU5" s="404" t="s">
        <v>2200</v>
      </c>
      <c r="CV5" s="404" t="s">
        <v>2210</v>
      </c>
      <c r="CW5" s="404" t="s">
        <v>2221</v>
      </c>
      <c r="CX5" s="404" t="s">
        <v>2235</v>
      </c>
      <c r="CY5" s="404" t="s">
        <v>2200</v>
      </c>
      <c r="CZ5" s="404" t="s">
        <v>2210</v>
      </c>
      <c r="DA5" s="404" t="s">
        <v>2221</v>
      </c>
      <c r="DB5" s="404" t="s">
        <v>2235</v>
      </c>
      <c r="DC5" s="404" t="s">
        <v>2221</v>
      </c>
      <c r="DD5" s="404" t="s">
        <v>2235</v>
      </c>
      <c r="DE5" s="404" t="s">
        <v>2221</v>
      </c>
      <c r="DF5" s="404" t="s">
        <v>2235</v>
      </c>
      <c r="DG5" s="404" t="s">
        <v>2200</v>
      </c>
      <c r="DH5" s="404" t="s">
        <v>2210</v>
      </c>
      <c r="DI5" s="404" t="s">
        <v>2200</v>
      </c>
      <c r="DJ5" s="404" t="s">
        <v>2210</v>
      </c>
      <c r="DK5" s="404" t="s">
        <v>2221</v>
      </c>
      <c r="DL5" s="404" t="s">
        <v>2235</v>
      </c>
    </row>
    <row r="6" spans="1:121" x14ac:dyDescent="0.3">
      <c r="A6" s="446" t="str">
        <f>'Translate &amp; Prices'!B9</f>
        <v>BRW bílá lesk</v>
      </c>
      <c r="B6" s="137">
        <v>1</v>
      </c>
      <c r="C6" s="137" t="s">
        <v>1222</v>
      </c>
      <c r="D6" s="137">
        <v>0</v>
      </c>
      <c r="G6" s="137" t="s">
        <v>2084</v>
      </c>
      <c r="H6" s="137" t="s">
        <v>712</v>
      </c>
      <c r="I6" s="137">
        <v>0</v>
      </c>
      <c r="J6" s="137">
        <v>2</v>
      </c>
      <c r="K6" s="137" t="s">
        <v>1222</v>
      </c>
      <c r="N6" s="137" t="s">
        <v>1624</v>
      </c>
      <c r="Q6" s="446" t="str">
        <f>'Translate &amp; Prices'!$B$89</f>
        <v>Satinato hnědé</v>
      </c>
      <c r="R6" s="446" t="str">
        <f>'Translate &amp; Prices'!$B$98</f>
        <v>Zrcadlo</v>
      </c>
      <c r="S6" s="446" t="str">
        <f>'Translate &amp; Prices'!$B$89</f>
        <v>Satinato hnědé</v>
      </c>
      <c r="T6" s="446" t="str">
        <f>'Translate &amp; Prices'!$B$106</f>
        <v>Master  Point</v>
      </c>
      <c r="U6" s="446" t="str">
        <f>'Translate &amp; Prices'!$B$100</f>
        <v>Zrcadlo grafit</v>
      </c>
      <c r="V6" s="446" t="str">
        <f>'Translate &amp; Prices'!$B$100</f>
        <v>Zrcadlo grafit</v>
      </c>
      <c r="AA6" s="137" t="s">
        <v>2087</v>
      </c>
      <c r="AB6" s="137" t="s">
        <v>2276</v>
      </c>
      <c r="AC6" s="137">
        <v>0</v>
      </c>
      <c r="AD6" s="137">
        <v>0</v>
      </c>
      <c r="AF6" s="410" t="s">
        <v>246</v>
      </c>
      <c r="AG6" s="410" t="s">
        <v>2093</v>
      </c>
      <c r="AY6" s="137" t="s">
        <v>2117</v>
      </c>
      <c r="AZ6" s="137" t="s">
        <v>2156</v>
      </c>
      <c r="BK6" s="137" t="s">
        <v>2095</v>
      </c>
      <c r="BR6" s="137" t="s">
        <v>1021</v>
      </c>
      <c r="BV6" s="137" t="s">
        <v>2151</v>
      </c>
      <c r="BW6" s="137" t="s">
        <v>2146</v>
      </c>
      <c r="BY6" s="137" t="str">
        <f>'Translate &amp; Prices'!B208</f>
        <v>Dole</v>
      </c>
      <c r="BZ6" s="137">
        <v>4</v>
      </c>
      <c r="CA6" s="137">
        <v>96</v>
      </c>
      <c r="CD6" s="137" t="s">
        <v>2100</v>
      </c>
      <c r="CE6" s="137">
        <v>1</v>
      </c>
      <c r="CF6" s="137">
        <v>1</v>
      </c>
      <c r="CG6" s="404"/>
      <c r="CH6" s="404"/>
      <c r="CI6" s="404"/>
      <c r="CJ6" s="404"/>
      <c r="CK6" s="404" t="s">
        <v>2201</v>
      </c>
      <c r="CL6" s="404" t="s">
        <v>2211</v>
      </c>
      <c r="CM6" s="404" t="s">
        <v>2201</v>
      </c>
      <c r="CN6" s="404" t="s">
        <v>2211</v>
      </c>
      <c r="CO6" s="404" t="s">
        <v>2201</v>
      </c>
      <c r="CP6" s="404" t="s">
        <v>2211</v>
      </c>
      <c r="CQ6" s="404" t="s">
        <v>2222</v>
      </c>
      <c r="CR6" s="404" t="s">
        <v>2230</v>
      </c>
      <c r="CS6" s="404" t="s">
        <v>2222</v>
      </c>
      <c r="CT6" s="404" t="s">
        <v>2230</v>
      </c>
      <c r="CU6" s="404" t="s">
        <v>2201</v>
      </c>
      <c r="CV6" s="404" t="s">
        <v>2211</v>
      </c>
      <c r="CW6" s="404" t="s">
        <v>2223</v>
      </c>
      <c r="CX6" s="404" t="s">
        <v>2229</v>
      </c>
      <c r="CY6" s="404" t="s">
        <v>2201</v>
      </c>
      <c r="CZ6" s="404" t="s">
        <v>2211</v>
      </c>
      <c r="DA6" s="404" t="s">
        <v>2223</v>
      </c>
      <c r="DB6" s="404" t="s">
        <v>2229</v>
      </c>
      <c r="DC6" s="404" t="s">
        <v>2223</v>
      </c>
      <c r="DD6" s="404" t="s">
        <v>2229</v>
      </c>
      <c r="DE6" s="404" t="s">
        <v>2223</v>
      </c>
      <c r="DF6" s="404" t="s">
        <v>2229</v>
      </c>
      <c r="DG6" s="404" t="s">
        <v>2201</v>
      </c>
      <c r="DH6" s="404" t="s">
        <v>2211</v>
      </c>
      <c r="DI6" s="404" t="s">
        <v>2201</v>
      </c>
      <c r="DJ6" s="404" t="s">
        <v>2211</v>
      </c>
      <c r="DK6" s="404" t="s">
        <v>2223</v>
      </c>
      <c r="DL6" s="404" t="s">
        <v>2229</v>
      </c>
    </row>
    <row r="7" spans="1:121" x14ac:dyDescent="0.3">
      <c r="A7" s="446" t="str">
        <f>'Translate &amp; Prices'!B10</f>
        <v>BRW hnědá</v>
      </c>
      <c r="B7" s="137">
        <v>1</v>
      </c>
      <c r="C7" s="137" t="s">
        <v>1222</v>
      </c>
      <c r="D7" s="137">
        <v>0</v>
      </c>
      <c r="F7" s="137" t="s">
        <v>2096</v>
      </c>
      <c r="G7" s="137" t="s">
        <v>714</v>
      </c>
      <c r="H7" s="137" t="s">
        <v>2084</v>
      </c>
      <c r="I7" s="137">
        <v>1</v>
      </c>
      <c r="J7" s="137">
        <v>2</v>
      </c>
      <c r="K7" s="137" t="s">
        <v>1222</v>
      </c>
      <c r="Q7" s="446" t="str">
        <f>'Translate &amp; Prices'!$B$90</f>
        <v>Satinato grafit</v>
      </c>
      <c r="R7" s="446" t="str">
        <f>'Translate &amp; Prices'!$B$99</f>
        <v>Zrcadlo hnědé</v>
      </c>
      <c r="S7" s="446" t="str">
        <f>'Translate &amp; Prices'!$B$90</f>
        <v>Satinato grafit</v>
      </c>
      <c r="T7" s="446" t="str">
        <f>'Translate &amp; Prices'!$B$108</f>
        <v>Master  Shine</v>
      </c>
      <c r="U7" s="446" t="str">
        <f>'Translate &amp; Prices'!$B$109</f>
        <v>Lacobel RAL 1013</v>
      </c>
      <c r="V7" s="446" t="str">
        <f>'Translate &amp; Prices'!$B$109</f>
        <v>Lacobel RAL 1013</v>
      </c>
      <c r="AA7" s="137" t="s">
        <v>2087</v>
      </c>
      <c r="AB7" s="137" t="s">
        <v>2277</v>
      </c>
      <c r="AC7" s="137">
        <v>1</v>
      </c>
      <c r="AD7" s="137">
        <v>0</v>
      </c>
      <c r="AF7" s="407" t="s">
        <v>245</v>
      </c>
      <c r="AG7" s="407" t="s">
        <v>2097</v>
      </c>
      <c r="AY7" s="137" t="s">
        <v>2117</v>
      </c>
      <c r="AZ7" s="137" t="s">
        <v>2157</v>
      </c>
      <c r="BK7" s="137" t="s">
        <v>2098</v>
      </c>
      <c r="BR7" s="137" t="s">
        <v>2117</v>
      </c>
      <c r="BV7" s="137" t="s">
        <v>2169</v>
      </c>
      <c r="BW7" s="137" t="s">
        <v>2172</v>
      </c>
      <c r="CA7" s="137">
        <v>128</v>
      </c>
      <c r="CD7" s="137" t="s">
        <v>2102</v>
      </c>
      <c r="CE7" s="137">
        <v>1</v>
      </c>
      <c r="CF7" s="137">
        <v>0</v>
      </c>
      <c r="CG7" s="404"/>
      <c r="CH7" s="404"/>
      <c r="CI7" s="404"/>
      <c r="CJ7" s="404"/>
      <c r="CK7" s="404" t="s">
        <v>2202</v>
      </c>
      <c r="CL7" s="404" t="s">
        <v>2212</v>
      </c>
      <c r="CM7" s="404" t="s">
        <v>2202</v>
      </c>
      <c r="CN7" s="404" t="s">
        <v>2212</v>
      </c>
      <c r="CO7" s="404" t="s">
        <v>2202</v>
      </c>
      <c r="CP7" s="404" t="s">
        <v>2212</v>
      </c>
      <c r="CQ7" s="404" t="s">
        <v>2223</v>
      </c>
      <c r="CR7" s="404" t="s">
        <v>2231</v>
      </c>
      <c r="CS7" s="404" t="s">
        <v>2223</v>
      </c>
      <c r="CT7" s="404" t="s">
        <v>2231</v>
      </c>
      <c r="CU7" s="404" t="s">
        <v>2202</v>
      </c>
      <c r="CV7" s="404" t="s">
        <v>2212</v>
      </c>
      <c r="CW7" s="404" t="s">
        <v>2226</v>
      </c>
      <c r="CX7" s="404" t="s">
        <v>2231</v>
      </c>
      <c r="CY7" s="404" t="s">
        <v>2202</v>
      </c>
      <c r="CZ7" s="404" t="s">
        <v>2212</v>
      </c>
      <c r="DA7" s="404" t="s">
        <v>2226</v>
      </c>
      <c r="DB7" s="404" t="s">
        <v>2231</v>
      </c>
      <c r="DC7" s="404" t="s">
        <v>2226</v>
      </c>
      <c r="DD7" s="404" t="s">
        <v>2231</v>
      </c>
      <c r="DE7" s="404" t="s">
        <v>2226</v>
      </c>
      <c r="DF7" s="404" t="s">
        <v>2231</v>
      </c>
      <c r="DG7" s="404" t="s">
        <v>2202</v>
      </c>
      <c r="DH7" s="404" t="s">
        <v>2212</v>
      </c>
      <c r="DI7" s="404" t="s">
        <v>2202</v>
      </c>
      <c r="DJ7" s="404" t="s">
        <v>2212</v>
      </c>
      <c r="DK7" s="404" t="s">
        <v>2226</v>
      </c>
      <c r="DL7" s="404" t="s">
        <v>2231</v>
      </c>
      <c r="DN7" s="165" t="s">
        <v>125</v>
      </c>
      <c r="DO7" s="165" t="s">
        <v>125</v>
      </c>
    </row>
    <row r="8" spans="1:121" x14ac:dyDescent="0.3">
      <c r="A8" s="446" t="str">
        <f>'Translate &amp; Prices'!B11</f>
        <v>BRW broušené</v>
      </c>
      <c r="B8" s="137">
        <v>1</v>
      </c>
      <c r="C8" s="137" t="s">
        <v>1222</v>
      </c>
      <c r="D8" s="137">
        <v>0</v>
      </c>
      <c r="G8" s="137" t="s">
        <v>2084</v>
      </c>
      <c r="H8" s="137" t="s">
        <v>714</v>
      </c>
      <c r="I8" s="137">
        <v>0</v>
      </c>
      <c r="J8" s="137">
        <v>2</v>
      </c>
      <c r="K8" s="137" t="s">
        <v>1222</v>
      </c>
      <c r="Q8" s="446" t="str">
        <f>'Translate &amp; Prices'!$B$91</f>
        <v>Screen</v>
      </c>
      <c r="R8" s="446" t="str">
        <f>'Translate &amp; Prices'!$B$100</f>
        <v>Zrcadlo grafit</v>
      </c>
      <c r="S8" s="446" t="str">
        <f>'Translate &amp; Prices'!$B$91</f>
        <v>Screen</v>
      </c>
      <c r="U8" s="446" t="str">
        <f>'Translate &amp; Prices'!$B$110</f>
        <v>Lacobel RAL 1014</v>
      </c>
      <c r="V8" s="446" t="str">
        <f>'Translate &amp; Prices'!$B$110</f>
        <v>Lacobel RAL 1014</v>
      </c>
      <c r="AA8" s="137" t="s">
        <v>2087</v>
      </c>
      <c r="AB8" s="137" t="s">
        <v>2278</v>
      </c>
      <c r="AC8" s="137">
        <v>0</v>
      </c>
      <c r="AD8" s="137">
        <v>0</v>
      </c>
      <c r="AF8" s="407" t="s">
        <v>246</v>
      </c>
      <c r="AG8" s="407" t="s">
        <v>2097</v>
      </c>
      <c r="AY8" s="137" t="s">
        <v>2117</v>
      </c>
      <c r="AZ8" s="137" t="s">
        <v>2158</v>
      </c>
      <c r="BV8" s="137" t="s">
        <v>2170</v>
      </c>
      <c r="BW8" s="137" t="s">
        <v>2173</v>
      </c>
      <c r="BY8" s="137">
        <v>2</v>
      </c>
      <c r="CA8" s="137">
        <v>160</v>
      </c>
      <c r="CD8" s="137" t="s">
        <v>2274</v>
      </c>
      <c r="CE8" s="137">
        <v>1</v>
      </c>
      <c r="CF8" s="137">
        <v>0</v>
      </c>
      <c r="CG8" s="404"/>
      <c r="CH8" s="404"/>
      <c r="CI8" s="404"/>
      <c r="CJ8" s="404"/>
      <c r="CK8" s="404" t="s">
        <v>2203</v>
      </c>
      <c r="CL8" s="404" t="s">
        <v>2213</v>
      </c>
      <c r="CM8" s="404" t="s">
        <v>2203</v>
      </c>
      <c r="CN8" s="404" t="s">
        <v>2213</v>
      </c>
      <c r="CO8" s="404" t="s">
        <v>2203</v>
      </c>
      <c r="CP8" s="404" t="s">
        <v>2213</v>
      </c>
      <c r="CQ8" s="404" t="s">
        <v>2224</v>
      </c>
      <c r="CR8" s="404" t="s">
        <v>2232</v>
      </c>
      <c r="CS8" s="404" t="s">
        <v>2224</v>
      </c>
      <c r="CT8" s="404" t="s">
        <v>2232</v>
      </c>
      <c r="CU8" s="404" t="s">
        <v>2203</v>
      </c>
      <c r="CV8" s="404" t="s">
        <v>2213</v>
      </c>
      <c r="CW8" s="404"/>
      <c r="CX8" s="404" t="s">
        <v>2233</v>
      </c>
      <c r="CY8" s="404" t="s">
        <v>2203</v>
      </c>
      <c r="CZ8" s="404" t="s">
        <v>2213</v>
      </c>
      <c r="DA8" s="404"/>
      <c r="DB8" s="404" t="s">
        <v>2233</v>
      </c>
      <c r="DC8" s="404"/>
      <c r="DD8" s="404" t="s">
        <v>2233</v>
      </c>
      <c r="DE8" s="404"/>
      <c r="DF8" s="404" t="s">
        <v>2233</v>
      </c>
      <c r="DG8" s="404" t="s">
        <v>2203</v>
      </c>
      <c r="DH8" s="404" t="s">
        <v>2213</v>
      </c>
      <c r="DI8" s="404" t="s">
        <v>2203</v>
      </c>
      <c r="DJ8" s="404" t="s">
        <v>2213</v>
      </c>
      <c r="DK8" s="404"/>
      <c r="DL8" s="404" t="s">
        <v>2233</v>
      </c>
      <c r="DN8" s="165" t="s">
        <v>126</v>
      </c>
      <c r="DO8" s="165" t="s">
        <v>126</v>
      </c>
    </row>
    <row r="9" spans="1:121" x14ac:dyDescent="0.3">
      <c r="A9" s="446" t="str">
        <f>'Translate &amp; Prices'!B12</f>
        <v>BRW černá mat</v>
      </c>
      <c r="B9" s="137">
        <v>1</v>
      </c>
      <c r="C9" s="137" t="s">
        <v>1222</v>
      </c>
      <c r="D9" s="137">
        <v>1</v>
      </c>
      <c r="Q9" s="446" t="str">
        <f>'Translate &amp; Prices'!$B$92</f>
        <v>Venus VG10</v>
      </c>
      <c r="R9" s="446" t="str">
        <f>'Translate &amp; Prices'!$B$105</f>
        <v>Master  Ligne</v>
      </c>
      <c r="S9" s="446" t="str">
        <f>'Translate &amp; Prices'!$B$92</f>
        <v>Venus VG10</v>
      </c>
      <c r="U9" s="446" t="str">
        <f>'Translate &amp; Prices'!$B$111</f>
        <v>Lacobel RAL 1015</v>
      </c>
      <c r="V9" s="446" t="str">
        <f>'Translate &amp; Prices'!$B$111</f>
        <v>Lacobel RAL 1015</v>
      </c>
      <c r="AB9" s="137" t="s">
        <v>2279</v>
      </c>
      <c r="AC9" s="137">
        <v>0</v>
      </c>
      <c r="AD9" s="137">
        <v>0</v>
      </c>
      <c r="AF9" s="410" t="s">
        <v>245</v>
      </c>
      <c r="AG9" s="410" t="s">
        <v>2100</v>
      </c>
      <c r="AY9" s="137" t="s">
        <v>2087</v>
      </c>
      <c r="BV9" s="137" t="s">
        <v>2171</v>
      </c>
      <c r="BW9" s="137" t="s">
        <v>2174</v>
      </c>
      <c r="BY9" s="137">
        <v>3</v>
      </c>
      <c r="CA9" s="137">
        <v>192</v>
      </c>
      <c r="CD9" s="137" t="s">
        <v>2107</v>
      </c>
      <c r="CE9" s="137">
        <v>1</v>
      </c>
      <c r="CF9" s="137">
        <v>0</v>
      </c>
      <c r="CG9" s="404"/>
      <c r="CH9" s="404"/>
      <c r="CI9" s="404"/>
      <c r="CJ9" s="404"/>
      <c r="CK9" s="404" t="s">
        <v>2204</v>
      </c>
      <c r="CL9" s="404" t="s">
        <v>2214</v>
      </c>
      <c r="CM9" s="404" t="s">
        <v>2204</v>
      </c>
      <c r="CN9" s="404" t="s">
        <v>2214</v>
      </c>
      <c r="CO9" s="404" t="s">
        <v>2204</v>
      </c>
      <c r="CP9" s="404" t="s">
        <v>2214</v>
      </c>
      <c r="CQ9" s="404" t="s">
        <v>2225</v>
      </c>
      <c r="CR9" s="404" t="s">
        <v>2233</v>
      </c>
      <c r="CS9" s="404" t="s">
        <v>2225</v>
      </c>
      <c r="CT9" s="404" t="s">
        <v>2233</v>
      </c>
      <c r="CU9" s="404" t="s">
        <v>2204</v>
      </c>
      <c r="CV9" s="404" t="s">
        <v>2214</v>
      </c>
      <c r="CW9" s="404"/>
      <c r="CX9" s="404"/>
      <c r="CY9" s="404" t="s">
        <v>2204</v>
      </c>
      <c r="CZ9" s="404" t="s">
        <v>2214</v>
      </c>
      <c r="DA9" s="404"/>
      <c r="DB9" s="404"/>
      <c r="DC9" s="404"/>
      <c r="DD9" s="404"/>
      <c r="DE9" s="404"/>
      <c r="DF9" s="404"/>
      <c r="DG9" s="404" t="s">
        <v>2204</v>
      </c>
      <c r="DH9" s="404" t="s">
        <v>2214</v>
      </c>
      <c r="DI9" s="404" t="s">
        <v>2204</v>
      </c>
      <c r="DJ9" s="404" t="s">
        <v>2214</v>
      </c>
      <c r="DK9" s="404"/>
      <c r="DL9" s="404"/>
      <c r="DN9" s="165" t="s">
        <v>127</v>
      </c>
      <c r="DO9" s="165" t="s">
        <v>127</v>
      </c>
    </row>
    <row r="10" spans="1:121" x14ac:dyDescent="0.3">
      <c r="A10" s="446" t="str">
        <f>'Translate &amp; Prices'!B14</f>
        <v>BRW černá broušená</v>
      </c>
      <c r="B10" s="137">
        <v>1</v>
      </c>
      <c r="C10" s="137" t="s">
        <v>1222</v>
      </c>
      <c r="D10" s="137">
        <v>0</v>
      </c>
      <c r="Q10" s="446" t="str">
        <f>'Translate &amp; Prices'!$B$93</f>
        <v>Stopsol bronz</v>
      </c>
      <c r="R10" s="446" t="str">
        <f>'Translate &amp; Prices'!$B$106</f>
        <v>Master  Point</v>
      </c>
      <c r="S10" s="446" t="str">
        <f>'Translate &amp; Prices'!$B$93</f>
        <v>Stopsol bronz</v>
      </c>
      <c r="U10" s="446" t="str">
        <f>'Translate &amp; Prices'!$B$112</f>
        <v>Lacobel RAL 2001</v>
      </c>
      <c r="V10" s="446" t="str">
        <f>'Translate &amp; Prices'!$B$112</f>
        <v>Lacobel RAL 2001</v>
      </c>
      <c r="AF10" s="410" t="s">
        <v>246</v>
      </c>
      <c r="AG10" s="410" t="s">
        <v>2100</v>
      </c>
      <c r="AY10" s="137" t="s">
        <v>2087</v>
      </c>
      <c r="AZ10" s="137" t="s">
        <v>2159</v>
      </c>
      <c r="CA10" s="137">
        <v>224</v>
      </c>
      <c r="CD10" s="137" t="s">
        <v>2108</v>
      </c>
      <c r="CE10" s="137">
        <v>1</v>
      </c>
      <c r="CF10" s="137">
        <v>0</v>
      </c>
      <c r="CG10" s="404"/>
      <c r="CH10" s="404"/>
      <c r="CI10" s="404"/>
      <c r="CJ10" s="404"/>
      <c r="CK10" s="404" t="s">
        <v>2205</v>
      </c>
      <c r="CL10" s="404" t="s">
        <v>2215</v>
      </c>
      <c r="CM10" s="404" t="s">
        <v>2205</v>
      </c>
      <c r="CN10" s="404" t="s">
        <v>2215</v>
      </c>
      <c r="CO10" s="404" t="s">
        <v>2205</v>
      </c>
      <c r="CP10" s="404" t="s">
        <v>2215</v>
      </c>
      <c r="CQ10" s="404" t="s">
        <v>2226</v>
      </c>
      <c r="CR10" s="404" t="s">
        <v>2234</v>
      </c>
      <c r="CS10" s="404" t="s">
        <v>2226</v>
      </c>
      <c r="CT10" s="404" t="s">
        <v>2234</v>
      </c>
      <c r="CU10" s="404" t="s">
        <v>2205</v>
      </c>
      <c r="CV10" s="404" t="s">
        <v>2215</v>
      </c>
      <c r="CW10" s="404"/>
      <c r="CX10" s="404"/>
      <c r="CY10" s="404" t="s">
        <v>2205</v>
      </c>
      <c r="CZ10" s="404" t="s">
        <v>2215</v>
      </c>
      <c r="DA10" s="404"/>
      <c r="DB10" s="404"/>
      <c r="DC10" s="404"/>
      <c r="DD10" s="404"/>
      <c r="DE10" s="404"/>
      <c r="DF10" s="404"/>
      <c r="DG10" s="404" t="s">
        <v>2205</v>
      </c>
      <c r="DH10" s="404" t="s">
        <v>2215</v>
      </c>
      <c r="DI10" s="404" t="s">
        <v>2205</v>
      </c>
      <c r="DJ10" s="404" t="s">
        <v>2215</v>
      </c>
      <c r="DK10" s="404"/>
      <c r="DL10" s="404"/>
      <c r="DN10" s="166" t="s">
        <v>125</v>
      </c>
      <c r="DO10" s="165" t="s">
        <v>125</v>
      </c>
    </row>
    <row r="11" spans="1:121" x14ac:dyDescent="0.3">
      <c r="A11" s="446" t="str">
        <f>'Translate &amp; Prices'!B15</f>
        <v>BRW světlá nerez (ACIER GRATA)</v>
      </c>
      <c r="B11" s="137">
        <v>1</v>
      </c>
      <c r="C11" s="137" t="s">
        <v>1222</v>
      </c>
      <c r="D11" s="137">
        <v>0</v>
      </c>
      <c r="Q11" s="446" t="str">
        <f>'Translate &amp; Prices'!$B$94</f>
        <v>Lakomat</v>
      </c>
      <c r="R11" s="446" t="str">
        <f>'Translate &amp; Prices'!$B$108</f>
        <v>Master  Shine</v>
      </c>
      <c r="S11" s="446" t="str">
        <f>'Translate &amp; Prices'!$B$96</f>
        <v>Antisol bronz</v>
      </c>
      <c r="U11" s="446" t="str">
        <f>'Translate &amp; Prices'!$B$113</f>
        <v>Lacobel RAL 3004</v>
      </c>
      <c r="V11" s="446" t="str">
        <f>'Translate &amp; Prices'!$B$113</f>
        <v>Lacobel RAL 3004</v>
      </c>
      <c r="AF11" s="407" t="s">
        <v>245</v>
      </c>
      <c r="AG11" s="407" t="s">
        <v>2102</v>
      </c>
      <c r="AY11" s="137" t="s">
        <v>2087</v>
      </c>
      <c r="AZ11" s="137" t="s">
        <v>2160</v>
      </c>
      <c r="CA11" s="137">
        <v>240</v>
      </c>
      <c r="CD11" s="137" t="s">
        <v>2269</v>
      </c>
      <c r="CE11" s="137">
        <v>1</v>
      </c>
      <c r="CF11" s="137">
        <v>0</v>
      </c>
      <c r="CG11" s="404"/>
      <c r="CH11" s="404"/>
      <c r="CI11" s="404"/>
      <c r="CJ11" s="404"/>
      <c r="CK11" s="404" t="s">
        <v>2206</v>
      </c>
      <c r="CL11" s="404"/>
      <c r="CM11" s="404" t="s">
        <v>2206</v>
      </c>
      <c r="CN11" s="404"/>
      <c r="CO11" s="404" t="s">
        <v>2206</v>
      </c>
      <c r="CP11" s="404"/>
      <c r="CQ11" s="404" t="s">
        <v>2227</v>
      </c>
      <c r="CR11" s="404"/>
      <c r="CS11" s="404" t="s">
        <v>2227</v>
      </c>
      <c r="CT11" s="404"/>
      <c r="CU11" s="404" t="s">
        <v>2206</v>
      </c>
      <c r="CV11" s="404"/>
      <c r="CW11" s="404"/>
      <c r="CX11" s="404"/>
      <c r="CY11" s="404" t="s">
        <v>2206</v>
      </c>
      <c r="CZ11" s="404"/>
      <c r="DA11" s="404"/>
      <c r="DB11" s="404"/>
      <c r="DC11" s="404"/>
      <c r="DD11" s="404"/>
      <c r="DE11" s="404"/>
      <c r="DF11" s="404"/>
      <c r="DG11" s="404" t="s">
        <v>2206</v>
      </c>
      <c r="DH11" s="404"/>
      <c r="DI11" s="404" t="s">
        <v>2206</v>
      </c>
      <c r="DJ11" s="404"/>
      <c r="DK11" s="404"/>
      <c r="DL11" s="404"/>
      <c r="DN11" s="166" t="s">
        <v>126</v>
      </c>
      <c r="DO11" s="165" t="s">
        <v>126</v>
      </c>
    </row>
    <row r="12" spans="1:121" x14ac:dyDescent="0.3">
      <c r="A12" s="446" t="str">
        <f>'Translate &amp; Prices'!B16</f>
        <v>BRW champagne</v>
      </c>
      <c r="B12" s="137">
        <v>1</v>
      </c>
      <c r="C12" s="137" t="s">
        <v>1222</v>
      </c>
      <c r="D12" s="137">
        <v>0</v>
      </c>
      <c r="Q12" s="446" t="str">
        <f>'Translate &amp; Prices'!$B$95</f>
        <v>Pisek</v>
      </c>
      <c r="R12" s="446" t="str">
        <f>'Translate &amp; Prices'!$B$109</f>
        <v>Lacobel RAL 1013</v>
      </c>
      <c r="S12" s="446" t="str">
        <f>'Translate &amp; Prices'!$B$97</f>
        <v>Antisol grafit</v>
      </c>
      <c r="U12" s="446" t="str">
        <f>'Translate &amp; Prices'!$B$114</f>
        <v>Lacobel RAL 4006</v>
      </c>
      <c r="V12" s="446" t="str">
        <f>'Translate &amp; Prices'!$B$114</f>
        <v>Lacobel RAL 4006</v>
      </c>
      <c r="AF12" s="407" t="s">
        <v>246</v>
      </c>
      <c r="AG12" s="407" t="s">
        <v>2102</v>
      </c>
      <c r="AY12" s="137" t="s">
        <v>2087</v>
      </c>
      <c r="AZ12" s="137" t="s">
        <v>2161</v>
      </c>
      <c r="CA12" s="137">
        <v>256</v>
      </c>
      <c r="CD12" s="137" t="s">
        <v>2111</v>
      </c>
      <c r="CE12" s="137">
        <v>1</v>
      </c>
      <c r="CF12" s="137">
        <v>0</v>
      </c>
      <c r="CG12" s="404"/>
      <c r="CH12" s="404"/>
      <c r="CI12" s="404"/>
      <c r="CJ12" s="404"/>
      <c r="CK12" s="404" t="s">
        <v>2207</v>
      </c>
      <c r="CL12" s="404"/>
      <c r="CM12" s="404" t="s">
        <v>2207</v>
      </c>
      <c r="CN12" s="404"/>
      <c r="CO12" s="404" t="s">
        <v>2207</v>
      </c>
      <c r="CP12" s="404"/>
      <c r="CQ12" s="404" t="s">
        <v>2228</v>
      </c>
      <c r="CR12" s="404"/>
      <c r="CS12" s="404" t="s">
        <v>2228</v>
      </c>
      <c r="CT12" s="404"/>
      <c r="CU12" s="404" t="s">
        <v>2207</v>
      </c>
      <c r="CV12" s="404"/>
      <c r="CW12" s="404"/>
      <c r="CX12" s="404"/>
      <c r="CY12" s="404" t="s">
        <v>2207</v>
      </c>
      <c r="CZ12" s="404"/>
      <c r="DA12" s="404"/>
      <c r="DB12" s="404"/>
      <c r="DC12" s="404"/>
      <c r="DD12" s="404"/>
      <c r="DE12" s="404"/>
      <c r="DF12" s="404"/>
      <c r="DG12" s="404" t="s">
        <v>2207</v>
      </c>
      <c r="DH12" s="404"/>
      <c r="DI12" s="404" t="s">
        <v>2207</v>
      </c>
      <c r="DJ12" s="404"/>
      <c r="DK12" s="404"/>
      <c r="DL12" s="404"/>
      <c r="DN12" s="166" t="s">
        <v>127</v>
      </c>
      <c r="DO12" s="165" t="s">
        <v>127</v>
      </c>
    </row>
    <row r="13" spans="1:121" x14ac:dyDescent="0.3">
      <c r="A13" s="446" t="str">
        <f>'Translate &amp; Prices'!B17</f>
        <v>BRW tmavá nerez br. (Inox lija)</v>
      </c>
      <c r="B13" s="137">
        <v>1</v>
      </c>
      <c r="C13" s="137" t="s">
        <v>1222</v>
      </c>
      <c r="D13" s="137">
        <v>0</v>
      </c>
      <c r="Q13" s="446" t="str">
        <f>'Translate &amp; Prices'!$B$96</f>
        <v>Antisol bronz</v>
      </c>
      <c r="R13" s="446" t="str">
        <f>'Translate &amp; Prices'!$B$110</f>
        <v>Lacobel RAL 1014</v>
      </c>
      <c r="S13" s="446" t="str">
        <f>'Translate &amp; Prices'!$B$102</f>
        <v>Krizet</v>
      </c>
      <c r="U13" s="446" t="str">
        <f>'Translate &amp; Prices'!$B$115</f>
        <v>Lacobel RAL 5002</v>
      </c>
      <c r="V13" s="446" t="str">
        <f>'Translate &amp; Prices'!$B$115</f>
        <v>Lacobel RAL 5002</v>
      </c>
      <c r="AF13" s="410" t="s">
        <v>245</v>
      </c>
      <c r="AG13" s="410" t="s">
        <v>2105</v>
      </c>
      <c r="AY13" s="137" t="s">
        <v>2087</v>
      </c>
      <c r="AZ13" s="137" t="s">
        <v>2162</v>
      </c>
      <c r="BY13" s="137" t="str">
        <f>'Translate &amp; Prices'!B537</f>
        <v>Ne</v>
      </c>
      <c r="BZ13" s="137">
        <v>0</v>
      </c>
      <c r="CA13" s="137">
        <v>288</v>
      </c>
      <c r="CD13" s="137" t="s">
        <v>2268</v>
      </c>
      <c r="CE13" s="137">
        <v>1</v>
      </c>
      <c r="CF13" s="137">
        <v>0</v>
      </c>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N13" s="166" t="s">
        <v>492</v>
      </c>
      <c r="DO13" s="165" t="s">
        <v>125</v>
      </c>
    </row>
    <row r="14" spans="1:121" x14ac:dyDescent="0.3">
      <c r="A14" s="446" t="str">
        <f>'Translate &amp; Prices'!B18</f>
        <v>Corleone (elox.)</v>
      </c>
      <c r="B14" s="137">
        <v>2</v>
      </c>
      <c r="C14" s="137" t="s">
        <v>1222</v>
      </c>
      <c r="D14" s="137">
        <v>0</v>
      </c>
      <c r="F14" s="137" t="str">
        <f>'Translate &amp; Prices'!B60</f>
        <v>Varna (Vlevo a Vpravo) + Siena (Nahoře a dole)</v>
      </c>
      <c r="Q14" s="446" t="str">
        <f>'Translate &amp; Prices'!$B$97</f>
        <v>Antisol grafit</v>
      </c>
      <c r="R14" s="446" t="str">
        <f>'Translate &amp; Prices'!$B$111</f>
        <v>Lacobel RAL 1015</v>
      </c>
      <c r="S14" s="446" t="str">
        <f>'Translate &amp; Prices'!$B$103</f>
        <v>Master (Carre)</v>
      </c>
      <c r="U14" s="446" t="str">
        <f>'Translate &amp; Prices'!$B$116</f>
        <v>Lacobel RAL 7035</v>
      </c>
      <c r="V14" s="446" t="str">
        <f>'Translate &amp; Prices'!$B$116</f>
        <v>Lacobel RAL 7035</v>
      </c>
      <c r="AA14" s="137" t="s">
        <v>2099</v>
      </c>
      <c r="AB14" s="137" t="s">
        <v>2148</v>
      </c>
      <c r="AF14" s="410" t="s">
        <v>246</v>
      </c>
      <c r="AG14" s="410" t="s">
        <v>2105</v>
      </c>
      <c r="AY14" s="137" t="s">
        <v>2087</v>
      </c>
      <c r="AZ14" s="137" t="s">
        <v>2163</v>
      </c>
      <c r="BY14" s="137" t="str">
        <f>'Translate &amp; Prices'!B538</f>
        <v>Horizontálně</v>
      </c>
      <c r="BZ14" s="137">
        <v>1</v>
      </c>
      <c r="CA14" s="137">
        <v>320</v>
      </c>
      <c r="CD14" s="137" t="s">
        <v>2113</v>
      </c>
      <c r="CE14" s="137">
        <v>1</v>
      </c>
      <c r="CF14" s="137">
        <v>0</v>
      </c>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4"/>
      <c r="DF14" s="404"/>
      <c r="DG14" s="404"/>
      <c r="DH14" s="404"/>
      <c r="DI14" s="404"/>
      <c r="DJ14" s="404"/>
      <c r="DK14" s="404"/>
      <c r="DL14" s="404"/>
      <c r="DN14" s="166" t="s">
        <v>493</v>
      </c>
      <c r="DO14" s="165" t="s">
        <v>126</v>
      </c>
    </row>
    <row r="15" spans="1:121" x14ac:dyDescent="0.3">
      <c r="A15" s="446" t="str">
        <f>'Translate &amp; Prices'!B19</f>
        <v>Corleone černé mat</v>
      </c>
      <c r="B15" s="137">
        <v>2</v>
      </c>
      <c r="C15" s="137" t="s">
        <v>1222</v>
      </c>
      <c r="D15" s="137">
        <v>0</v>
      </c>
      <c r="F15" s="137" t="str">
        <f>'Translate &amp; Prices'!B61</f>
        <v>Siena (Vlevo a vpravo) + Varna (Nahoře a dole)</v>
      </c>
      <c r="Q15" s="446" t="str">
        <f>'Translate &amp; Prices'!$B$98</f>
        <v>Zrcadlo</v>
      </c>
      <c r="R15" s="446" t="str">
        <f>'Translate &amp; Prices'!$B$112</f>
        <v>Lacobel RAL 2001</v>
      </c>
      <c r="S15" s="446" t="str">
        <f>'Translate &amp; Prices'!$B$104</f>
        <v xml:space="preserve">Master  Lens </v>
      </c>
      <c r="U15" s="446" t="str">
        <f>'Translate &amp; Prices'!$B$117</f>
        <v>Lacobel RAL 8017</v>
      </c>
      <c r="V15" s="446" t="str">
        <f>'Translate &amp; Prices'!$B$117</f>
        <v>Lacobel RAL 8017</v>
      </c>
      <c r="AA15" s="137" t="s">
        <v>2099</v>
      </c>
      <c r="AB15" s="137" t="s">
        <v>2097</v>
      </c>
      <c r="AC15" s="137">
        <v>1</v>
      </c>
      <c r="AD15" s="137">
        <v>0</v>
      </c>
      <c r="AF15" s="407" t="s">
        <v>245</v>
      </c>
      <c r="AG15" s="407" t="s">
        <v>2107</v>
      </c>
      <c r="AY15" s="137" t="s">
        <v>1021</v>
      </c>
      <c r="BY15" s="137" t="str">
        <f>'Translate &amp; Prices'!B539</f>
        <v>Vertikálně</v>
      </c>
      <c r="BZ15" s="137">
        <v>2</v>
      </c>
      <c r="CD15" s="137" t="s">
        <v>2114</v>
      </c>
      <c r="CE15" s="137">
        <v>1</v>
      </c>
      <c r="CF15" s="137">
        <v>0</v>
      </c>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N15" s="166" t="s">
        <v>2348</v>
      </c>
      <c r="DO15" s="165" t="s">
        <v>127</v>
      </c>
    </row>
    <row r="16" spans="1:121" x14ac:dyDescent="0.3">
      <c r="A16" s="446" t="str">
        <f>'Translate &amp; Prices'!B20</f>
        <v>Corleone champagne</v>
      </c>
      <c r="B16" s="137">
        <v>2</v>
      </c>
      <c r="C16" s="137" t="s">
        <v>1222</v>
      </c>
      <c r="D16" s="137">
        <v>0</v>
      </c>
      <c r="F16" s="137" t="str">
        <f>'Translate &amp; Prices'!B62</f>
        <v>Varna černá (Vlevo a Vpravo) + Siena černá (Nahoře a dole)</v>
      </c>
      <c r="Q16" s="446" t="str">
        <f>'Translate &amp; Prices'!$B$99</f>
        <v>Zrcadlo hnědé</v>
      </c>
      <c r="R16" s="446" t="str">
        <f>'Translate &amp; Prices'!$B$113</f>
        <v>Lacobel RAL 3004</v>
      </c>
      <c r="S16" s="446" t="str">
        <f>'Translate &amp; Prices'!$B$105</f>
        <v>Master  Ligne</v>
      </c>
      <c r="U16" s="446" t="str">
        <f>'Translate &amp; Prices'!$B$118</f>
        <v>Lacobel RAL 9003</v>
      </c>
      <c r="V16" s="446" t="str">
        <f>'Translate &amp; Prices'!$B$118</f>
        <v>Lacobel RAL 9003</v>
      </c>
      <c r="AA16" s="137" t="s">
        <v>2099</v>
      </c>
      <c r="AB16" s="137" t="s">
        <v>2100</v>
      </c>
      <c r="AC16" s="137">
        <v>1</v>
      </c>
      <c r="AD16" s="137">
        <v>1</v>
      </c>
      <c r="AF16" s="407" t="s">
        <v>246</v>
      </c>
      <c r="AG16" s="407" t="s">
        <v>2107</v>
      </c>
      <c r="AY16" s="137" t="s">
        <v>1021</v>
      </c>
      <c r="AZ16" s="137" t="s">
        <v>2164</v>
      </c>
      <c r="BY16" s="137" t="str">
        <f>'Translate &amp; Prices'!B540</f>
        <v>Horizontálně i Vertikálně</v>
      </c>
      <c r="BZ16" s="137">
        <v>3</v>
      </c>
      <c r="CD16" s="137" t="s">
        <v>2638</v>
      </c>
      <c r="CE16" s="137">
        <v>1</v>
      </c>
      <c r="CF16" s="137">
        <v>1</v>
      </c>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4"/>
      <c r="DF16" s="404"/>
      <c r="DG16" s="404"/>
      <c r="DH16" s="404"/>
      <c r="DI16" s="404"/>
      <c r="DJ16" s="404"/>
      <c r="DK16" s="404"/>
      <c r="DL16" s="404"/>
      <c r="DN16" s="166" t="s">
        <v>568</v>
      </c>
      <c r="DO16" s="165" t="s">
        <v>125</v>
      </c>
    </row>
    <row r="17" spans="1:119" x14ac:dyDescent="0.3">
      <c r="A17" s="446" t="str">
        <f>'Translate &amp; Prices'!B21</f>
        <v>Imola (elox.)</v>
      </c>
      <c r="B17" s="137">
        <v>2</v>
      </c>
      <c r="C17" s="137" t="s">
        <v>2133</v>
      </c>
      <c r="D17" s="137">
        <v>0</v>
      </c>
      <c r="F17" s="137" t="str">
        <f>'Translate &amp; Prices'!B63</f>
        <v>Siena černá (Vlevo a vpravo) + Varna černá (Nahoře a dole)</v>
      </c>
      <c r="Q17" s="446" t="str">
        <f>'Translate &amp; Prices'!$B$100</f>
        <v>Zrcadlo grafit</v>
      </c>
      <c r="R17" s="446" t="str">
        <f>'Translate &amp; Prices'!$B$114</f>
        <v>Lacobel RAL 4006</v>
      </c>
      <c r="S17" s="446" t="str">
        <f>'Translate &amp; Prices'!$B$106</f>
        <v>Master  Point</v>
      </c>
      <c r="U17" s="446" t="str">
        <f>'Translate &amp; Prices'!$B$119</f>
        <v>Lacobel RAL 9005</v>
      </c>
      <c r="V17" s="446" t="str">
        <f>'Translate &amp; Prices'!$B$119</f>
        <v>Lacobel RAL 9005</v>
      </c>
      <c r="AA17" s="137" t="s">
        <v>2099</v>
      </c>
      <c r="AB17" s="137" t="s">
        <v>2101</v>
      </c>
      <c r="AC17" s="137">
        <v>0</v>
      </c>
      <c r="AD17" s="137">
        <v>0</v>
      </c>
      <c r="AF17" s="410" t="s">
        <v>245</v>
      </c>
      <c r="AG17" s="410" t="s">
        <v>2108</v>
      </c>
      <c r="AY17" s="137" t="s">
        <v>1021</v>
      </c>
      <c r="AZ17" s="137" t="s">
        <v>2165</v>
      </c>
      <c r="CD17" s="137" t="s">
        <v>2639</v>
      </c>
      <c r="CE17" s="137">
        <v>1</v>
      </c>
      <c r="CF17" s="137">
        <v>1</v>
      </c>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N17" s="166" t="s">
        <v>569</v>
      </c>
      <c r="DO17" s="165" t="s">
        <v>126</v>
      </c>
    </row>
    <row r="18" spans="1:119" x14ac:dyDescent="0.3">
      <c r="A18" s="446" t="str">
        <f>'Translate &amp; Prices'!B22</f>
        <v>Imola černá mat</v>
      </c>
      <c r="B18" s="137">
        <v>2</v>
      </c>
      <c r="C18" s="137" t="s">
        <v>2133</v>
      </c>
      <c r="D18" s="137">
        <v>0</v>
      </c>
      <c r="F18" s="137" t="str">
        <f>'Translate &amp; Prices'!B64</f>
        <v>Varna (Vlevo a Vpravo) + Palio (Nahoře a dole)</v>
      </c>
      <c r="Q18" s="446" t="str">
        <f>'Translate &amp; Prices'!$B$102</f>
        <v>Krizet</v>
      </c>
      <c r="R18" s="446" t="str">
        <f>'Translate &amp; Prices'!$B$115</f>
        <v>Lacobel RAL 5002</v>
      </c>
      <c r="S18" s="446" t="str">
        <f>'Translate &amp; Prices'!$B$107</f>
        <v xml:space="preserve">Master  Ray </v>
      </c>
      <c r="U18" s="446" t="str">
        <f>'Translate &amp; Prices'!$B$120</f>
        <v>Lacobel RAL 9006</v>
      </c>
      <c r="V18" s="446" t="str">
        <f>'Translate &amp; Prices'!$B$120</f>
        <v>Lacobel RAL 9006</v>
      </c>
      <c r="AA18" s="137" t="s">
        <v>2099</v>
      </c>
      <c r="AB18" s="137" t="s">
        <v>2103</v>
      </c>
      <c r="AC18" s="137">
        <v>0</v>
      </c>
      <c r="AD18" s="137">
        <v>0</v>
      </c>
      <c r="AF18" s="410" t="s">
        <v>246</v>
      </c>
      <c r="AG18" s="410" t="s">
        <v>2108</v>
      </c>
      <c r="AY18" s="137" t="s">
        <v>1021</v>
      </c>
      <c r="AZ18" s="137" t="s">
        <v>2166</v>
      </c>
      <c r="BY18" s="137">
        <v>1</v>
      </c>
      <c r="CD18" s="137" t="s">
        <v>2119</v>
      </c>
      <c r="CE18" s="137">
        <v>1</v>
      </c>
      <c r="CF18" s="137">
        <v>0</v>
      </c>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N18" s="166" t="s">
        <v>570</v>
      </c>
      <c r="DO18" s="165" t="s">
        <v>127</v>
      </c>
    </row>
    <row r="19" spans="1:119" x14ac:dyDescent="0.3">
      <c r="A19" s="446" t="str">
        <f>'Translate &amp; Prices'!B23</f>
        <v>Imola bílá mat</v>
      </c>
      <c r="B19" s="137">
        <v>2</v>
      </c>
      <c r="C19" s="137" t="s">
        <v>2133</v>
      </c>
      <c r="D19" s="137">
        <v>0</v>
      </c>
      <c r="F19" s="137" t="str">
        <f>'Translate &amp; Prices'!B65</f>
        <v>Palio (Vlevo a vpravo) + Varna (Nahoře a dole)</v>
      </c>
      <c r="Q19" s="446" t="str">
        <f>'Translate &amp; Prices'!$B$103</f>
        <v>Master (Carre)</v>
      </c>
      <c r="R19" s="446" t="str">
        <f>'Translate &amp; Prices'!$B$116</f>
        <v>Lacobel RAL 7035</v>
      </c>
      <c r="S19" s="446" t="str">
        <f>'Translate &amp; Prices'!$B$108</f>
        <v>Master  Shine</v>
      </c>
      <c r="U19" s="446" t="str">
        <f>'Translate &amp; Prices'!$B$121</f>
        <v>Lacobel RAL 9007</v>
      </c>
      <c r="V19" s="446" t="str">
        <f>'Translate &amp; Prices'!$B$121</f>
        <v>Lacobel RAL 9007</v>
      </c>
      <c r="AA19" s="137" t="s">
        <v>2099</v>
      </c>
      <c r="AB19" s="137" t="s">
        <v>2104</v>
      </c>
      <c r="AC19" s="137">
        <v>0</v>
      </c>
      <c r="AD19" s="137">
        <v>0</v>
      </c>
      <c r="AF19" s="407" t="s">
        <v>245</v>
      </c>
      <c r="AG19" s="407" t="s">
        <v>2110</v>
      </c>
      <c r="AY19" s="137" t="s">
        <v>1021</v>
      </c>
      <c r="AZ19" s="137" t="s">
        <v>2167</v>
      </c>
      <c r="BY19" s="137">
        <v>2</v>
      </c>
    </row>
    <row r="20" spans="1:119" x14ac:dyDescent="0.3">
      <c r="A20" s="446" t="str">
        <f>'Translate &amp; Prices'!B24</f>
        <v>Modena (elox.)</v>
      </c>
      <c r="B20" s="137">
        <v>2</v>
      </c>
      <c r="C20" s="137" t="s">
        <v>1222</v>
      </c>
      <c r="D20" s="137">
        <v>0</v>
      </c>
      <c r="F20" s="137" t="str">
        <f>'Translate &amp; Prices'!B66</f>
        <v>Varna (Vlevo a Vpravo) + Rocca (Nahoře a dole)</v>
      </c>
      <c r="Q20" s="446" t="str">
        <f>'Translate &amp; Prices'!$B$104</f>
        <v xml:space="preserve">Master  Lens </v>
      </c>
      <c r="R20" s="446" t="str">
        <f>'Translate &amp; Prices'!$B$117</f>
        <v>Lacobel RAL 8017</v>
      </c>
      <c r="U20" s="446" t="str">
        <f>'Translate &amp; Prices'!$B$122</f>
        <v>Lacobel RAL 9010</v>
      </c>
      <c r="V20" s="446" t="str">
        <f>'Translate &amp; Prices'!$B$122</f>
        <v>Lacobel RAL 9010</v>
      </c>
      <c r="AA20" s="137" t="s">
        <v>2099</v>
      </c>
      <c r="AB20" s="137" t="s">
        <v>2106</v>
      </c>
      <c r="AC20" s="137">
        <v>0</v>
      </c>
      <c r="AD20" s="137">
        <v>0</v>
      </c>
      <c r="AF20" s="407" t="s">
        <v>246</v>
      </c>
      <c r="AG20" s="407" t="s">
        <v>2110</v>
      </c>
      <c r="AY20" s="137" t="s">
        <v>1021</v>
      </c>
      <c r="AZ20" s="137" t="s">
        <v>2168</v>
      </c>
      <c r="BY20" s="137">
        <v>3</v>
      </c>
    </row>
    <row r="21" spans="1:119" x14ac:dyDescent="0.3">
      <c r="A21" s="446" t="str">
        <f>'Translate &amp; Prices'!B25</f>
        <v>Modena černá mat</v>
      </c>
      <c r="B21" s="137">
        <v>2</v>
      </c>
      <c r="C21" s="137" t="s">
        <v>1222</v>
      </c>
      <c r="D21" s="137">
        <v>0</v>
      </c>
      <c r="F21" s="137" t="str">
        <f>'Translate &amp; Prices'!B67</f>
        <v>Rocca (Vlevo a vpravo) + Varna (Nahoře a dole)</v>
      </c>
      <c r="Q21" s="446" t="str">
        <f>'Translate &amp; Prices'!$B$105</f>
        <v>Master  Ligne</v>
      </c>
      <c r="R21" s="446" t="str">
        <f>'Translate &amp; Prices'!$B$118</f>
        <v>Lacobel RAL 9003</v>
      </c>
      <c r="U21" s="446" t="str">
        <f>'Translate &amp; Prices'!$B$123</f>
        <v>Lacobel REF 0128</v>
      </c>
      <c r="V21" s="446" t="str">
        <f>'Translate &amp; Prices'!$B$123</f>
        <v>Lacobel REF 0128</v>
      </c>
      <c r="AA21" s="137" t="s">
        <v>2099</v>
      </c>
      <c r="AB21" s="137" t="s">
        <v>2102</v>
      </c>
      <c r="AC21" s="137">
        <v>1</v>
      </c>
      <c r="AD21" s="137">
        <v>0</v>
      </c>
      <c r="AF21" s="410" t="s">
        <v>245</v>
      </c>
      <c r="AG21" s="410" t="s">
        <v>2111</v>
      </c>
      <c r="BY21" s="137">
        <v>4</v>
      </c>
    </row>
    <row r="22" spans="1:119" x14ac:dyDescent="0.3">
      <c r="A22" s="446" t="str">
        <f>'Translate &amp; Prices'!B27</f>
        <v>Modena černá broušená</v>
      </c>
      <c r="B22" s="137">
        <v>2</v>
      </c>
      <c r="C22" s="137" t="s">
        <v>1222</v>
      </c>
      <c r="D22" s="137">
        <v>0</v>
      </c>
      <c r="F22" s="137" t="str">
        <f>'Translate &amp; Prices'!B68</f>
        <v>Varna černá (Vlevo a Vpravo) + Rocca černá (Nahoře a dole)</v>
      </c>
      <c r="Q22" s="446" t="str">
        <f>'Translate &amp; Prices'!$B$106</f>
        <v>Master  Point</v>
      </c>
      <c r="R22" s="446" t="str">
        <f>'Translate &amp; Prices'!$B$119</f>
        <v>Lacobel RAL 9005</v>
      </c>
      <c r="U22" s="446" t="str">
        <f>'Translate &amp; Prices'!$B$124</f>
        <v>Lacobel REF 0327</v>
      </c>
      <c r="V22" s="446" t="str">
        <f>'Translate &amp; Prices'!$B$124</f>
        <v>Lacobel REF 0327</v>
      </c>
      <c r="AA22" s="137" t="s">
        <v>2099</v>
      </c>
      <c r="AB22" s="137" t="s">
        <v>2274</v>
      </c>
      <c r="AC22" s="137">
        <v>1</v>
      </c>
      <c r="AD22" s="137">
        <v>0</v>
      </c>
      <c r="AF22" s="410" t="s">
        <v>246</v>
      </c>
      <c r="AG22" s="410" t="s">
        <v>2111</v>
      </c>
      <c r="BY22" s="137">
        <v>5</v>
      </c>
    </row>
    <row r="23" spans="1:119" x14ac:dyDescent="0.3">
      <c r="A23" s="446" t="str">
        <f>'Translate &amp; Prices'!B28</f>
        <v>Modena tmavá nerez br. (inox lija)</v>
      </c>
      <c r="B23" s="137">
        <v>2</v>
      </c>
      <c r="C23" s="137" t="s">
        <v>1222</v>
      </c>
      <c r="D23" s="137">
        <v>0</v>
      </c>
      <c r="F23" s="137" t="str">
        <f>'Translate &amp; Prices'!B69</f>
        <v>Rocca černá (Vlevo a vpravo) + Varna černá (Nahoře a dole)</v>
      </c>
      <c r="G23" s="11"/>
      <c r="H23" s="11"/>
      <c r="I23" s="11"/>
      <c r="Q23" s="446" t="str">
        <f>'Translate &amp; Prices'!$B$107</f>
        <v xml:space="preserve">Master  Ray </v>
      </c>
      <c r="R23" s="446" t="str">
        <f>'Translate &amp; Prices'!$B$120</f>
        <v>Lacobel RAL 9006</v>
      </c>
      <c r="U23" s="446" t="str">
        <f>'Translate &amp; Prices'!$B$125</f>
        <v>Lacobel REF 0337</v>
      </c>
      <c r="V23" s="446" t="str">
        <f>'Translate &amp; Prices'!$B$125</f>
        <v>Lacobel REF 0337</v>
      </c>
      <c r="AA23" s="137" t="s">
        <v>2099</v>
      </c>
      <c r="AB23" s="137" t="s">
        <v>2107</v>
      </c>
      <c r="AC23" s="137">
        <v>1</v>
      </c>
      <c r="AD23" s="137">
        <v>0</v>
      </c>
      <c r="AF23" s="407" t="s">
        <v>245</v>
      </c>
      <c r="AG23" s="407" t="s">
        <v>2112</v>
      </c>
      <c r="BY23" s="137">
        <v>6</v>
      </c>
    </row>
    <row r="24" spans="1:119" x14ac:dyDescent="0.3">
      <c r="A24" s="446" t="str">
        <f>'Translate &amp; Prices'!B29</f>
        <v>Palio (elox.)</v>
      </c>
      <c r="B24" s="137">
        <v>2</v>
      </c>
      <c r="C24" s="137" t="s">
        <v>1222</v>
      </c>
      <c r="D24" s="137">
        <v>0</v>
      </c>
      <c r="G24" s="11"/>
      <c r="H24" s="11"/>
      <c r="I24" s="11"/>
      <c r="Q24" s="446" t="str">
        <f>'Translate &amp; Prices'!$B$108</f>
        <v>Master  Shine</v>
      </c>
      <c r="R24" s="446" t="str">
        <f>'Translate &amp; Prices'!$B$121</f>
        <v>Lacobel RAL 9007</v>
      </c>
      <c r="U24" s="446" t="str">
        <f>'Translate &amp; Prices'!$B$126</f>
        <v>Lacobel REF 0627</v>
      </c>
      <c r="V24" s="446" t="str">
        <f>'Translate &amp; Prices'!$B$126</f>
        <v>Lacobel REF 0627</v>
      </c>
      <c r="AF24" s="407" t="s">
        <v>246</v>
      </c>
      <c r="AG24" s="407" t="s">
        <v>2112</v>
      </c>
      <c r="BY24" s="137">
        <v>7</v>
      </c>
    </row>
    <row r="25" spans="1:119" x14ac:dyDescent="0.3">
      <c r="A25" s="446" t="str">
        <f>'Translate &amp; Prices'!B30</f>
        <v>Palio černá mat</v>
      </c>
      <c r="B25" s="137">
        <v>2</v>
      </c>
      <c r="C25" s="137" t="s">
        <v>1222</v>
      </c>
      <c r="D25" s="137">
        <v>0</v>
      </c>
      <c r="G25" s="11"/>
      <c r="H25" s="11"/>
      <c r="I25" s="11"/>
      <c r="Q25" s="446" t="str">
        <f>'Translate &amp; Prices'!$B$109</f>
        <v>Lacobel RAL 1013</v>
      </c>
      <c r="R25" s="446" t="str">
        <f>'Translate &amp; Prices'!$B$122</f>
        <v>Lacobel RAL 9010</v>
      </c>
      <c r="U25" s="446" t="str">
        <f>'Translate &amp; Prices'!$B$127</f>
        <v>Lacobel REF 0667</v>
      </c>
      <c r="V25" s="446" t="str">
        <f>'Translate &amp; Prices'!$B$127</f>
        <v>Lacobel REF 0667</v>
      </c>
      <c r="AF25" s="410" t="s">
        <v>245</v>
      </c>
      <c r="AG25" s="410" t="s">
        <v>2113</v>
      </c>
      <c r="BY25" s="137">
        <v>8</v>
      </c>
    </row>
    <row r="26" spans="1:119" x14ac:dyDescent="0.3">
      <c r="A26" s="446" t="str">
        <f>'Translate &amp; Prices'!B31</f>
        <v>Pisa (elox.)</v>
      </c>
      <c r="B26" s="137">
        <v>2</v>
      </c>
      <c r="C26" s="137" t="s">
        <v>2133</v>
      </c>
      <c r="D26" s="137">
        <v>0</v>
      </c>
      <c r="G26" s="11"/>
      <c r="H26" s="11"/>
      <c r="I26" s="11"/>
      <c r="Q26" s="446" t="str">
        <f>'Translate &amp; Prices'!$B$110</f>
        <v>Lacobel RAL 1014</v>
      </c>
      <c r="R26" s="446" t="str">
        <f>'Translate &amp; Prices'!$B$123</f>
        <v>Lacobel REF 0128</v>
      </c>
      <c r="U26" s="446" t="str">
        <f>'Translate &amp; Prices'!$B$128</f>
        <v>Lacobel REF 1164</v>
      </c>
      <c r="V26" s="446" t="str">
        <f>'Translate &amp; Prices'!$B$128</f>
        <v>Lacobel REF 1164</v>
      </c>
      <c r="AF26" s="410" t="s">
        <v>246</v>
      </c>
      <c r="AG26" s="410" t="s">
        <v>2113</v>
      </c>
      <c r="BY26" s="137">
        <v>9</v>
      </c>
    </row>
    <row r="27" spans="1:119" x14ac:dyDescent="0.3">
      <c r="A27" s="446" t="str">
        <f>'Translate &amp; Prices'!B32</f>
        <v>Pisa černá mat</v>
      </c>
      <c r="B27" s="137">
        <v>2</v>
      </c>
      <c r="C27" s="137" t="s">
        <v>2133</v>
      </c>
      <c r="D27" s="137">
        <v>0</v>
      </c>
      <c r="G27" s="11"/>
      <c r="H27" s="11"/>
      <c r="I27" s="11"/>
      <c r="Q27" s="446" t="str">
        <f>'Translate &amp; Prices'!$B$111</f>
        <v>Lacobel RAL 1015</v>
      </c>
      <c r="R27" s="446" t="str">
        <f>'Translate &amp; Prices'!$B$124</f>
        <v>Lacobel REF 0327</v>
      </c>
      <c r="U27" s="446" t="str">
        <f>'Translate &amp; Prices'!$B$129</f>
        <v>Lacobel REF 1236</v>
      </c>
      <c r="V27" s="446" t="str">
        <f>'Translate &amp; Prices'!$B$129</f>
        <v>Lacobel REF 1236</v>
      </c>
      <c r="AF27" s="407" t="s">
        <v>245</v>
      </c>
      <c r="AG27" s="407" t="s">
        <v>2114</v>
      </c>
      <c r="BY27" s="137">
        <v>10</v>
      </c>
    </row>
    <row r="28" spans="1:119" x14ac:dyDescent="0.3">
      <c r="A28" s="446" t="str">
        <f>'Translate &amp; Prices'!B34</f>
        <v>Ravena (elox.)</v>
      </c>
      <c r="B28" s="137">
        <v>1</v>
      </c>
      <c r="C28" s="137" t="s">
        <v>1222</v>
      </c>
      <c r="D28" s="137">
        <v>0</v>
      </c>
      <c r="G28" s="11"/>
      <c r="H28" s="11"/>
      <c r="I28" s="11"/>
      <c r="Q28" s="446" t="str">
        <f>'Translate &amp; Prices'!$B$112</f>
        <v>Lacobel RAL 2001</v>
      </c>
      <c r="R28" s="446" t="str">
        <f>'Translate &amp; Prices'!$B$125</f>
        <v>Lacobel REF 0337</v>
      </c>
      <c r="U28" s="446" t="str">
        <f>'Translate &amp; Prices'!$B$130</f>
        <v>Lacobel REF 1435</v>
      </c>
      <c r="V28" s="446" t="str">
        <f>'Translate &amp; Prices'!$B$130</f>
        <v>Lacobel REF 1435</v>
      </c>
      <c r="AA28" s="137" t="s">
        <v>2109</v>
      </c>
      <c r="AB28" s="137" t="s">
        <v>2147</v>
      </c>
      <c r="AF28" s="407" t="s">
        <v>246</v>
      </c>
      <c r="AG28" s="407" t="s">
        <v>2114</v>
      </c>
    </row>
    <row r="29" spans="1:119" x14ac:dyDescent="0.3">
      <c r="A29" s="446" t="str">
        <f>'Translate &amp; Prices'!B35</f>
        <v>Siena (elox.)</v>
      </c>
      <c r="B29" s="137">
        <v>2</v>
      </c>
      <c r="C29" s="137" t="s">
        <v>1222</v>
      </c>
      <c r="D29" s="137">
        <v>0</v>
      </c>
      <c r="G29" s="11"/>
      <c r="H29" s="11"/>
      <c r="I29" s="11"/>
      <c r="Q29" s="446" t="str">
        <f>'Translate &amp; Prices'!$B$113</f>
        <v>Lacobel RAL 3004</v>
      </c>
      <c r="R29" s="446" t="str">
        <f>'Translate &amp; Prices'!$B$126</f>
        <v>Lacobel REF 0627</v>
      </c>
      <c r="U29" s="446" t="str">
        <f>'Translate &amp; Prices'!$B$131</f>
        <v>Lacobel REF 1586</v>
      </c>
      <c r="V29" s="446" t="str">
        <f>'Translate &amp; Prices'!$B$131</f>
        <v>Lacobel REF 1586</v>
      </c>
      <c r="AA29" s="137" t="s">
        <v>2109</v>
      </c>
      <c r="AB29" s="137" t="s">
        <v>2108</v>
      </c>
      <c r="AC29" s="137">
        <v>1</v>
      </c>
      <c r="AD29" s="137">
        <v>0</v>
      </c>
      <c r="AF29" s="410" t="s">
        <v>245</v>
      </c>
      <c r="AG29" s="410" t="s">
        <v>2115</v>
      </c>
    </row>
    <row r="30" spans="1:119" x14ac:dyDescent="0.3">
      <c r="A30" s="446" t="str">
        <f>'Translate &amp; Prices'!$B$36</f>
        <v>Siena černá mat</v>
      </c>
      <c r="B30" s="137">
        <v>2</v>
      </c>
      <c r="C30" s="137" t="s">
        <v>1222</v>
      </c>
      <c r="D30" s="137">
        <v>0</v>
      </c>
      <c r="Q30" s="446" t="str">
        <f>'Translate &amp; Prices'!$B$114</f>
        <v>Lacobel RAL 4006</v>
      </c>
      <c r="R30" s="446" t="str">
        <f>'Translate &amp; Prices'!$B$127</f>
        <v>Lacobel REF 0667</v>
      </c>
      <c r="U30" s="446" t="str">
        <f>'Translate &amp; Prices'!$B$132</f>
        <v>Lacobel REF 1603</v>
      </c>
      <c r="V30" s="446" t="str">
        <f>'Translate &amp; Prices'!$B$132</f>
        <v>Lacobel REF 1603</v>
      </c>
      <c r="AA30" s="137" t="s">
        <v>2109</v>
      </c>
      <c r="AB30" s="137" t="s">
        <v>2269</v>
      </c>
      <c r="AC30" s="137">
        <v>1</v>
      </c>
      <c r="AD30" s="137">
        <v>0</v>
      </c>
      <c r="AF30" s="410" t="s">
        <v>246</v>
      </c>
      <c r="AG30" s="410" t="s">
        <v>2115</v>
      </c>
    </row>
    <row r="31" spans="1:119" x14ac:dyDescent="0.3">
      <c r="A31" s="446" t="str">
        <f>'Translate &amp; Prices'!B37</f>
        <v>Verona (elox.)</v>
      </c>
      <c r="B31" s="137">
        <v>1</v>
      </c>
      <c r="C31" s="137" t="s">
        <v>1222</v>
      </c>
      <c r="D31" s="137">
        <v>0</v>
      </c>
      <c r="G31" s="11"/>
      <c r="H31" s="11"/>
      <c r="I31" s="11"/>
      <c r="Q31" s="446" t="str">
        <f>'Translate &amp; Prices'!$B$115</f>
        <v>Lacobel RAL 5002</v>
      </c>
      <c r="R31" s="446" t="str">
        <f>'Translate &amp; Prices'!$B$128</f>
        <v>Lacobel REF 1164</v>
      </c>
      <c r="U31" s="446" t="str">
        <f>'Translate &amp; Prices'!$B$133</f>
        <v>Lacobel REF 1604</v>
      </c>
      <c r="V31" s="446" t="str">
        <f>'Translate &amp; Prices'!$B$133</f>
        <v>Lacobel REF 1604</v>
      </c>
      <c r="AA31" s="137" t="s">
        <v>2109</v>
      </c>
      <c r="AB31" s="137" t="s">
        <v>2111</v>
      </c>
      <c r="AC31" s="137">
        <v>1</v>
      </c>
      <c r="AD31" s="137">
        <v>0</v>
      </c>
      <c r="AF31" s="407" t="s">
        <v>245</v>
      </c>
      <c r="AG31" s="407" t="s">
        <v>2116</v>
      </c>
    </row>
    <row r="32" spans="1:119" x14ac:dyDescent="0.3">
      <c r="A32" s="446" t="str">
        <f>'Translate &amp; Prices'!B38</f>
        <v>Verona broušený hliník</v>
      </c>
      <c r="B32" s="137">
        <v>1</v>
      </c>
      <c r="C32" s="137" t="s">
        <v>1222</v>
      </c>
      <c r="D32" s="137">
        <v>0</v>
      </c>
      <c r="G32" s="11"/>
      <c r="H32" s="11"/>
      <c r="I32" s="11"/>
      <c r="Q32" s="446" t="str">
        <f>'Translate &amp; Prices'!$B$116</f>
        <v>Lacobel RAL 7035</v>
      </c>
      <c r="R32" s="446" t="str">
        <f>'Translate &amp; Prices'!$B$129</f>
        <v>Lacobel REF 1236</v>
      </c>
      <c r="U32" s="446" t="str">
        <f>'Translate &amp; Prices'!$B$134</f>
        <v>Matelac RAL 2001</v>
      </c>
      <c r="V32" s="446" t="str">
        <f>'Translate &amp; Prices'!$B$134</f>
        <v>Matelac RAL 2001</v>
      </c>
      <c r="AA32" s="137" t="s">
        <v>2109</v>
      </c>
      <c r="AB32" s="137" t="s">
        <v>2268</v>
      </c>
      <c r="AC32" s="137">
        <v>1</v>
      </c>
      <c r="AD32" s="137">
        <v>0</v>
      </c>
      <c r="AF32" s="407" t="s">
        <v>246</v>
      </c>
      <c r="AG32" s="407" t="s">
        <v>2116</v>
      </c>
      <c r="CD32" s="137" t="str">
        <f>'Translate &amp; Prices'!$O$569</f>
        <v>(dolnej)</v>
      </c>
    </row>
    <row r="33" spans="1:82" x14ac:dyDescent="0.3">
      <c r="A33" s="446" t="str">
        <f>'Translate &amp; Prices'!B39</f>
        <v>Verona černá lesk</v>
      </c>
      <c r="B33" s="137">
        <v>1</v>
      </c>
      <c r="C33" s="137" t="s">
        <v>1222</v>
      </c>
      <c r="D33" s="137">
        <v>0</v>
      </c>
      <c r="G33" s="11"/>
      <c r="H33" s="11"/>
      <c r="I33" s="11"/>
      <c r="Q33" s="446" t="str">
        <f>'Translate &amp; Prices'!$B$117</f>
        <v>Lacobel RAL 8017</v>
      </c>
      <c r="R33" s="446" t="str">
        <f>'Translate &amp; Prices'!$B$130</f>
        <v>Lacobel REF 1435</v>
      </c>
      <c r="U33" s="446" t="str">
        <f>'Translate &amp; Prices'!$B$135</f>
        <v>Matelac RAL 3004</v>
      </c>
      <c r="V33" s="446" t="str">
        <f>'Translate &amp; Prices'!$B$135</f>
        <v>Matelac RAL 3004</v>
      </c>
      <c r="AA33" s="137" t="s">
        <v>2109</v>
      </c>
      <c r="AB33" s="137" t="s">
        <v>2113</v>
      </c>
      <c r="AC33" s="137">
        <v>1</v>
      </c>
      <c r="AD33" s="137">
        <v>0</v>
      </c>
      <c r="AF33" s="410" t="s">
        <v>245</v>
      </c>
      <c r="AG33" s="410" t="s">
        <v>2119</v>
      </c>
      <c r="CD33" s="137" t="str">
        <f>'Translate &amp; Prices'!$O$569</f>
        <v>(dolnej)</v>
      </c>
    </row>
    <row r="34" spans="1:82" x14ac:dyDescent="0.3">
      <c r="A34" s="446" t="str">
        <f>'Translate &amp; Prices'!B40</f>
        <v>Verona černá mat</v>
      </c>
      <c r="B34" s="137">
        <v>1</v>
      </c>
      <c r="C34" s="137" t="s">
        <v>1222</v>
      </c>
      <c r="D34" s="137">
        <v>0</v>
      </c>
      <c r="G34" s="11"/>
      <c r="H34" s="11"/>
      <c r="I34" s="11"/>
      <c r="Q34" s="446" t="str">
        <f>'Translate &amp; Prices'!$B$118</f>
        <v>Lacobel RAL 9003</v>
      </c>
      <c r="R34" s="446" t="str">
        <f>'Translate &amp; Prices'!$B$131</f>
        <v>Lacobel REF 1586</v>
      </c>
      <c r="U34" s="446" t="str">
        <f>'Translate &amp; Prices'!$B$136</f>
        <v>Matelac RAL 7021</v>
      </c>
      <c r="V34" s="446" t="str">
        <f>'Translate &amp; Prices'!$B$136</f>
        <v>Matelac RAL 7021</v>
      </c>
      <c r="AB34" s="137" t="s">
        <v>2114</v>
      </c>
      <c r="AC34" s="137">
        <v>1</v>
      </c>
      <c r="AD34" s="137">
        <v>0</v>
      </c>
      <c r="AF34" s="410" t="s">
        <v>246</v>
      </c>
      <c r="AG34" s="410" t="s">
        <v>2119</v>
      </c>
      <c r="CD34" s="137" t="str">
        <f>'Translate &amp; Prices'!$O$572</f>
        <v>(prawej)</v>
      </c>
    </row>
    <row r="35" spans="1:82" x14ac:dyDescent="0.3">
      <c r="A35" s="446" t="str">
        <f>'Translate &amp; Prices'!B41</f>
        <v>Verona hnědá</v>
      </c>
      <c r="B35" s="137">
        <v>1</v>
      </c>
      <c r="C35" s="137" t="s">
        <v>1222</v>
      </c>
      <c r="D35" s="137">
        <v>0</v>
      </c>
      <c r="G35" s="11"/>
      <c r="H35" s="11"/>
      <c r="I35" s="11"/>
      <c r="Q35" s="446" t="str">
        <f>'Translate &amp; Prices'!$B$119</f>
        <v>Lacobel RAL 9005</v>
      </c>
      <c r="R35" s="446" t="str">
        <f>'Translate &amp; Prices'!$B$132</f>
        <v>Lacobel REF 1603</v>
      </c>
      <c r="U35" s="446" t="str">
        <f>'Translate &amp; Prices'!$B$137</f>
        <v>Matelac RAL 9003</v>
      </c>
      <c r="V35" s="446" t="str">
        <f>'Translate &amp; Prices'!$B$137</f>
        <v>Matelac RAL 9003</v>
      </c>
      <c r="CD35" s="137" t="str">
        <f>'Translate &amp; Prices'!$O$572</f>
        <v>(prawej)</v>
      </c>
    </row>
    <row r="36" spans="1:82" x14ac:dyDescent="0.3">
      <c r="A36" s="446" t="str">
        <f>'Translate &amp; Prices'!B42</f>
        <v>Verona champagne</v>
      </c>
      <c r="B36" s="137">
        <v>1</v>
      </c>
      <c r="C36" s="137" t="s">
        <v>1222</v>
      </c>
      <c r="D36" s="137">
        <v>0</v>
      </c>
      <c r="G36" s="11"/>
      <c r="H36" s="11"/>
      <c r="I36" s="11"/>
      <c r="Q36" s="446" t="str">
        <f>'Translate &amp; Prices'!$B$120</f>
        <v>Lacobel RAL 9006</v>
      </c>
      <c r="R36" s="446" t="str">
        <f>'Translate &amp; Prices'!$B$133</f>
        <v>Lacobel REF 1604</v>
      </c>
      <c r="U36" s="446" t="str">
        <f>'Translate &amp; Prices'!$B$138</f>
        <v>Matelac RAL 9005</v>
      </c>
      <c r="V36" s="446" t="str">
        <f>'Translate &amp; Prices'!$B$138</f>
        <v>Matelac RAL 9005</v>
      </c>
    </row>
    <row r="37" spans="1:82" x14ac:dyDescent="0.3">
      <c r="A37" s="446" t="str">
        <f>'Translate &amp; Prices'!B43</f>
        <v>Verona tmavá nerez broušená</v>
      </c>
      <c r="B37" s="137">
        <v>1</v>
      </c>
      <c r="C37" s="137" t="s">
        <v>1222</v>
      </c>
      <c r="D37" s="137">
        <v>0</v>
      </c>
      <c r="G37" s="11"/>
      <c r="H37" s="11"/>
      <c r="I37" s="11"/>
      <c r="Q37" s="446" t="str">
        <f>'Translate &amp; Prices'!$B$121</f>
        <v>Lacobel RAL 9007</v>
      </c>
      <c r="R37" s="446" t="str">
        <f>'Translate &amp; Prices'!$B$134</f>
        <v>Matelac RAL 2001</v>
      </c>
      <c r="U37" s="446" t="str">
        <f>'Translate &amp; Prices'!$B$139</f>
        <v>Matelac RAL 9006</v>
      </c>
      <c r="V37" s="446" t="str">
        <f>'Translate &amp; Prices'!$B$139</f>
        <v>Matelac RAL 9006</v>
      </c>
    </row>
    <row r="38" spans="1:82" x14ac:dyDescent="0.3">
      <c r="A38" s="446" t="str">
        <f>'Translate &amp; Prices'!B44</f>
        <v>Verona světlá nerez (Acier grata)</v>
      </c>
      <c r="B38" s="137">
        <v>1</v>
      </c>
      <c r="C38" s="137" t="s">
        <v>1222</v>
      </c>
      <c r="D38" s="137">
        <v>0</v>
      </c>
      <c r="Q38" s="446" t="str">
        <f>'Translate &amp; Prices'!$B$122</f>
        <v>Lacobel RAL 9010</v>
      </c>
      <c r="R38" s="446" t="str">
        <f>'Translate &amp; Prices'!$B$135</f>
        <v>Matelac RAL 3004</v>
      </c>
      <c r="U38" s="446" t="str">
        <f>'Translate &amp; Prices'!$B$140</f>
        <v>Matelac RAL 9010</v>
      </c>
      <c r="V38" s="446" t="str">
        <f>'Translate &amp; Prices'!$B$140</f>
        <v>Matelac RAL 9010</v>
      </c>
    </row>
    <row r="39" spans="1:82" x14ac:dyDescent="0.3">
      <c r="A39" s="446" t="str">
        <f>'Translate &amp; Prices'!B45</f>
        <v>Vivaro (elox.)</v>
      </c>
      <c r="B39" s="137">
        <v>2</v>
      </c>
      <c r="C39" s="137" t="s">
        <v>1222</v>
      </c>
      <c r="D39" s="137">
        <v>1</v>
      </c>
      <c r="Q39" s="446" t="str">
        <f>'Translate &amp; Prices'!$B$123</f>
        <v>Lacobel REF 0128</v>
      </c>
      <c r="R39" s="446" t="str">
        <f>'Translate &amp; Prices'!$B$136</f>
        <v>Matelac RAL 7021</v>
      </c>
      <c r="U39" s="446" t="str">
        <f>'Translate &amp; Prices'!$B$141</f>
        <v>Matelac REF 1435</v>
      </c>
      <c r="V39" s="446" t="str">
        <f>'Translate &amp; Prices'!$B$141</f>
        <v>Matelac REF 1435</v>
      </c>
      <c r="AA39" s="137" t="s">
        <v>1021</v>
      </c>
      <c r="AB39" s="137" t="s">
        <v>2145</v>
      </c>
    </row>
    <row r="40" spans="1:82" x14ac:dyDescent="0.3">
      <c r="A40" s="446" t="str">
        <f>'Translate &amp; Prices'!B46</f>
        <v>Vivaro černá mat</v>
      </c>
      <c r="B40" s="137">
        <v>2</v>
      </c>
      <c r="C40" s="137" t="s">
        <v>1222</v>
      </c>
      <c r="D40" s="137">
        <v>1</v>
      </c>
      <c r="Q40" s="446" t="str">
        <f>'Translate &amp; Prices'!$B$124</f>
        <v>Lacobel REF 0327</v>
      </c>
      <c r="R40" s="446" t="str">
        <f>'Translate &amp; Prices'!$B$137</f>
        <v>Matelac RAL 9003</v>
      </c>
      <c r="U40" s="446" t="str">
        <f>'Translate &amp; Prices'!$B$142</f>
        <v>Matelac REF 1586</v>
      </c>
      <c r="V40" s="446" t="str">
        <f>'Translate &amp; Prices'!$B$142</f>
        <v>Matelac REF 1586</v>
      </c>
      <c r="AA40" s="137" t="s">
        <v>1021</v>
      </c>
      <c r="AB40" s="137" t="s">
        <v>2638</v>
      </c>
      <c r="AC40" s="137">
        <v>1</v>
      </c>
      <c r="AD40" s="137">
        <v>0</v>
      </c>
    </row>
    <row r="41" spans="1:82" x14ac:dyDescent="0.3">
      <c r="A41" s="446" t="str">
        <f>'Translate &amp; Prices'!B48</f>
        <v>Vivaro tmavá nerez br. (inox lija)</v>
      </c>
      <c r="B41" s="137">
        <v>2</v>
      </c>
      <c r="C41" s="137" t="s">
        <v>1222</v>
      </c>
      <c r="D41" s="137">
        <v>0</v>
      </c>
      <c r="Q41" s="446" t="str">
        <f>'Translate &amp; Prices'!$B$125</f>
        <v>Lacobel REF 0337</v>
      </c>
      <c r="R41" s="446" t="str">
        <f>'Translate &amp; Prices'!$B$138</f>
        <v>Matelac RAL 9005</v>
      </c>
      <c r="U41" s="446" t="str">
        <f>'Translate &amp; Prices'!$B$143</f>
        <v>Matelac zrcadlo bronz</v>
      </c>
      <c r="V41" s="446" t="str">
        <f>'Translate &amp; Prices'!$B$143</f>
        <v>Matelac zrcadlo bronz</v>
      </c>
      <c r="AB41" s="137" t="s">
        <v>2639</v>
      </c>
      <c r="AC41" s="137">
        <v>1</v>
      </c>
      <c r="AD41" s="137">
        <v>0</v>
      </c>
    </row>
    <row r="42" spans="1:82" x14ac:dyDescent="0.3">
      <c r="A42" s="446" t="str">
        <f>'Translate &amp; Prices'!B49</f>
        <v>Vivaro bílá mat</v>
      </c>
      <c r="B42" s="137">
        <v>2</v>
      </c>
      <c r="C42" s="137" t="s">
        <v>1222</v>
      </c>
      <c r="D42" s="137">
        <v>0</v>
      </c>
      <c r="Q42" s="446" t="str">
        <f>'Translate &amp; Prices'!$B$126</f>
        <v>Lacobel REF 0627</v>
      </c>
      <c r="R42" s="446" t="str">
        <f>'Translate &amp; Prices'!$B$139</f>
        <v>Matelac RAL 9006</v>
      </c>
      <c r="U42" s="446" t="str">
        <f>'Translate &amp; Prices'!$B$145</f>
        <v>Matelac zrcadlo grafit</v>
      </c>
      <c r="V42" s="446" t="str">
        <f>'Translate &amp; Prices'!$B$145</f>
        <v>Matelac zrcadlo grafit</v>
      </c>
      <c r="AA42" s="137" t="s">
        <v>2117</v>
      </c>
      <c r="AB42" s="137" t="s">
        <v>2146</v>
      </c>
    </row>
    <row r="43" spans="1:82" x14ac:dyDescent="0.3">
      <c r="A43" s="446" t="str">
        <f>'Translate &amp; Prices'!B50</f>
        <v>Vivaro bílá lesk</v>
      </c>
      <c r="B43" s="137">
        <v>2</v>
      </c>
      <c r="C43" s="137" t="s">
        <v>1222</v>
      </c>
      <c r="D43" s="137">
        <v>0</v>
      </c>
      <c r="Q43" s="446" t="str">
        <f>'Translate &amp; Prices'!$B$127</f>
        <v>Lacobel REF 0667</v>
      </c>
      <c r="R43" s="446" t="str">
        <f>'Translate &amp; Prices'!$B$140</f>
        <v>Matelac RAL 9010</v>
      </c>
      <c r="U43" s="446" t="str">
        <f>'Translate &amp; Prices'!$B$146</f>
        <v>Matelac zrcadlo stříbr.</v>
      </c>
      <c r="V43" s="446" t="str">
        <f>'Translate &amp; Prices'!$B$146</f>
        <v>Matelac zrcadlo stříbr.</v>
      </c>
      <c r="AA43" s="137" t="s">
        <v>2117</v>
      </c>
      <c r="AB43" s="137" t="s">
        <v>2280</v>
      </c>
      <c r="AC43" s="137">
        <v>0</v>
      </c>
      <c r="AD43" s="137">
        <v>0</v>
      </c>
    </row>
    <row r="44" spans="1:82" x14ac:dyDescent="0.3">
      <c r="A44" s="404" t="str">
        <f>'Translate &amp; Prices'!$B$61</f>
        <v>Siena (Vlevo a vpravo) + Varna (Nahoře a dole)</v>
      </c>
      <c r="B44" s="137">
        <v>2</v>
      </c>
      <c r="C44" s="137" t="s">
        <v>1222</v>
      </c>
      <c r="D44" s="137">
        <v>0</v>
      </c>
      <c r="Q44" s="446" t="str">
        <f>'Translate &amp; Prices'!$B$128</f>
        <v>Lacobel REF 1164</v>
      </c>
      <c r="R44" s="446" t="str">
        <f>'Translate &amp; Prices'!$B$141</f>
        <v>Matelac REF 1435</v>
      </c>
      <c r="AA44" s="137" t="s">
        <v>2117</v>
      </c>
      <c r="AB44" s="137" t="s">
        <v>2119</v>
      </c>
      <c r="AC44" s="137">
        <v>1</v>
      </c>
      <c r="AD44" s="137">
        <v>0</v>
      </c>
    </row>
    <row r="45" spans="1:82" x14ac:dyDescent="0.3">
      <c r="A45" s="404" t="str">
        <f>'Translate &amp; Prices'!$B$63</f>
        <v>Siena černá (Vlevo a vpravo) + Varna černá (Nahoře a dole)</v>
      </c>
      <c r="B45" s="137">
        <v>2</v>
      </c>
      <c r="C45" s="137" t="s">
        <v>1222</v>
      </c>
      <c r="D45" s="137">
        <v>0</v>
      </c>
      <c r="Q45" s="446" t="str">
        <f>'Translate &amp; Prices'!$B$129</f>
        <v>Lacobel REF 1236</v>
      </c>
      <c r="R45" s="446" t="str">
        <f>'Translate &amp; Prices'!$B$142</f>
        <v>Matelac REF 1586</v>
      </c>
      <c r="AB45" s="137" t="s">
        <v>2281</v>
      </c>
      <c r="AC45" s="137">
        <v>0</v>
      </c>
      <c r="AD45" s="137">
        <v>0</v>
      </c>
    </row>
    <row r="46" spans="1:82" x14ac:dyDescent="0.3">
      <c r="A46" s="404" t="str">
        <f>'Translate &amp; Prices'!$B$65</f>
        <v>Palio (Vlevo a vpravo) + Varna (Nahoře a dole)</v>
      </c>
      <c r="B46" s="137">
        <v>2</v>
      </c>
      <c r="C46" s="137" t="s">
        <v>1222</v>
      </c>
      <c r="D46" s="137">
        <v>0</v>
      </c>
      <c r="Q46" s="446" t="str">
        <f>'Translate &amp; Prices'!$B$130</f>
        <v>Lacobel REF 1435</v>
      </c>
      <c r="R46" s="446" t="str">
        <f>'Translate &amp; Prices'!$B$143</f>
        <v>Matelac zrcadlo bronz</v>
      </c>
    </row>
    <row r="47" spans="1:82" x14ac:dyDescent="0.3">
      <c r="A47" s="137" t="str">
        <f>'Translate &amp; Prices'!$B$70</f>
        <v>Palio černá (Vlevo a vpravo) + Varna černá (Nahoře a dole)</v>
      </c>
      <c r="B47" s="137">
        <v>2</v>
      </c>
      <c r="C47" s="137" t="s">
        <v>1222</v>
      </c>
      <c r="D47" s="137">
        <v>0</v>
      </c>
      <c r="Q47" s="446" t="str">
        <f>'Translate &amp; Prices'!$B$131</f>
        <v>Lacobel REF 1586</v>
      </c>
      <c r="R47" s="446" t="str">
        <f>'Translate &amp; Prices'!$B$145</f>
        <v>Matelac zrcadlo grafit</v>
      </c>
    </row>
    <row r="48" spans="1:82" x14ac:dyDescent="0.3">
      <c r="A48" s="404" t="str">
        <f>'Translate &amp; Prices'!$B$67</f>
        <v>Rocca (Vlevo a vpravo) + Varna (Nahoře a dole)</v>
      </c>
      <c r="B48" s="137">
        <v>1</v>
      </c>
      <c r="C48" s="137" t="s">
        <v>1222</v>
      </c>
      <c r="D48" s="137">
        <v>0</v>
      </c>
      <c r="Q48" s="446" t="str">
        <f>'Translate &amp; Prices'!$B$132</f>
        <v>Lacobel REF 1603</v>
      </c>
      <c r="R48" s="446" t="str">
        <f>'Translate &amp; Prices'!$B$146</f>
        <v>Matelac zrcadlo stříbr.</v>
      </c>
    </row>
    <row r="49" spans="1:17" x14ac:dyDescent="0.3">
      <c r="A49" s="404" t="str">
        <f>'Translate &amp; Prices'!$B$69</f>
        <v>Rocca černá (Vlevo a vpravo) + Varna černá (Nahoře a dole)</v>
      </c>
      <c r="B49" s="137">
        <v>1</v>
      </c>
      <c r="C49" s="137" t="s">
        <v>1222</v>
      </c>
      <c r="D49" s="137">
        <v>0</v>
      </c>
      <c r="Q49" s="446" t="str">
        <f>'Translate &amp; Prices'!$B$133</f>
        <v>Lacobel REF 1604</v>
      </c>
    </row>
    <row r="50" spans="1:17" x14ac:dyDescent="0.3">
      <c r="A50" s="137" t="str">
        <f>'Translate &amp; Prices'!$B$13</f>
        <v>BRW zlatá</v>
      </c>
      <c r="B50" s="137">
        <v>1</v>
      </c>
      <c r="C50" s="137" t="s">
        <v>1222</v>
      </c>
      <c r="D50" s="137">
        <v>0</v>
      </c>
      <c r="Q50" s="446" t="str">
        <f>'Translate &amp; Prices'!$B$134</f>
        <v>Matelac RAL 2001</v>
      </c>
    </row>
    <row r="51" spans="1:17" x14ac:dyDescent="0.3">
      <c r="A51" s="137" t="str">
        <f>'Translate &amp; Prices'!$B$26</f>
        <v>Verona zlatá</v>
      </c>
      <c r="B51" s="137">
        <v>1</v>
      </c>
      <c r="C51" s="137" t="s">
        <v>1222</v>
      </c>
      <c r="D51" s="137">
        <v>0</v>
      </c>
      <c r="Q51" s="446" t="str">
        <f>'Translate &amp; Prices'!$B$135</f>
        <v>Matelac RAL 3004</v>
      </c>
    </row>
    <row r="52" spans="1:17" x14ac:dyDescent="0.3">
      <c r="A52" s="404" t="str">
        <f>'Translate &amp; Prices'!$B$33</f>
        <v>Vivaro zlatá</v>
      </c>
      <c r="B52" s="137">
        <v>2</v>
      </c>
      <c r="C52" s="137" t="s">
        <v>1222</v>
      </c>
      <c r="D52" s="137">
        <v>0</v>
      </c>
      <c r="Q52" s="446" t="str">
        <f>'Translate &amp; Prices'!$B$136</f>
        <v>Matelac RAL 7021</v>
      </c>
    </row>
    <row r="53" spans="1:17" x14ac:dyDescent="0.3">
      <c r="A53" s="137" t="str">
        <f>'Translate &amp; Prices'!$B$47</f>
        <v>Imola zlatá</v>
      </c>
      <c r="B53" s="137">
        <v>2</v>
      </c>
      <c r="C53" s="137" t="s">
        <v>2133</v>
      </c>
      <c r="D53" s="137">
        <v>0</v>
      </c>
      <c r="Q53" s="446" t="str">
        <f>'Translate &amp; Prices'!$B$137</f>
        <v>Matelac RAL 9003</v>
      </c>
    </row>
    <row r="54" spans="1:17" x14ac:dyDescent="0.3">
      <c r="A54" s="137" t="str">
        <f>'Translate &amp; Prices'!$B$57</f>
        <v>Pisa zlatá</v>
      </c>
      <c r="B54" s="137">
        <v>2</v>
      </c>
      <c r="C54" s="137" t="s">
        <v>2133</v>
      </c>
      <c r="D54" s="137">
        <v>0</v>
      </c>
      <c r="Q54" s="446" t="str">
        <f>'Translate &amp; Prices'!$B$138</f>
        <v>Matelac RAL 9005</v>
      </c>
    </row>
    <row r="55" spans="1:17" x14ac:dyDescent="0.3">
      <c r="Q55" s="446" t="str">
        <f>'Translate &amp; Prices'!$B$139</f>
        <v>Matelac RAL 9006</v>
      </c>
    </row>
    <row r="56" spans="1:17" x14ac:dyDescent="0.3">
      <c r="Q56" s="446" t="str">
        <f>'Translate &amp; Prices'!$B$140</f>
        <v>Matelac RAL 9010</v>
      </c>
    </row>
    <row r="57" spans="1:17" x14ac:dyDescent="0.3">
      <c r="Q57" s="446" t="str">
        <f>'Translate &amp; Prices'!$B$141</f>
        <v>Matelac REF 1435</v>
      </c>
    </row>
    <row r="58" spans="1:17" x14ac:dyDescent="0.3">
      <c r="Q58" s="446" t="str">
        <f>'Translate &amp; Prices'!$B$142</f>
        <v>Matelac REF 1586</v>
      </c>
    </row>
    <row r="59" spans="1:17" x14ac:dyDescent="0.3">
      <c r="Q59" s="446" t="str">
        <f>'Translate &amp; Prices'!$B$143</f>
        <v>Matelac zrcadlo bronz</v>
      </c>
    </row>
    <row r="60" spans="1:17" x14ac:dyDescent="0.3">
      <c r="Q60" s="446" t="str">
        <f>'Translate &amp; Prices'!$B$145</f>
        <v>Matelac zrcadlo grafit</v>
      </c>
    </row>
    <row r="61" spans="1:17" x14ac:dyDescent="0.3">
      <c r="Q61" s="446" t="str">
        <f>'Translate &amp; Prices'!$B$146</f>
        <v>Matelac zrcadlo stříbr.</v>
      </c>
    </row>
  </sheetData>
  <conditionalFormatting sqref="AC4:AC9 AC15:AC23 AC29:AC34 AC40:AC41 AC43:AC45">
    <cfRule type="cellIs" dxfId="614" priority="31" operator="equal">
      <formula>1</formula>
    </cfRule>
  </conditionalFormatting>
  <conditionalFormatting sqref="R5">
    <cfRule type="duplicateValues" dxfId="613" priority="26"/>
  </conditionalFormatting>
  <conditionalFormatting sqref="S20:S48">
    <cfRule type="duplicateValues" dxfId="612" priority="30"/>
  </conditionalFormatting>
  <conditionalFormatting sqref="R49:R55">
    <cfRule type="duplicateValues" dxfId="611" priority="28"/>
  </conditionalFormatting>
  <conditionalFormatting sqref="R56:R57">
    <cfRule type="duplicateValues" dxfId="610" priority="29"/>
  </conditionalFormatting>
  <conditionalFormatting sqref="Q2 Q63:Q1048576 Q4:Q61">
    <cfRule type="duplicateValues" dxfId="609" priority="32"/>
  </conditionalFormatting>
  <conditionalFormatting sqref="R2 R63:R1048576 R49:R61">
    <cfRule type="duplicateValues" dxfId="608" priority="33"/>
  </conditionalFormatting>
  <conditionalFormatting sqref="P63:P1048576 P2:P61">
    <cfRule type="duplicateValues" dxfId="607" priority="34"/>
  </conditionalFormatting>
  <conditionalFormatting sqref="R63 R58:R61">
    <cfRule type="duplicateValues" dxfId="606" priority="35"/>
  </conditionalFormatting>
  <conditionalFormatting sqref="R4">
    <cfRule type="duplicateValues" dxfId="605" priority="27"/>
  </conditionalFormatting>
  <conditionalFormatting sqref="R6:R8">
    <cfRule type="duplicateValues" dxfId="604" priority="25"/>
  </conditionalFormatting>
  <conditionalFormatting sqref="R9:R10">
    <cfRule type="duplicateValues" dxfId="603" priority="24"/>
  </conditionalFormatting>
  <conditionalFormatting sqref="R11">
    <cfRule type="duplicateValues" dxfId="602" priority="23"/>
  </conditionalFormatting>
  <conditionalFormatting sqref="R12:R36">
    <cfRule type="duplicateValues" dxfId="601" priority="22"/>
  </conditionalFormatting>
  <conditionalFormatting sqref="R37:R45">
    <cfRule type="duplicateValues" dxfId="600" priority="21"/>
  </conditionalFormatting>
  <conditionalFormatting sqref="R46:R48">
    <cfRule type="duplicateValues" dxfId="599" priority="20"/>
  </conditionalFormatting>
  <conditionalFormatting sqref="S4">
    <cfRule type="duplicateValues" dxfId="598" priority="19"/>
  </conditionalFormatting>
  <conditionalFormatting sqref="S5:S10">
    <cfRule type="duplicateValues" dxfId="597" priority="18"/>
  </conditionalFormatting>
  <conditionalFormatting sqref="S11:S12">
    <cfRule type="duplicateValues" dxfId="596" priority="17"/>
  </conditionalFormatting>
  <conditionalFormatting sqref="S13:S19">
    <cfRule type="duplicateValues" dxfId="595" priority="16"/>
  </conditionalFormatting>
  <conditionalFormatting sqref="T4">
    <cfRule type="duplicateValues" dxfId="594" priority="15"/>
  </conditionalFormatting>
  <conditionalFormatting sqref="T5:T6">
    <cfRule type="duplicateValues" dxfId="593" priority="14"/>
  </conditionalFormatting>
  <conditionalFormatting sqref="T7">
    <cfRule type="duplicateValues" dxfId="592" priority="13"/>
  </conditionalFormatting>
  <conditionalFormatting sqref="U4:U6">
    <cfRule type="duplicateValues" dxfId="591" priority="12"/>
  </conditionalFormatting>
  <conditionalFormatting sqref="U7:U31">
    <cfRule type="duplicateValues" dxfId="590" priority="11"/>
  </conditionalFormatting>
  <conditionalFormatting sqref="U32:U40">
    <cfRule type="duplicateValues" dxfId="589" priority="10"/>
  </conditionalFormatting>
  <conditionalFormatting sqref="U41:U43">
    <cfRule type="duplicateValues" dxfId="588" priority="9"/>
  </conditionalFormatting>
  <conditionalFormatting sqref="V4:V6">
    <cfRule type="duplicateValues" dxfId="587" priority="8"/>
  </conditionalFormatting>
  <conditionalFormatting sqref="V7:V31">
    <cfRule type="duplicateValues" dxfId="586" priority="7"/>
  </conditionalFormatting>
  <conditionalFormatting sqref="V32:V40">
    <cfRule type="duplicateValues" dxfId="585" priority="6"/>
  </conditionalFormatting>
  <conditionalFormatting sqref="V41:V43">
    <cfRule type="duplicateValues" dxfId="584" priority="5"/>
  </conditionalFormatting>
  <conditionalFormatting sqref="A55:A56 A58:A59">
    <cfRule type="duplicateValues" dxfId="583" priority="3"/>
  </conditionalFormatting>
  <conditionalFormatting sqref="A54 A52 A44:A49">
    <cfRule type="duplicateValues" dxfId="582" priority="2"/>
  </conditionalFormatting>
  <conditionalFormatting sqref="A3:A54">
    <cfRule type="duplicateValues" dxfId="581" priority="1"/>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AB05-4BE2-4245-952F-964B26784649}">
  <sheetPr codeName="List7">
    <tabColor rgb="FF00B0F0"/>
    <pageSetUpPr fitToPage="1"/>
  </sheetPr>
  <dimension ref="A1:BM138"/>
  <sheetViews>
    <sheetView showGridLines="0" showRowColHeaders="0" zoomScale="80" zoomScaleNormal="80" workbookViewId="0">
      <selection activeCell="AT17" sqref="AT1:XFD1048576"/>
    </sheetView>
  </sheetViews>
  <sheetFormatPr defaultColWidth="0" defaultRowHeight="14.4" customHeight="1" zeroHeight="1" x14ac:dyDescent="0.3"/>
  <cols>
    <col min="1" max="1" width="3.33203125" style="1244" customWidth="1"/>
    <col min="2" max="2" width="5.33203125" style="1245" customWidth="1"/>
    <col min="3" max="3" width="5.33203125" style="1252" customWidth="1"/>
    <col min="4" max="7" width="5.5546875" style="1250" customWidth="1"/>
    <col min="8" max="13" width="5.33203125" style="1250" customWidth="1"/>
    <col min="14" max="17" width="4.44140625" style="1250" customWidth="1"/>
    <col min="18" max="18" width="5.33203125" style="1250" customWidth="1"/>
    <col min="19" max="19" width="4.21875" style="1250" customWidth="1"/>
    <col min="20" max="21" width="5.33203125" style="1250" customWidth="1"/>
    <col min="22" max="22" width="3.33203125" style="1250" customWidth="1"/>
    <col min="23" max="25" width="5.33203125" style="1250" customWidth="1"/>
    <col min="26" max="26" width="5.33203125" style="1252" customWidth="1"/>
    <col min="27" max="27" width="3.88671875" style="1252" customWidth="1"/>
    <col min="28" max="28" width="5.33203125" style="1252" customWidth="1"/>
    <col min="29" max="29" width="3.5546875" style="1252" customWidth="1"/>
    <col min="30" max="30" width="5.33203125" style="1256" customWidth="1"/>
    <col min="31" max="31" width="5.33203125" style="1245" customWidth="1"/>
    <col min="32" max="33" width="5.33203125" style="1252" customWidth="1"/>
    <col min="34" max="34" width="4.21875" style="1252" customWidth="1"/>
    <col min="35" max="36" width="5.33203125" style="1252" customWidth="1"/>
    <col min="37" max="37" width="3.33203125" style="1252" customWidth="1"/>
    <col min="38" max="38" width="5.33203125" style="1252" customWidth="1"/>
    <col min="39" max="39" width="3.5546875" style="1252" customWidth="1"/>
    <col min="40" max="40" width="5.33203125" style="1252" customWidth="1"/>
    <col min="41" max="41" width="2.88671875" style="1252" customWidth="1"/>
    <col min="42" max="42" width="3.88671875" style="1252" customWidth="1"/>
    <col min="43" max="43" width="5.44140625" style="1252" customWidth="1"/>
    <col min="44" max="44" width="4.44140625" style="1252" customWidth="1"/>
    <col min="45" max="45" width="8.88671875" style="1252" customWidth="1"/>
    <col min="46" max="46" width="8.88671875" style="1252" hidden="1"/>
    <col min="47" max="48" width="8.88671875" style="1226" hidden="1"/>
    <col min="49" max="55" width="8.88671875" style="1250" hidden="1"/>
    <col min="56" max="16384" width="8.88671875" style="1251" hidden="1"/>
  </cols>
  <sheetData>
    <row r="1" spans="1:65" s="1228" customFormat="1" ht="8.4" customHeight="1" x14ac:dyDescent="0.3">
      <c r="A1" s="557"/>
      <c r="B1" s="557"/>
      <c r="C1" s="506"/>
      <c r="D1" s="506"/>
      <c r="E1" s="506"/>
      <c r="F1" s="506"/>
      <c r="G1" s="506"/>
      <c r="H1" s="506"/>
      <c r="I1" s="506"/>
      <c r="J1" s="506"/>
      <c r="K1" s="506"/>
      <c r="L1" s="506"/>
      <c r="M1" s="506"/>
      <c r="N1" s="506"/>
      <c r="O1" s="506"/>
      <c r="P1" s="506"/>
      <c r="Q1" s="506"/>
      <c r="R1" s="506"/>
      <c r="S1" s="506"/>
      <c r="T1" s="506"/>
      <c r="U1" s="506"/>
      <c r="V1" s="507"/>
      <c r="W1" s="507"/>
      <c r="X1" s="507"/>
      <c r="Y1" s="507"/>
      <c r="Z1" s="400"/>
      <c r="AA1" s="400"/>
      <c r="AB1" s="400"/>
      <c r="AC1" s="400"/>
      <c r="AD1" s="508"/>
      <c r="AE1" s="509"/>
      <c r="AF1" s="400"/>
      <c r="AG1" s="400"/>
      <c r="AH1" s="400"/>
      <c r="AI1" s="400"/>
      <c r="AJ1" s="400"/>
      <c r="AK1" s="400"/>
      <c r="AL1" s="400"/>
      <c r="AM1" s="400"/>
      <c r="AN1" s="400"/>
      <c r="AO1" s="400"/>
      <c r="AP1" s="400"/>
      <c r="AQ1" s="400"/>
      <c r="AR1" s="400"/>
      <c r="AS1" s="400"/>
      <c r="AT1" s="1225"/>
      <c r="AU1" s="1226"/>
      <c r="AV1" s="1226"/>
      <c r="AW1" s="1227"/>
      <c r="AX1" s="1227"/>
      <c r="AY1" s="1227"/>
      <c r="AZ1" s="1227"/>
      <c r="BA1" s="1227"/>
      <c r="BB1" s="1227"/>
      <c r="BC1" s="1227"/>
    </row>
    <row r="2" spans="1:65" s="1228" customFormat="1" ht="11.4" customHeight="1" x14ac:dyDescent="0.3">
      <c r="A2" s="860" t="str">
        <f>'Translate &amp; Prices'!$B$149&amp;" "&amp;" "&amp;3</f>
        <v>Rámeček  3</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560"/>
      <c r="AL2" s="560"/>
      <c r="AM2" s="560"/>
      <c r="AN2" s="560"/>
      <c r="AO2" s="511"/>
      <c r="AP2" s="745" t="str">
        <f>'Translate &amp; Prices'!$B$520</f>
        <v>Úvod</v>
      </c>
      <c r="AQ2" s="746"/>
      <c r="AR2" s="746"/>
      <c r="AS2" s="746"/>
      <c r="AT2" s="1225"/>
      <c r="AU2" s="1226"/>
      <c r="AV2" s="1226"/>
      <c r="AW2" s="1227"/>
      <c r="AX2" s="1229" t="e">
        <f>VLOOKUP(VLOOKUP(H8,'Translate &amp; Prices'!B60:D69,3,0),'Translate &amp; Prices'!B6:D57,2,0)</f>
        <v>#N/A</v>
      </c>
      <c r="AY2" s="1230" t="e">
        <f>((AR14/1000)*2)*AT8</f>
        <v>#N/A</v>
      </c>
      <c r="AZ2" s="1231" t="e">
        <f>((AI30/1000)*2)*AX2</f>
        <v>#N/A</v>
      </c>
      <c r="BA2" s="1231" t="e">
        <f>AY2+AZ2</f>
        <v>#N/A</v>
      </c>
      <c r="BB2" s="1229"/>
      <c r="BC2" s="1229"/>
      <c r="BD2" s="1232"/>
      <c r="BE2" s="1232"/>
      <c r="BF2" s="1232"/>
      <c r="BG2" s="1232"/>
      <c r="BH2" s="1233"/>
      <c r="BI2" s="1233"/>
      <c r="BJ2" s="1233"/>
      <c r="BK2" s="1233"/>
      <c r="BL2" s="1233"/>
      <c r="BM2" s="1233"/>
    </row>
    <row r="3" spans="1:65" s="1228" customFormat="1" ht="11.4" customHeight="1" x14ac:dyDescent="0.3">
      <c r="A3" s="860"/>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560"/>
      <c r="AL3" s="560"/>
      <c r="AM3" s="560"/>
      <c r="AN3" s="560"/>
      <c r="AO3" s="511"/>
      <c r="AP3" s="745"/>
      <c r="AQ3" s="746"/>
      <c r="AR3" s="746"/>
      <c r="AS3" s="746"/>
      <c r="AT3" s="1225"/>
      <c r="AU3" s="1226"/>
      <c r="AV3" s="1226"/>
      <c r="AW3" s="1227"/>
      <c r="AX3" s="1229" t="e">
        <f>VLOOKUP(VLOOKUP(H8,'Translate &amp; Prices'!B60:D69,3,0),'Translate &amp; Prices'!B:D,3,0)</f>
        <v>#N/A</v>
      </c>
      <c r="AY3" s="1234" t="e">
        <f>AT9+AX3</f>
        <v>#N/A</v>
      </c>
      <c r="AZ3" s="1231"/>
      <c r="BA3" s="1230"/>
      <c r="BB3" s="1229"/>
      <c r="BC3" s="1229"/>
      <c r="BD3" s="1235">
        <f>(AI30/1000)*H11</f>
        <v>0</v>
      </c>
      <c r="BE3" s="1235"/>
      <c r="BF3" s="1235"/>
      <c r="BG3" s="1235"/>
      <c r="BH3" s="1235"/>
      <c r="BI3" s="1235">
        <f>(AR14/1000)*M11</f>
        <v>0</v>
      </c>
      <c r="BJ3" s="1235"/>
      <c r="BK3" s="1235"/>
      <c r="BL3" s="1235"/>
      <c r="BM3" s="1235"/>
    </row>
    <row r="4" spans="1:65" s="1239" customFormat="1" ht="6.6" customHeight="1" x14ac:dyDescent="0.3">
      <c r="A4" s="552"/>
      <c r="B4" s="552"/>
      <c r="C4" s="553"/>
      <c r="D4" s="553"/>
      <c r="E4" s="553"/>
      <c r="F4" s="553"/>
      <c r="G4" s="553"/>
      <c r="H4" s="553"/>
      <c r="I4" s="553"/>
      <c r="J4" s="554"/>
      <c r="K4" s="554"/>
      <c r="L4" s="554"/>
      <c r="M4" s="554"/>
      <c r="N4" s="554"/>
      <c r="O4" s="554"/>
      <c r="P4" s="555"/>
      <c r="Q4" s="555"/>
      <c r="R4" s="555"/>
      <c r="S4" s="555"/>
      <c r="T4" s="555"/>
      <c r="U4" s="555"/>
      <c r="V4" s="555"/>
      <c r="W4" s="555"/>
      <c r="X4" s="555"/>
      <c r="Y4" s="555"/>
      <c r="Z4" s="555"/>
      <c r="AA4" s="555"/>
      <c r="AB4" s="555"/>
      <c r="AC4" s="555"/>
      <c r="AD4" s="508"/>
      <c r="AE4" s="509"/>
      <c r="AF4" s="529"/>
      <c r="AG4" s="529"/>
      <c r="AH4" s="529"/>
      <c r="AI4" s="529"/>
      <c r="AJ4" s="529"/>
      <c r="AK4" s="529"/>
      <c r="AL4" s="529"/>
      <c r="AM4" s="529"/>
      <c r="AN4" s="529"/>
      <c r="AO4" s="529"/>
      <c r="AP4" s="529"/>
      <c r="AQ4" s="529"/>
      <c r="AR4" s="529"/>
      <c r="AS4" s="558"/>
      <c r="AT4" s="1236"/>
      <c r="AU4" s="1237"/>
      <c r="AV4" s="1237"/>
      <c r="AW4" s="1238"/>
      <c r="AX4" s="1238"/>
      <c r="AY4" s="1238"/>
      <c r="AZ4" s="1238"/>
      <c r="BA4" s="1238"/>
      <c r="BB4" s="1238"/>
      <c r="BC4" s="1238"/>
    </row>
    <row r="5" spans="1:65" s="1228" customFormat="1" ht="14.4" customHeight="1" thickBot="1" x14ac:dyDescent="0.35">
      <c r="A5" s="510"/>
      <c r="B5" s="845" t="str">
        <f>'Translate &amp; Prices'!$B$149&amp;" "&amp;" "&amp;1</f>
        <v>Rámeček  1</v>
      </c>
      <c r="C5" s="845"/>
      <c r="D5" s="845"/>
      <c r="E5" s="561"/>
      <c r="F5" s="845" t="str">
        <f>'Translate &amp; Prices'!$B$149&amp;" "&amp;" "&amp;2</f>
        <v>Rámeček  2</v>
      </c>
      <c r="G5" s="845"/>
      <c r="H5" s="845"/>
      <c r="I5" s="512"/>
      <c r="J5" s="845" t="str">
        <f>'Translate &amp; Prices'!$B$149&amp;" "&amp;" "&amp;3</f>
        <v>Rámeček  3</v>
      </c>
      <c r="K5" s="845"/>
      <c r="L5" s="845"/>
      <c r="M5" s="512"/>
      <c r="N5" s="845" t="str">
        <f>'Translate &amp; Prices'!$B$149&amp;" "&amp;" "&amp;4</f>
        <v>Rámeček  4</v>
      </c>
      <c r="O5" s="845"/>
      <c r="P5" s="845"/>
      <c r="Q5" s="512"/>
      <c r="R5" s="845" t="str">
        <f>'Translate &amp; Prices'!$B$149&amp;" "&amp;" "&amp;5</f>
        <v>Rámeček  5</v>
      </c>
      <c r="S5" s="845"/>
      <c r="T5" s="845"/>
      <c r="U5" s="512"/>
      <c r="V5" s="845" t="str">
        <f>'Translate &amp; Prices'!$B$149&amp;" "&amp;" "&amp;6</f>
        <v>Rámeček  6</v>
      </c>
      <c r="W5" s="845"/>
      <c r="X5" s="845"/>
      <c r="Y5" s="510"/>
      <c r="Z5" s="510"/>
      <c r="AA5" s="400"/>
      <c r="AB5" s="400"/>
      <c r="AC5" s="400"/>
      <c r="AD5" s="508"/>
      <c r="AE5" s="509"/>
      <c r="AF5" s="400"/>
      <c r="AG5" s="400"/>
      <c r="AH5" s="400"/>
      <c r="AI5" s="400"/>
      <c r="AJ5" s="400"/>
      <c r="AK5" s="400"/>
      <c r="AL5" s="400"/>
      <c r="AM5" s="400"/>
      <c r="AN5" s="400"/>
      <c r="AO5" s="400"/>
      <c r="AP5" s="400"/>
      <c r="AQ5" s="400"/>
      <c r="AR5" s="400"/>
      <c r="AS5" s="557"/>
      <c r="AT5" s="1229"/>
      <c r="AU5" s="1226"/>
      <c r="AV5" s="1226"/>
      <c r="AW5" s="1227"/>
      <c r="AX5" s="1227"/>
      <c r="AY5" s="1227"/>
      <c r="AZ5" s="1227"/>
      <c r="BA5" s="1227"/>
      <c r="BB5" s="1227"/>
      <c r="BC5" s="1227"/>
    </row>
    <row r="6" spans="1:65" s="1228" customFormat="1" ht="16.8" customHeight="1" thickTop="1" thickBot="1" x14ac:dyDescent="0.35">
      <c r="A6" s="510"/>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3"/>
      <c r="AB6" s="514"/>
      <c r="AC6" s="515"/>
      <c r="AD6" s="515"/>
      <c r="AE6" s="514"/>
      <c r="AF6" s="514"/>
      <c r="AG6" s="514"/>
      <c r="AH6" s="514"/>
      <c r="AI6" s="516"/>
      <c r="AJ6" s="517"/>
      <c r="AK6" s="514"/>
      <c r="AL6" s="514"/>
      <c r="AM6" s="515"/>
      <c r="AN6" s="515"/>
      <c r="AO6" s="514"/>
      <c r="AP6" s="518"/>
      <c r="AQ6" s="400"/>
      <c r="AR6" s="400"/>
      <c r="AS6" s="400"/>
      <c r="AT6" s="1240"/>
      <c r="AU6" s="1226"/>
      <c r="AV6" s="1226"/>
      <c r="AW6" s="1227"/>
      <c r="AX6" s="1227"/>
      <c r="AY6" s="1227"/>
      <c r="AZ6" s="1227"/>
      <c r="BA6" s="1227"/>
      <c r="BB6" s="1227"/>
      <c r="BC6" s="1227"/>
    </row>
    <row r="7" spans="1:65" s="1228" customFormat="1" ht="14.4" customHeight="1" thickBot="1" x14ac:dyDescent="0.35">
      <c r="A7" s="510"/>
      <c r="B7" s="849" t="str">
        <f>'Translate &amp; Prices'!$B$522</f>
        <v>Kombinace 2 profilů</v>
      </c>
      <c r="C7" s="850"/>
      <c r="D7" s="850"/>
      <c r="E7" s="850"/>
      <c r="F7" s="850"/>
      <c r="G7" s="855">
        <f>IF(H8='Translate &amp; Prices'!B18,'Translate &amp; Prices'!B567,IF(H8='Translate &amp; Prices'!B19,'Translate &amp; Prices'!B567,IF(H8='Translate &amp; Prices'!B20,'Translate &amp; Prices'!B567,0)))</f>
        <v>0</v>
      </c>
      <c r="H7" s="855"/>
      <c r="I7" s="855"/>
      <c r="J7" s="855"/>
      <c r="K7" s="855"/>
      <c r="L7" s="855"/>
      <c r="M7" s="855"/>
      <c r="N7" s="855"/>
      <c r="O7" s="855"/>
      <c r="P7" s="855"/>
      <c r="Q7" s="855"/>
      <c r="R7" s="856"/>
      <c r="S7" s="798" t="str">
        <f>'Translate &amp; Prices'!$B$552</f>
        <v>Upozornění</v>
      </c>
      <c r="T7" s="798"/>
      <c r="U7" s="798"/>
      <c r="V7" s="400"/>
      <c r="W7" s="510"/>
      <c r="X7" s="400"/>
      <c r="Y7" s="400"/>
      <c r="Z7" s="400"/>
      <c r="AA7" s="519"/>
      <c r="AB7" s="520"/>
      <c r="AC7" s="521"/>
      <c r="AD7" s="521"/>
      <c r="AE7" s="521"/>
      <c r="AF7" s="521"/>
      <c r="AG7" s="522"/>
      <c r="AH7" s="522"/>
      <c r="AI7" s="523"/>
      <c r="AJ7" s="800">
        <v>0</v>
      </c>
      <c r="AK7" s="521"/>
      <c r="AL7" s="521"/>
      <c r="AM7" s="521"/>
      <c r="AN7" s="521"/>
      <c r="AO7" s="524"/>
      <c r="AP7" s="525"/>
      <c r="AQ7" s="858">
        <f>IFERROR(IF($AU$17&gt;2,'Translate &amp; Prices'!$B$557,0),0)</f>
        <v>0</v>
      </c>
      <c r="AR7" s="400"/>
      <c r="AS7" s="400"/>
      <c r="AT7" s="1229"/>
      <c r="AU7" s="1241" t="e">
        <f>VLOOKUP(H8,kombinace_3!$A:$B,2,0)</f>
        <v>#N/A</v>
      </c>
      <c r="AV7" s="1230" t="e">
        <f>IF(AU7=2,"Široký","Úzký")</f>
        <v>#N/A</v>
      </c>
      <c r="AW7" s="1227"/>
      <c r="AX7" s="1227"/>
      <c r="AY7" s="1227"/>
      <c r="AZ7" s="1227"/>
      <c r="BA7" s="1227"/>
      <c r="BB7" s="1227"/>
      <c r="BC7" s="1227"/>
    </row>
    <row r="8" spans="1:65" s="1228" customFormat="1" ht="30" customHeight="1" x14ac:dyDescent="0.3">
      <c r="A8" s="559"/>
      <c r="B8" s="823" t="str">
        <f>'Translate &amp; Prices'!$B$152</f>
        <v>Typ profilu</v>
      </c>
      <c r="C8" s="824"/>
      <c r="D8" s="824"/>
      <c r="E8" s="824"/>
      <c r="F8" s="824"/>
      <c r="G8" s="550"/>
      <c r="H8" s="852"/>
      <c r="I8" s="852"/>
      <c r="J8" s="852"/>
      <c r="K8" s="852"/>
      <c r="L8" s="852"/>
      <c r="M8" s="852"/>
      <c r="N8" s="852"/>
      <c r="O8" s="852"/>
      <c r="P8" s="852"/>
      <c r="Q8" s="853"/>
      <c r="R8" s="598"/>
      <c r="S8" s="868">
        <f>IF(AU10&gt;0,'Translate &amp; Prices'!B283,IF(H8=kombinace_1!A51,'Translate &amp; Prices'!B558,IF(H8=kombinace_1!A53,'Translate &amp; Prices'!B559,IF(H8=kombinace_1!A55,'Translate &amp; Prices'!B560,0))))</f>
        <v>0</v>
      </c>
      <c r="T8" s="869"/>
      <c r="U8" s="869"/>
      <c r="V8" s="869"/>
      <c r="W8" s="869"/>
      <c r="X8" s="869"/>
      <c r="Y8" s="870"/>
      <c r="Z8" s="400"/>
      <c r="AA8" s="527"/>
      <c r="AB8" s="507"/>
      <c r="AC8" s="806" t="str">
        <f>'Translate &amp; Prices'!$B$222</f>
        <v>Vzdálenost od kraje</v>
      </c>
      <c r="AD8" s="806"/>
      <c r="AE8" s="806"/>
      <c r="AF8" s="806"/>
      <c r="AG8" s="806"/>
      <c r="AH8" s="400"/>
      <c r="AI8" s="508"/>
      <c r="AJ8" s="800"/>
      <c r="AK8" s="400"/>
      <c r="AL8" s="400"/>
      <c r="AM8" s="400"/>
      <c r="AN8" s="400"/>
      <c r="AO8" s="400"/>
      <c r="AP8" s="527"/>
      <c r="AQ8" s="858"/>
      <c r="AR8" s="400"/>
      <c r="AS8" s="400"/>
      <c r="AT8" s="1232" t="e">
        <f>VLOOKUP(VLOOKUP(H8,'Translate &amp; Prices'!B60:C69,2,0),'Translate &amp; Prices'!B6:C570,2,0)</f>
        <v>#N/A</v>
      </c>
      <c r="AU8" s="1230"/>
      <c r="AV8" s="1230"/>
      <c r="AW8" s="1227"/>
    </row>
    <row r="9" spans="1:65" s="1228" customFormat="1" ht="15.6" customHeight="1" x14ac:dyDescent="0.3">
      <c r="A9" s="559"/>
      <c r="B9" s="823">
        <f>IFERROR(IF(VLOOKUP(H8,kombinace_3!$A:$D,4,0)=1,'Translate &amp; Prices'!$B$523,0),0)</f>
        <v>0</v>
      </c>
      <c r="C9" s="824"/>
      <c r="D9" s="824"/>
      <c r="E9" s="824"/>
      <c r="F9" s="824"/>
      <c r="G9" s="550"/>
      <c r="H9" s="756"/>
      <c r="I9" s="756"/>
      <c r="J9" s="756"/>
      <c r="K9" s="756"/>
      <c r="L9" s="756"/>
      <c r="M9" s="756"/>
      <c r="N9" s="756"/>
      <c r="O9" s="756"/>
      <c r="P9" s="756"/>
      <c r="Q9" s="825"/>
      <c r="R9" s="510"/>
      <c r="S9" s="846"/>
      <c r="T9" s="847"/>
      <c r="U9" s="847"/>
      <c r="V9" s="847"/>
      <c r="W9" s="847"/>
      <c r="X9" s="847"/>
      <c r="Y9" s="848"/>
      <c r="Z9" s="510"/>
      <c r="AA9" s="528"/>
      <c r="AB9" s="507"/>
      <c r="AC9" s="821">
        <v>0</v>
      </c>
      <c r="AD9" s="821"/>
      <c r="AE9" s="526"/>
      <c r="AF9" s="830" t="str">
        <f>('Translate &amp; Prices'!$B$528)&amp;" "&amp;H26&amp;" "&amp;"mm"</f>
        <v>Rozteč  mm</v>
      </c>
      <c r="AG9" s="830"/>
      <c r="AH9" s="830"/>
      <c r="AI9" s="830"/>
      <c r="AJ9" s="830"/>
      <c r="AK9" s="830"/>
      <c r="AL9" s="400"/>
      <c r="AM9" s="400"/>
      <c r="AN9" s="400"/>
      <c r="AO9" s="400"/>
      <c r="AP9" s="528"/>
      <c r="AQ9" s="858"/>
      <c r="AR9" s="400"/>
      <c r="AS9" s="400"/>
      <c r="AT9" s="1229">
        <f>VLOOKUP(VLOOKUP(H8,'Translate &amp; Prices'!B60:C651,2,0),'Translate &amp; Prices'!B3:D567,3,0)</f>
        <v>0</v>
      </c>
      <c r="AU9" s="1241" t="e">
        <f>VLOOKUP(H12,kombinace_3!$DP:$DQ,2,0)</f>
        <v>#N/A</v>
      </c>
      <c r="AV9" s="1230"/>
      <c r="AW9" s="1227"/>
    </row>
    <row r="10" spans="1:65" s="1228" customFormat="1" ht="18" customHeight="1" x14ac:dyDescent="0.3">
      <c r="A10" s="559"/>
      <c r="B10" s="562"/>
      <c r="C10" s="551"/>
      <c r="D10" s="551"/>
      <c r="E10" s="551"/>
      <c r="F10" s="551"/>
      <c r="G10" s="551"/>
      <c r="H10" s="871" t="str">
        <f>'Translate &amp; Prices'!$B$538</f>
        <v>Horizontálně</v>
      </c>
      <c r="I10" s="871"/>
      <c r="J10" s="871"/>
      <c r="K10" s="871"/>
      <c r="L10" s="873"/>
      <c r="M10" s="871" t="str">
        <f>'Translate &amp; Prices'!$B$539</f>
        <v>Vertikálně</v>
      </c>
      <c r="N10" s="871"/>
      <c r="O10" s="871"/>
      <c r="P10" s="871"/>
      <c r="Q10" s="872"/>
      <c r="R10" s="559"/>
      <c r="S10" s="846">
        <f>IF(AU10&gt;0,'Translate &amp; Prices'!B551,0)</f>
        <v>0</v>
      </c>
      <c r="T10" s="847"/>
      <c r="U10" s="847"/>
      <c r="V10" s="847"/>
      <c r="W10" s="847"/>
      <c r="X10" s="847"/>
      <c r="Y10" s="848"/>
      <c r="Z10" s="510"/>
      <c r="AA10" s="528"/>
      <c r="AB10" s="507"/>
      <c r="AC10" s="507"/>
      <c r="AD10" s="802">
        <v>0</v>
      </c>
      <c r="AE10" s="804" t="str">
        <f>'Translate &amp; Prices'!$B$222</f>
        <v>Vzdálenost od kraje</v>
      </c>
      <c r="AF10" s="400"/>
      <c r="AG10" s="400"/>
      <c r="AH10" s="400"/>
      <c r="AI10" s="508"/>
      <c r="AJ10" s="509"/>
      <c r="AK10" s="400"/>
      <c r="AL10" s="400"/>
      <c r="AM10" s="400"/>
      <c r="AN10" s="400"/>
      <c r="AO10" s="400"/>
      <c r="AP10" s="528"/>
      <c r="AQ10" s="858"/>
      <c r="AR10" s="400"/>
      <c r="AS10" s="400"/>
      <c r="AT10" s="1232" t="s">
        <v>2429</v>
      </c>
      <c r="AU10" s="1230">
        <f>IFERROR(VLOOKUP(H9,kombinace_3!$BY$13:$BZ$16,2,0),0)</f>
        <v>0</v>
      </c>
      <c r="AV10" s="1230"/>
      <c r="AW10" s="1227"/>
    </row>
    <row r="11" spans="1:65" s="1228" customFormat="1" ht="18" customHeight="1" x14ac:dyDescent="0.3">
      <c r="A11" s="559"/>
      <c r="B11" s="823" t="str">
        <f>('Translate &amp; Prices'!$B$523)&amp;" "&amp;"("&amp;'Translate &amp; Prices'!$B$154&amp;")"</f>
        <v>Dělící lišty (Počet kusů)</v>
      </c>
      <c r="C11" s="824"/>
      <c r="D11" s="824"/>
      <c r="E11" s="824"/>
      <c r="F11" s="824"/>
      <c r="G11" s="550"/>
      <c r="H11" s="756"/>
      <c r="I11" s="756"/>
      <c r="J11" s="756"/>
      <c r="K11" s="756"/>
      <c r="L11" s="863"/>
      <c r="M11" s="756"/>
      <c r="N11" s="756"/>
      <c r="O11" s="756"/>
      <c r="P11" s="756"/>
      <c r="Q11" s="825"/>
      <c r="R11" s="559"/>
      <c r="S11" s="846"/>
      <c r="T11" s="847"/>
      <c r="U11" s="847"/>
      <c r="V11" s="847"/>
      <c r="W11" s="847"/>
      <c r="X11" s="847"/>
      <c r="Y11" s="848"/>
      <c r="Z11" s="510"/>
      <c r="AA11" s="530"/>
      <c r="AB11" s="531"/>
      <c r="AC11" s="400"/>
      <c r="AD11" s="802"/>
      <c r="AE11" s="804"/>
      <c r="AF11" s="400"/>
      <c r="AG11" s="400"/>
      <c r="AH11" s="400"/>
      <c r="AI11" s="508"/>
      <c r="AJ11" s="509"/>
      <c r="AK11" s="400"/>
      <c r="AL11" s="400"/>
      <c r="AM11" s="400"/>
      <c r="AN11" s="400"/>
      <c r="AO11" s="532"/>
      <c r="AP11" s="525"/>
      <c r="AQ11" s="858"/>
      <c r="AR11" s="400"/>
      <c r="AS11" s="400"/>
      <c r="AT11" s="1242">
        <f>IFERROR(IF(kombinace_3!$H$1=TRUE,BA2+AY3,0),0)</f>
        <v>0</v>
      </c>
      <c r="AU11" s="1241"/>
      <c r="AV11" s="1230"/>
      <c r="AW11" s="1227"/>
    </row>
    <row r="12" spans="1:65" s="1228" customFormat="1" ht="18" customHeight="1" x14ac:dyDescent="0.3">
      <c r="A12" s="559"/>
      <c r="B12" s="823" t="str">
        <f>'Translate &amp; Prices'!$B$238</f>
        <v>Typ kování</v>
      </c>
      <c r="C12" s="824"/>
      <c r="D12" s="824"/>
      <c r="E12" s="824"/>
      <c r="F12" s="824"/>
      <c r="G12" s="550"/>
      <c r="H12" s="756"/>
      <c r="I12" s="756"/>
      <c r="J12" s="756"/>
      <c r="K12" s="756"/>
      <c r="L12" s="756"/>
      <c r="M12" s="756"/>
      <c r="N12" s="756"/>
      <c r="O12" s="756"/>
      <c r="P12" s="756"/>
      <c r="Q12" s="825"/>
      <c r="R12" s="559"/>
      <c r="S12" s="846"/>
      <c r="T12" s="847"/>
      <c r="U12" s="847"/>
      <c r="V12" s="847"/>
      <c r="W12" s="847"/>
      <c r="X12" s="847"/>
      <c r="Y12" s="848"/>
      <c r="Z12" s="510"/>
      <c r="AA12" s="530"/>
      <c r="AB12" s="531"/>
      <c r="AC12" s="400"/>
      <c r="AD12" s="802"/>
      <c r="AE12" s="804"/>
      <c r="AF12" s="400"/>
      <c r="AG12" s="400"/>
      <c r="AH12" s="400"/>
      <c r="AI12" s="508"/>
      <c r="AJ12" s="509"/>
      <c r="AK12" s="400"/>
      <c r="AL12" s="400"/>
      <c r="AM12" s="400"/>
      <c r="AN12" s="400"/>
      <c r="AO12" s="532"/>
      <c r="AP12" s="525"/>
      <c r="AQ12" s="858"/>
      <c r="AR12" s="400"/>
      <c r="AS12" s="400"/>
      <c r="AT12" s="1233"/>
      <c r="AU12" s="1230"/>
      <c r="AV12" s="1230"/>
      <c r="AW12" s="1227"/>
    </row>
    <row r="13" spans="1:65" s="1228" customFormat="1" ht="18" customHeight="1" x14ac:dyDescent="0.3">
      <c r="A13" s="559"/>
      <c r="B13" s="823" t="str">
        <f>'Translate &amp; Prices'!$B$524</f>
        <v>Značka kování</v>
      </c>
      <c r="C13" s="824"/>
      <c r="D13" s="824"/>
      <c r="E13" s="824"/>
      <c r="F13" s="824"/>
      <c r="G13" s="550"/>
      <c r="H13" s="756"/>
      <c r="I13" s="756"/>
      <c r="J13" s="756"/>
      <c r="K13" s="756"/>
      <c r="L13" s="756"/>
      <c r="M13" s="756"/>
      <c r="N13" s="756"/>
      <c r="O13" s="756"/>
      <c r="P13" s="756"/>
      <c r="Q13" s="825"/>
      <c r="R13" s="559"/>
      <c r="S13" s="846">
        <f>IF(H19&gt;=2,'Translate &amp; Prices'!B555,0)</f>
        <v>0</v>
      </c>
      <c r="T13" s="847"/>
      <c r="U13" s="847"/>
      <c r="V13" s="847"/>
      <c r="W13" s="847"/>
      <c r="X13" s="847"/>
      <c r="Y13" s="848"/>
      <c r="Z13" s="510"/>
      <c r="AA13" s="530"/>
      <c r="AB13" s="531"/>
      <c r="AC13" s="507"/>
      <c r="AD13" s="526"/>
      <c r="AE13" s="804"/>
      <c r="AF13" s="400"/>
      <c r="AG13" s="400"/>
      <c r="AH13" s="400"/>
      <c r="AI13" s="508"/>
      <c r="AJ13" s="509"/>
      <c r="AK13" s="400"/>
      <c r="AL13" s="400"/>
      <c r="AM13" s="400"/>
      <c r="AN13" s="400"/>
      <c r="AO13" s="532"/>
      <c r="AP13" s="525"/>
      <c r="AQ13" s="858"/>
      <c r="AR13" s="529"/>
      <c r="AS13" s="400"/>
      <c r="AT13" s="1243">
        <f>IFERROR((((AI30/1000)+(AR14/1000))*2)*(VLOOKUP(H8,'Translate &amp; Prices'!B6:C67,2,0))+(VLOOKUP(H8,'Translate &amp; Prices'!B6:D67,3,0)),0)</f>
        <v>0</v>
      </c>
      <c r="AU13" s="1241"/>
      <c r="AV13" s="1230"/>
      <c r="AW13" s="1227"/>
    </row>
    <row r="14" spans="1:65" s="1228" customFormat="1" ht="18" customHeight="1" x14ac:dyDescent="0.3">
      <c r="A14" s="559"/>
      <c r="B14" s="823">
        <f>IFERROR(IF(H12='Translate &amp; Prices'!B531,'Translate &amp; Prices'!$B$526,0),0)</f>
        <v>0</v>
      </c>
      <c r="C14" s="824"/>
      <c r="D14" s="824"/>
      <c r="E14" s="824"/>
      <c r="F14" s="824"/>
      <c r="G14" s="550"/>
      <c r="H14" s="756"/>
      <c r="I14" s="756"/>
      <c r="J14" s="756"/>
      <c r="K14" s="756"/>
      <c r="L14" s="756"/>
      <c r="M14" s="756"/>
      <c r="N14" s="756"/>
      <c r="O14" s="756"/>
      <c r="P14" s="756"/>
      <c r="Q14" s="825"/>
      <c r="R14" s="559"/>
      <c r="S14" s="846"/>
      <c r="T14" s="847"/>
      <c r="U14" s="847"/>
      <c r="V14" s="847"/>
      <c r="W14" s="847"/>
      <c r="X14" s="847"/>
      <c r="Y14" s="848"/>
      <c r="Z14" s="510"/>
      <c r="AA14" s="530"/>
      <c r="AB14" s="531"/>
      <c r="AC14" s="507"/>
      <c r="AD14" s="851" t="str">
        <f>('Translate &amp; Prices'!$B$528)&amp;" "&amp;H26&amp;" "&amp;"mm"</f>
        <v>Rozteč  mm</v>
      </c>
      <c r="AE14" s="804"/>
      <c r="AF14" s="400"/>
      <c r="AG14" s="400"/>
      <c r="AH14" s="400"/>
      <c r="AI14" s="508"/>
      <c r="AJ14" s="509"/>
      <c r="AK14" s="400"/>
      <c r="AL14" s="400"/>
      <c r="AM14" s="799" t="str">
        <f>('Translate &amp; Prices'!$B$528)&amp;" "&amp;H26&amp;" "&amp;"mm"</f>
        <v>Rozteč  mm</v>
      </c>
      <c r="AN14" s="400"/>
      <c r="AO14" s="533"/>
      <c r="AP14" s="525"/>
      <c r="AQ14" s="858"/>
      <c r="AR14" s="859"/>
      <c r="AS14" s="400"/>
      <c r="AT14" s="1242"/>
      <c r="AU14" s="1244"/>
      <c r="AV14" s="1230"/>
      <c r="AW14" s="1227"/>
    </row>
    <row r="15" spans="1:65" s="1228" customFormat="1" ht="18" customHeight="1" x14ac:dyDescent="0.3">
      <c r="A15" s="559"/>
      <c r="B15" s="823" t="str">
        <f>'Translate &amp; Prices'!$B$525</f>
        <v>Varianta kování</v>
      </c>
      <c r="C15" s="824"/>
      <c r="D15" s="824"/>
      <c r="E15" s="824"/>
      <c r="F15" s="824"/>
      <c r="G15" s="550"/>
      <c r="H15" s="837"/>
      <c r="I15" s="837"/>
      <c r="J15" s="837"/>
      <c r="K15" s="837"/>
      <c r="L15" s="837"/>
      <c r="M15" s="837"/>
      <c r="N15" s="837"/>
      <c r="O15" s="837"/>
      <c r="P15" s="837"/>
      <c r="Q15" s="838"/>
      <c r="R15" s="559"/>
      <c r="S15" s="846"/>
      <c r="T15" s="847"/>
      <c r="U15" s="847"/>
      <c r="V15" s="847"/>
      <c r="W15" s="847"/>
      <c r="X15" s="847"/>
      <c r="Y15" s="848"/>
      <c r="Z15" s="510"/>
      <c r="AA15" s="530"/>
      <c r="AB15" s="534"/>
      <c r="AC15" s="400"/>
      <c r="AD15" s="851"/>
      <c r="AE15" s="804"/>
      <c r="AF15" s="400"/>
      <c r="AG15" s="400"/>
      <c r="AH15" s="400"/>
      <c r="AI15" s="508"/>
      <c r="AJ15" s="509"/>
      <c r="AK15" s="400"/>
      <c r="AL15" s="400"/>
      <c r="AM15" s="799"/>
      <c r="AN15" s="400"/>
      <c r="AO15" s="533"/>
      <c r="AP15" s="525"/>
      <c r="AQ15" s="858"/>
      <c r="AR15" s="859"/>
      <c r="AS15" s="400"/>
      <c r="AT15" s="1242">
        <f>((BD3+BI3)*2)*'Translate &amp; Prices'!C80</f>
        <v>0</v>
      </c>
      <c r="AU15" s="1244"/>
      <c r="AV15" s="1230"/>
      <c r="AW15" s="1227"/>
    </row>
    <row r="16" spans="1:65" s="1228" customFormat="1" ht="18" customHeight="1" x14ac:dyDescent="0.3">
      <c r="A16" s="559"/>
      <c r="B16" s="843" t="str">
        <f>IF(H15=kombinace_1!AB40,'Translate &amp; Prices'!$B$204,IF(H15=kombinace_1!AB41,'Translate &amp; Prices'!$B$204,'Translate &amp; Prices'!$B$198))</f>
        <v>Výběr pozice rámečku</v>
      </c>
      <c r="C16" s="835"/>
      <c r="D16" s="835"/>
      <c r="E16" s="835"/>
      <c r="F16" s="854"/>
      <c r="G16" s="854"/>
      <c r="H16" s="854"/>
      <c r="I16" s="854"/>
      <c r="J16" s="835" t="str">
        <f>IF(H15=kombinace_1!AB40,'Translate &amp; Prices'!$B$206,IF(H15=kombinace_1!AB41,'Translate &amp; Prices'!$B$206,'Translate &amp; Prices'!$B$212))</f>
        <v>Provedení druhého dvířka</v>
      </c>
      <c r="K16" s="835"/>
      <c r="L16" s="835"/>
      <c r="M16" s="835"/>
      <c r="N16" s="833"/>
      <c r="O16" s="833"/>
      <c r="P16" s="833"/>
      <c r="Q16" s="834"/>
      <c r="R16" s="559"/>
      <c r="S16" s="846"/>
      <c r="T16" s="847"/>
      <c r="U16" s="847"/>
      <c r="V16" s="847"/>
      <c r="W16" s="847"/>
      <c r="X16" s="847"/>
      <c r="Y16" s="848"/>
      <c r="Z16" s="510"/>
      <c r="AA16" s="530"/>
      <c r="AB16" s="534"/>
      <c r="AC16" s="507"/>
      <c r="AD16" s="851"/>
      <c r="AE16" s="804"/>
      <c r="AF16" s="400"/>
      <c r="AG16" s="400"/>
      <c r="AH16" s="400"/>
      <c r="AI16" s="508"/>
      <c r="AJ16" s="509"/>
      <c r="AK16" s="400"/>
      <c r="AL16" s="400"/>
      <c r="AM16" s="799"/>
      <c r="AN16" s="400"/>
      <c r="AO16" s="533"/>
      <c r="AP16" s="525"/>
      <c r="AQ16" s="858"/>
      <c r="AR16" s="859"/>
      <c r="AS16" s="400"/>
      <c r="AT16" s="1242"/>
      <c r="AU16" s="1244"/>
      <c r="AV16" s="1230"/>
      <c r="AW16" s="1227"/>
    </row>
    <row r="17" spans="1:49" s="1228" customFormat="1" ht="18" customHeight="1" x14ac:dyDescent="0.3">
      <c r="A17" s="559"/>
      <c r="B17" s="823">
        <f>IF(H12='Translate &amp; Prices'!B531,"Umístění závěsů",IF(H15=kombinace_1!AB8,'Translate &amp; Prices'!B264,0))</f>
        <v>0</v>
      </c>
      <c r="C17" s="824"/>
      <c r="D17" s="824"/>
      <c r="E17" s="824"/>
      <c r="F17" s="824"/>
      <c r="G17" s="550"/>
      <c r="H17" s="756"/>
      <c r="I17" s="756"/>
      <c r="J17" s="756"/>
      <c r="K17" s="756"/>
      <c r="L17" s="756"/>
      <c r="M17" s="756"/>
      <c r="N17" s="756"/>
      <c r="O17" s="756"/>
      <c r="P17" s="756"/>
      <c r="Q17" s="825"/>
      <c r="R17" s="559"/>
      <c r="S17" s="846"/>
      <c r="T17" s="847"/>
      <c r="U17" s="847"/>
      <c r="V17" s="847"/>
      <c r="W17" s="847"/>
      <c r="X17" s="847"/>
      <c r="Y17" s="848"/>
      <c r="Z17" s="510"/>
      <c r="AA17" s="530"/>
      <c r="AB17" s="534"/>
      <c r="AC17" s="507"/>
      <c r="AD17" s="851"/>
      <c r="AE17" s="400"/>
      <c r="AF17" s="400"/>
      <c r="AG17" s="400"/>
      <c r="AH17" s="400"/>
      <c r="AI17" s="508"/>
      <c r="AJ17" s="509"/>
      <c r="AK17" s="400"/>
      <c r="AL17" s="400"/>
      <c r="AM17" s="799"/>
      <c r="AN17" s="400"/>
      <c r="AO17" s="533"/>
      <c r="AP17" s="525"/>
      <c r="AQ17" s="858"/>
      <c r="AR17" s="859"/>
      <c r="AS17" s="400"/>
      <c r="AT17" s="1242">
        <f>IF(AU10=1,BD3*'Translate &amp; Prices'!C53,IF(AU10=2,BI3*'Translate &amp; Prices'!C53,IF(AU10=3,(BD3+BI3)*'Translate &amp; Prices'!C53,IF(AU10=0,0))))</f>
        <v>0</v>
      </c>
      <c r="AU17" s="1245" t="e">
        <f>VLOOKUP(H17,kombinace_3!$BY:$BZ,2,0)</f>
        <v>#N/A</v>
      </c>
      <c r="AV17" s="1230"/>
      <c r="AW17" s="1227"/>
    </row>
    <row r="18" spans="1:49" s="1228" customFormat="1" ht="18" customHeight="1" x14ac:dyDescent="0.3">
      <c r="A18" s="559"/>
      <c r="B18" s="823">
        <f>IFERROR(IF(VLOOKUP(H15,kombinace_3!CD:CE,2,0)=1,'Translate &amp; Prices'!$B$527,0),0)</f>
        <v>0</v>
      </c>
      <c r="C18" s="824"/>
      <c r="D18" s="824"/>
      <c r="E18" s="824"/>
      <c r="F18" s="824"/>
      <c r="G18" s="550"/>
      <c r="H18" s="756"/>
      <c r="I18" s="756"/>
      <c r="J18" s="756"/>
      <c r="K18" s="756"/>
      <c r="L18" s="756"/>
      <c r="M18" s="756"/>
      <c r="N18" s="756"/>
      <c r="O18" s="756"/>
      <c r="P18" s="756"/>
      <c r="Q18" s="825"/>
      <c r="R18" s="559"/>
      <c r="S18" s="846">
        <f>IF(H27&gt;"",'Translate &amp; Prices'!B556,0)</f>
        <v>0</v>
      </c>
      <c r="T18" s="847"/>
      <c r="U18" s="847"/>
      <c r="V18" s="847"/>
      <c r="W18" s="847"/>
      <c r="X18" s="847"/>
      <c r="Y18" s="848"/>
      <c r="Z18" s="510"/>
      <c r="AA18" s="530"/>
      <c r="AB18" s="534"/>
      <c r="AC18" s="507"/>
      <c r="AD18" s="851"/>
      <c r="AE18" s="400"/>
      <c r="AF18" s="400"/>
      <c r="AG18" s="400"/>
      <c r="AH18" s="400"/>
      <c r="AI18" s="508"/>
      <c r="AJ18" s="509"/>
      <c r="AK18" s="400"/>
      <c r="AL18" s="400"/>
      <c r="AM18" s="799"/>
      <c r="AN18" s="400"/>
      <c r="AO18" s="533"/>
      <c r="AP18" s="525"/>
      <c r="AQ18" s="858"/>
      <c r="AR18" s="859"/>
      <c r="AS18" s="400"/>
      <c r="AT18" s="1242"/>
      <c r="AU18" s="1244"/>
      <c r="AV18" s="1230"/>
      <c r="AW18" s="1227"/>
    </row>
    <row r="19" spans="1:49" s="1228" customFormat="1" ht="18" customHeight="1" x14ac:dyDescent="0.3">
      <c r="A19" s="559"/>
      <c r="B19" s="823">
        <f>IFERROR(IF(H12='Translate &amp; Prices'!B531,'Translate &amp; Prices'!$B$203,IF(VLOOKUP(H15,kombinace_3!CD:CE,2,0)=1,'Translate &amp; Prices'!$B$203,)),0)</f>
        <v>0</v>
      </c>
      <c r="C19" s="824"/>
      <c r="D19" s="824"/>
      <c r="E19" s="824"/>
      <c r="F19" s="824"/>
      <c r="G19" s="550"/>
      <c r="H19" s="756"/>
      <c r="I19" s="756"/>
      <c r="J19" s="756"/>
      <c r="K19" s="756"/>
      <c r="L19" s="756"/>
      <c r="M19" s="756"/>
      <c r="N19" s="756"/>
      <c r="O19" s="756"/>
      <c r="P19" s="756"/>
      <c r="Q19" s="825"/>
      <c r="R19" s="559"/>
      <c r="S19" s="846"/>
      <c r="T19" s="847"/>
      <c r="U19" s="847"/>
      <c r="V19" s="847"/>
      <c r="W19" s="847"/>
      <c r="X19" s="847"/>
      <c r="Y19" s="848"/>
      <c r="Z19" s="510"/>
      <c r="AA19" s="528"/>
      <c r="AB19" s="803">
        <v>0</v>
      </c>
      <c r="AC19" s="803"/>
      <c r="AD19" s="851"/>
      <c r="AE19" s="400"/>
      <c r="AF19" s="400"/>
      <c r="AG19" s="400"/>
      <c r="AH19" s="400"/>
      <c r="AI19" s="508"/>
      <c r="AJ19" s="509"/>
      <c r="AK19" s="400"/>
      <c r="AL19" s="807" t="str">
        <f>'Translate &amp; Prices'!$B$222</f>
        <v>Vzdálenost od kraje</v>
      </c>
      <c r="AM19" s="799"/>
      <c r="AN19" s="803">
        <v>0</v>
      </c>
      <c r="AO19" s="803"/>
      <c r="AP19" s="527"/>
      <c r="AQ19" s="858"/>
      <c r="AR19" s="805" t="str">
        <f>'Translate &amp; Prices'!$B$156</f>
        <v>Výška</v>
      </c>
      <c r="AS19" s="400"/>
      <c r="AT19" s="1242"/>
      <c r="AU19" s="1244">
        <f>IFERROR(VLOOKUP(H15,kombinace_3!$CD:$CF,3,0),0)</f>
        <v>0</v>
      </c>
      <c r="AV19" s="1230"/>
      <c r="AW19" s="1227"/>
    </row>
    <row r="20" spans="1:49" s="1228" customFormat="1" ht="18" customHeight="1" x14ac:dyDescent="0.3">
      <c r="A20" s="559"/>
      <c r="B20" s="827">
        <f>IFERROR('Translate &amp; Prices'!$B$222&amp;" "&amp;(VLOOKUP(H17,kombinace_1!$BY$32:$CA$35,2,0)),0)</f>
        <v>0</v>
      </c>
      <c r="C20" s="828"/>
      <c r="D20" s="828"/>
      <c r="E20" s="828"/>
      <c r="F20" s="829">
        <v>100</v>
      </c>
      <c r="G20" s="829"/>
      <c r="H20" s="829"/>
      <c r="I20" s="829"/>
      <c r="J20" s="828">
        <f>IFERROR('Translate &amp; Prices'!$B$222&amp;" "&amp;(VLOOKUP(H17,kombinace_1!$BY$32:$CA$35,3,0)),0)</f>
        <v>0</v>
      </c>
      <c r="K20" s="828"/>
      <c r="L20" s="828"/>
      <c r="M20" s="828"/>
      <c r="N20" s="829">
        <v>100</v>
      </c>
      <c r="O20" s="829"/>
      <c r="P20" s="829"/>
      <c r="Q20" s="839"/>
      <c r="R20" s="559"/>
      <c r="S20" s="846"/>
      <c r="T20" s="847"/>
      <c r="U20" s="847"/>
      <c r="V20" s="847"/>
      <c r="W20" s="847"/>
      <c r="X20" s="847"/>
      <c r="Y20" s="848"/>
      <c r="Z20" s="510"/>
      <c r="AA20" s="530"/>
      <c r="AB20" s="531"/>
      <c r="AC20" s="507"/>
      <c r="AD20" s="851"/>
      <c r="AE20" s="400"/>
      <c r="AF20" s="400"/>
      <c r="AG20" s="400"/>
      <c r="AH20" s="400"/>
      <c r="AI20" s="508"/>
      <c r="AJ20" s="509"/>
      <c r="AK20" s="400"/>
      <c r="AL20" s="807"/>
      <c r="AM20" s="799"/>
      <c r="AN20" s="400"/>
      <c r="AO20" s="533"/>
      <c r="AP20" s="525"/>
      <c r="AQ20" s="858"/>
      <c r="AR20" s="805"/>
      <c r="AS20" s="400"/>
      <c r="AT20" s="1242"/>
      <c r="AU20" s="1244"/>
      <c r="AV20" s="1230"/>
      <c r="AW20" s="1227"/>
    </row>
    <row r="21" spans="1:49" s="1228" customFormat="1" ht="18" customHeight="1" x14ac:dyDescent="0.3">
      <c r="A21" s="559"/>
      <c r="B21" s="823" t="str">
        <f>'Translate &amp; Prices'!$B$153</f>
        <v>Typ skla</v>
      </c>
      <c r="C21" s="824"/>
      <c r="D21" s="824"/>
      <c r="E21" s="824"/>
      <c r="F21" s="824"/>
      <c r="G21" s="550"/>
      <c r="H21" s="775" t="str">
        <f>'Translate &amp; Prices'!$B$85</f>
        <v>Bez úprav</v>
      </c>
      <c r="I21" s="776"/>
      <c r="J21" s="776"/>
      <c r="K21" s="770" t="str">
        <f>'Translate &amp; Prices'!$B$83</f>
        <v>Kalené</v>
      </c>
      <c r="L21" s="770"/>
      <c r="M21" s="770"/>
      <c r="N21" s="770" t="str">
        <f>'Translate &amp; Prices'!$B$84</f>
        <v>Folie</v>
      </c>
      <c r="O21" s="770"/>
      <c r="P21" s="770"/>
      <c r="Q21" s="840"/>
      <c r="R21" s="559"/>
      <c r="S21" s="846"/>
      <c r="T21" s="847"/>
      <c r="U21" s="847"/>
      <c r="V21" s="847"/>
      <c r="W21" s="847"/>
      <c r="X21" s="847"/>
      <c r="Y21" s="848"/>
      <c r="Z21" s="510"/>
      <c r="AA21" s="530"/>
      <c r="AB21" s="531"/>
      <c r="AC21" s="400"/>
      <c r="AD21" s="851"/>
      <c r="AE21" s="400"/>
      <c r="AF21" s="400"/>
      <c r="AG21" s="400"/>
      <c r="AH21" s="400"/>
      <c r="AI21" s="508"/>
      <c r="AJ21" s="509"/>
      <c r="AK21" s="400"/>
      <c r="AL21" s="807"/>
      <c r="AM21" s="799"/>
      <c r="AN21" s="400"/>
      <c r="AO21" s="532"/>
      <c r="AP21" s="525"/>
      <c r="AQ21" s="858"/>
      <c r="AR21" s="805"/>
      <c r="AS21" s="400"/>
      <c r="AT21" s="1242"/>
      <c r="AU21" s="1244"/>
      <c r="AV21" s="1230"/>
      <c r="AW21" s="1227"/>
    </row>
    <row r="22" spans="1:49" s="1228" customFormat="1" ht="18" customHeight="1" x14ac:dyDescent="0.3">
      <c r="A22" s="559"/>
      <c r="B22" s="562"/>
      <c r="C22" s="551"/>
      <c r="D22" s="551"/>
      <c r="E22" s="551"/>
      <c r="F22" s="551"/>
      <c r="G22" s="551"/>
      <c r="H22" s="775"/>
      <c r="I22" s="776"/>
      <c r="J22" s="776"/>
      <c r="K22" s="770"/>
      <c r="L22" s="770"/>
      <c r="M22" s="770"/>
      <c r="N22" s="770"/>
      <c r="O22" s="770"/>
      <c r="P22" s="770"/>
      <c r="Q22" s="840"/>
      <c r="R22" s="559"/>
      <c r="S22" s="846"/>
      <c r="T22" s="847"/>
      <c r="U22" s="847"/>
      <c r="V22" s="847"/>
      <c r="W22" s="847"/>
      <c r="X22" s="847"/>
      <c r="Y22" s="848"/>
      <c r="Z22" s="510"/>
      <c r="AA22" s="530"/>
      <c r="AB22" s="531"/>
      <c r="AC22" s="400"/>
      <c r="AD22" s="400"/>
      <c r="AE22" s="400"/>
      <c r="AF22" s="400"/>
      <c r="AG22" s="400"/>
      <c r="AH22" s="400"/>
      <c r="AI22" s="508"/>
      <c r="AJ22" s="509"/>
      <c r="AK22" s="400"/>
      <c r="AL22" s="807"/>
      <c r="AM22" s="526"/>
      <c r="AN22" s="400"/>
      <c r="AO22" s="532"/>
      <c r="AP22" s="525"/>
      <c r="AQ22" s="858"/>
      <c r="AR22" s="805"/>
      <c r="AS22" s="400"/>
      <c r="AT22" s="1242"/>
      <c r="AU22" s="1244"/>
      <c r="AV22" s="1230"/>
      <c r="AW22" s="1227"/>
    </row>
    <row r="23" spans="1:49" s="1228" customFormat="1" ht="18" customHeight="1" x14ac:dyDescent="0.3">
      <c r="A23" s="559"/>
      <c r="B23" s="562"/>
      <c r="C23" s="551"/>
      <c r="D23" s="551"/>
      <c r="E23" s="551"/>
      <c r="F23" s="551"/>
      <c r="G23" s="551"/>
      <c r="H23" s="771" t="str">
        <f>"↥↥"&amp;"   "&amp;'Translate &amp; Prices'!$B$553&amp;" "&amp;B25&amp;"   "&amp;"↥↥"</f>
        <v>↥↥   Již neměnit po tom co vyberete Typ skla   ↥↥</v>
      </c>
      <c r="I23" s="771"/>
      <c r="J23" s="771"/>
      <c r="K23" s="771"/>
      <c r="L23" s="771"/>
      <c r="M23" s="771"/>
      <c r="N23" s="771"/>
      <c r="O23" s="771"/>
      <c r="P23" s="771"/>
      <c r="Q23" s="844"/>
      <c r="R23" s="559"/>
      <c r="S23" s="865"/>
      <c r="T23" s="866"/>
      <c r="U23" s="866"/>
      <c r="V23" s="866"/>
      <c r="W23" s="866"/>
      <c r="X23" s="866"/>
      <c r="Y23" s="867"/>
      <c r="Z23" s="510"/>
      <c r="AA23" s="530"/>
      <c r="AB23" s="531"/>
      <c r="AC23" s="507"/>
      <c r="AD23" s="400"/>
      <c r="AE23" s="400"/>
      <c r="AF23" s="400"/>
      <c r="AG23" s="400"/>
      <c r="AH23" s="400"/>
      <c r="AI23" s="508"/>
      <c r="AJ23" s="509"/>
      <c r="AK23" s="400"/>
      <c r="AL23" s="807"/>
      <c r="AM23" s="800">
        <v>0</v>
      </c>
      <c r="AN23" s="400"/>
      <c r="AO23" s="532"/>
      <c r="AP23" s="525"/>
      <c r="AQ23" s="858"/>
      <c r="AR23" s="805"/>
      <c r="AS23" s="400"/>
      <c r="AT23" s="1242"/>
      <c r="AU23" s="1244" t="e">
        <f>VLOOKUP(H17,kombinace_3!$BY:$BZ,2,0)</f>
        <v>#N/A</v>
      </c>
      <c r="AV23" s="1230"/>
      <c r="AW23" s="1227"/>
    </row>
    <row r="24" spans="1:49" s="1228" customFormat="1" ht="18" customHeight="1" x14ac:dyDescent="0.3">
      <c r="A24" s="559"/>
      <c r="B24" s="823" t="str">
        <f>'Translate &amp; Prices'!$B$542</f>
        <v>Typ folie</v>
      </c>
      <c r="C24" s="824"/>
      <c r="D24" s="824"/>
      <c r="E24" s="824"/>
      <c r="F24" s="824"/>
      <c r="G24" s="550"/>
      <c r="H24" s="756"/>
      <c r="I24" s="756"/>
      <c r="J24" s="756"/>
      <c r="K24" s="756"/>
      <c r="L24" s="756"/>
      <c r="M24" s="756"/>
      <c r="N24" s="756"/>
      <c r="O24" s="756"/>
      <c r="P24" s="756"/>
      <c r="Q24" s="825"/>
      <c r="R24" s="559"/>
      <c r="S24" s="798" t="str">
        <f>'Translate &amp; Prices'!$B$157</f>
        <v>Poznámky</v>
      </c>
      <c r="T24" s="798"/>
      <c r="U24" s="798"/>
      <c r="V24" s="570"/>
      <c r="W24" s="570"/>
      <c r="X24" s="570"/>
      <c r="Y24" s="570"/>
      <c r="Z24" s="510"/>
      <c r="AA24" s="530"/>
      <c r="AB24" s="531"/>
      <c r="AC24" s="822" t="str">
        <f>'Translate &amp; Prices'!$B$222</f>
        <v>Vzdálenost od kraje</v>
      </c>
      <c r="AD24" s="822"/>
      <c r="AE24" s="822"/>
      <c r="AF24" s="822"/>
      <c r="AG24" s="822"/>
      <c r="AH24" s="400"/>
      <c r="AI24" s="508"/>
      <c r="AJ24" s="509"/>
      <c r="AK24" s="400"/>
      <c r="AL24" s="807"/>
      <c r="AM24" s="800"/>
      <c r="AN24" s="400"/>
      <c r="AO24" s="532"/>
      <c r="AP24" s="535"/>
      <c r="AQ24" s="858"/>
      <c r="AR24" s="529"/>
      <c r="AS24" s="400"/>
      <c r="AT24" s="1242"/>
      <c r="AU24" s="1244" t="e">
        <f>CONCATENATE(AU23,"_",H19)</f>
        <v>#N/A</v>
      </c>
      <c r="AV24" s="1230"/>
      <c r="AW24" s="1227"/>
    </row>
    <row r="25" spans="1:49" s="1228" customFormat="1" ht="18" customHeight="1" x14ac:dyDescent="0.3">
      <c r="A25" s="559"/>
      <c r="B25" s="823" t="str">
        <f>'Translate &amp; Prices'!$B$153</f>
        <v>Typ skla</v>
      </c>
      <c r="C25" s="824"/>
      <c r="D25" s="824"/>
      <c r="E25" s="824"/>
      <c r="F25" s="824"/>
      <c r="G25" s="550"/>
      <c r="H25" s="756"/>
      <c r="I25" s="756"/>
      <c r="J25" s="756"/>
      <c r="K25" s="756"/>
      <c r="L25" s="756"/>
      <c r="M25" s="756"/>
      <c r="N25" s="756"/>
      <c r="O25" s="756"/>
      <c r="P25" s="756"/>
      <c r="Q25" s="825"/>
      <c r="R25" s="559"/>
      <c r="S25" s="808"/>
      <c r="T25" s="809"/>
      <c r="U25" s="809"/>
      <c r="V25" s="809"/>
      <c r="W25" s="809"/>
      <c r="X25" s="809"/>
      <c r="Y25" s="810"/>
      <c r="Z25" s="510"/>
      <c r="AA25" s="530"/>
      <c r="AB25" s="531"/>
      <c r="AC25" s="803">
        <v>0</v>
      </c>
      <c r="AD25" s="803"/>
      <c r="AE25" s="526"/>
      <c r="AF25" s="830" t="str">
        <f>('Translate &amp; Prices'!$B$528)&amp;" "&amp;H26&amp;" "&amp;"mm"</f>
        <v>Rozteč  mm</v>
      </c>
      <c r="AG25" s="830"/>
      <c r="AH25" s="830"/>
      <c r="AI25" s="830"/>
      <c r="AJ25" s="830"/>
      <c r="AK25" s="830"/>
      <c r="AL25" s="807"/>
      <c r="AM25" s="800"/>
      <c r="AN25" s="400"/>
      <c r="AO25" s="532"/>
      <c r="AP25" s="535"/>
      <c r="AQ25" s="858"/>
      <c r="AR25" s="400"/>
      <c r="AS25" s="400"/>
      <c r="AT25" s="1242"/>
      <c r="AU25" s="1245" t="e">
        <f>VLOOKUP(H27,kombinace_3!$BY:$BZ,2,0)</f>
        <v>#N/A</v>
      </c>
      <c r="AV25" s="1230"/>
      <c r="AW25" s="1227"/>
    </row>
    <row r="26" spans="1:49" s="1228" customFormat="1" ht="18" customHeight="1" x14ac:dyDescent="0.3">
      <c r="A26" s="559"/>
      <c r="B26" s="823" t="str">
        <f>'Translate &amp; Prices'!$B$529</f>
        <v>Rozteč úchytky (mm)</v>
      </c>
      <c r="C26" s="824"/>
      <c r="D26" s="824"/>
      <c r="E26" s="824"/>
      <c r="F26" s="824"/>
      <c r="G26" s="550"/>
      <c r="H26" s="773"/>
      <c r="I26" s="773"/>
      <c r="J26" s="773"/>
      <c r="K26" s="773"/>
      <c r="L26" s="773"/>
      <c r="M26" s="773"/>
      <c r="N26" s="773"/>
      <c r="O26" s="773"/>
      <c r="P26" s="773"/>
      <c r="Q26" s="836"/>
      <c r="R26" s="559"/>
      <c r="S26" s="811"/>
      <c r="T26" s="812"/>
      <c r="U26" s="812"/>
      <c r="V26" s="812"/>
      <c r="W26" s="812"/>
      <c r="X26" s="812"/>
      <c r="Y26" s="813"/>
      <c r="Z26" s="510"/>
      <c r="AA26" s="530"/>
      <c r="AB26" s="531"/>
      <c r="AC26" s="400"/>
      <c r="AD26" s="400"/>
      <c r="AE26" s="400"/>
      <c r="AF26" s="400"/>
      <c r="AG26" s="400"/>
      <c r="AH26" s="400"/>
      <c r="AI26" s="508"/>
      <c r="AJ26" s="802">
        <v>0</v>
      </c>
      <c r="AK26" s="400"/>
      <c r="AL26" s="400"/>
      <c r="AM26" s="400"/>
      <c r="AN26" s="400"/>
      <c r="AO26" s="532"/>
      <c r="AP26" s="525"/>
      <c r="AQ26" s="858"/>
      <c r="AR26" s="400"/>
      <c r="AS26" s="400"/>
      <c r="AT26" s="1242"/>
      <c r="AU26" s="1226"/>
      <c r="AV26" s="1226"/>
      <c r="AW26" s="1227"/>
    </row>
    <row r="27" spans="1:49" s="1228" customFormat="1" ht="18" customHeight="1" x14ac:dyDescent="0.3">
      <c r="A27" s="559"/>
      <c r="B27" s="823" t="str">
        <f>'Translate &amp; Prices'!$B$530</f>
        <v>Umístění úchytky</v>
      </c>
      <c r="C27" s="824"/>
      <c r="D27" s="824"/>
      <c r="E27" s="824"/>
      <c r="F27" s="824"/>
      <c r="G27" s="550"/>
      <c r="H27" s="756"/>
      <c r="I27" s="756"/>
      <c r="J27" s="756"/>
      <c r="K27" s="756"/>
      <c r="L27" s="756"/>
      <c r="M27" s="756"/>
      <c r="N27" s="756"/>
      <c r="O27" s="756"/>
      <c r="P27" s="756"/>
      <c r="Q27" s="825"/>
      <c r="R27" s="559"/>
      <c r="S27" s="811"/>
      <c r="T27" s="812"/>
      <c r="U27" s="812"/>
      <c r="V27" s="812"/>
      <c r="W27" s="812"/>
      <c r="X27" s="812"/>
      <c r="Y27" s="813"/>
      <c r="Z27" s="510"/>
      <c r="AA27" s="519"/>
      <c r="AB27" s="536"/>
      <c r="AC27" s="537"/>
      <c r="AD27" s="537"/>
      <c r="AE27" s="537"/>
      <c r="AF27" s="537"/>
      <c r="AG27" s="537"/>
      <c r="AH27" s="538"/>
      <c r="AI27" s="539"/>
      <c r="AJ27" s="802"/>
      <c r="AK27" s="537"/>
      <c r="AL27" s="537"/>
      <c r="AM27" s="537"/>
      <c r="AN27" s="537"/>
      <c r="AO27" s="540"/>
      <c r="AP27" s="525"/>
      <c r="AQ27" s="858"/>
      <c r="AR27" s="400"/>
      <c r="AS27" s="400"/>
      <c r="AT27" s="1242"/>
      <c r="AU27" s="1226"/>
      <c r="AV27" s="1226"/>
      <c r="AW27" s="1227"/>
    </row>
    <row r="28" spans="1:49" s="1228" customFormat="1" ht="18" customHeight="1" x14ac:dyDescent="0.3">
      <c r="A28" s="559"/>
      <c r="B28" s="823" t="str">
        <f>('Translate &amp; Prices'!$B$154)&amp;" "&amp;"-"&amp;" "&amp;('Translate &amp; Prices'!$B$149)&amp;" "&amp;" "&amp;3</f>
        <v>Počet kusů - Rámeček  3</v>
      </c>
      <c r="C28" s="824"/>
      <c r="D28" s="824"/>
      <c r="E28" s="824"/>
      <c r="F28" s="824"/>
      <c r="G28" s="550"/>
      <c r="H28" s="756"/>
      <c r="I28" s="756"/>
      <c r="J28" s="756"/>
      <c r="K28" s="756"/>
      <c r="L28" s="756"/>
      <c r="M28" s="756"/>
      <c r="N28" s="756"/>
      <c r="O28" s="756"/>
      <c r="P28" s="756"/>
      <c r="Q28" s="825"/>
      <c r="R28" s="559"/>
      <c r="S28" s="811"/>
      <c r="T28" s="812"/>
      <c r="U28" s="812"/>
      <c r="V28" s="812"/>
      <c r="W28" s="812"/>
      <c r="X28" s="812"/>
      <c r="Y28" s="813"/>
      <c r="Z28" s="510"/>
      <c r="AA28" s="541"/>
      <c r="AB28" s="542"/>
      <c r="AC28" s="543"/>
      <c r="AD28" s="543"/>
      <c r="AE28" s="542"/>
      <c r="AF28" s="542"/>
      <c r="AG28" s="542"/>
      <c r="AH28" s="542"/>
      <c r="AI28" s="544"/>
      <c r="AJ28" s="517"/>
      <c r="AK28" s="542"/>
      <c r="AL28" s="542"/>
      <c r="AM28" s="543"/>
      <c r="AN28" s="543"/>
      <c r="AO28" s="542"/>
      <c r="AP28" s="545"/>
      <c r="AQ28" s="529"/>
      <c r="AR28" s="400"/>
      <c r="AS28" s="507"/>
      <c r="AT28" s="1242"/>
      <c r="AU28" s="1226"/>
      <c r="AV28" s="1226"/>
      <c r="AW28" s="1227"/>
    </row>
    <row r="29" spans="1:49" s="1228" customFormat="1" ht="18" customHeight="1" x14ac:dyDescent="0.3">
      <c r="A29" s="559"/>
      <c r="B29" s="563"/>
      <c r="C29" s="549"/>
      <c r="D29" s="549"/>
      <c r="E29" s="549"/>
      <c r="F29" s="549"/>
      <c r="G29" s="549"/>
      <c r="H29" s="831"/>
      <c r="I29" s="831"/>
      <c r="J29" s="841" t="str">
        <f>S44&amp;" "&amp;'Translate &amp; Prices'!$B$205</f>
        <v xml:space="preserve"> Dodat včetně uvedeného kování</v>
      </c>
      <c r="K29" s="841"/>
      <c r="L29" s="841"/>
      <c r="M29" s="841"/>
      <c r="N29" s="841"/>
      <c r="O29" s="841"/>
      <c r="P29" s="841"/>
      <c r="Q29" s="842"/>
      <c r="R29" s="559"/>
      <c r="S29" s="811"/>
      <c r="T29" s="812"/>
      <c r="U29" s="812"/>
      <c r="V29" s="812"/>
      <c r="W29" s="812"/>
      <c r="X29" s="812"/>
      <c r="Y29" s="813"/>
      <c r="Z29" s="510"/>
      <c r="AA29" s="572" t="e">
        <f>VLOOKUP(H14,kombinace_1!$DN$7:$DO$21,2,0)</f>
        <v>#N/A</v>
      </c>
      <c r="AB29" s="857">
        <f>IFERROR(IF(AND($AU$17&lt;=2,H12=kombinace_1!BQ2),'Translate &amp; Prices'!$B$557,0),0)</f>
        <v>0</v>
      </c>
      <c r="AC29" s="857"/>
      <c r="AD29" s="857"/>
      <c r="AE29" s="857"/>
      <c r="AF29" s="857"/>
      <c r="AG29" s="857"/>
      <c r="AH29" s="857"/>
      <c r="AI29" s="857"/>
      <c r="AJ29" s="857"/>
      <c r="AK29" s="857"/>
      <c r="AL29" s="857"/>
      <c r="AM29" s="857"/>
      <c r="AN29" s="857"/>
      <c r="AO29" s="857"/>
      <c r="AP29" s="400"/>
      <c r="AQ29" s="400"/>
      <c r="AR29" s="400"/>
      <c r="AS29" s="400"/>
      <c r="AT29" s="1242"/>
      <c r="AU29" s="1226"/>
      <c r="AV29" s="1226"/>
      <c r="AW29" s="1227"/>
    </row>
    <row r="30" spans="1:49" s="1228" customFormat="1" ht="13.8" customHeight="1" x14ac:dyDescent="0.3">
      <c r="A30" s="559"/>
      <c r="B30" s="817" t="str">
        <f>'Translate &amp; Prices'!$B$158</f>
        <v>Cena rámečků celkem</v>
      </c>
      <c r="C30" s="761"/>
      <c r="D30" s="761"/>
      <c r="E30" s="761"/>
      <c r="F30" s="761"/>
      <c r="G30" s="761"/>
      <c r="H30" s="761"/>
      <c r="I30" s="761"/>
      <c r="J30" s="761"/>
      <c r="K30" s="764"/>
      <c r="L30" s="766">
        <f>((AT11+AT13+AT15+AT17+AT33+AT35+AT37)*AT43)*(1-Zakaznik!K23)</f>
        <v>0</v>
      </c>
      <c r="M30" s="766"/>
      <c r="N30" s="766"/>
      <c r="O30" s="766"/>
      <c r="P30" s="766"/>
      <c r="Q30" s="819"/>
      <c r="R30" s="559"/>
      <c r="S30" s="811"/>
      <c r="T30" s="812"/>
      <c r="U30" s="812"/>
      <c r="V30" s="812"/>
      <c r="W30" s="812"/>
      <c r="X30" s="812"/>
      <c r="Y30" s="813"/>
      <c r="Z30" s="510"/>
      <c r="AA30" s="507"/>
      <c r="AB30" s="507"/>
      <c r="AC30" s="507"/>
      <c r="AD30" s="507"/>
      <c r="AE30" s="529"/>
      <c r="AF30" s="826" t="str">
        <f>'Translate &amp; Prices'!$B$155</f>
        <v xml:space="preserve">Šířka </v>
      </c>
      <c r="AG30" s="826"/>
      <c r="AH30" s="826"/>
      <c r="AI30" s="801"/>
      <c r="AJ30" s="801"/>
      <c r="AK30" s="801"/>
      <c r="AL30" s="529"/>
      <c r="AM30" s="529"/>
      <c r="AN30" s="400"/>
      <c r="AO30" s="400"/>
      <c r="AP30" s="510"/>
      <c r="AQ30" s="510"/>
      <c r="AR30" s="510"/>
      <c r="AS30" s="510"/>
      <c r="AT30" s="1242"/>
      <c r="AU30" s="1226"/>
      <c r="AV30" s="1226"/>
      <c r="AW30" s="1227"/>
    </row>
    <row r="31" spans="1:49" s="1228" customFormat="1" ht="13.8" customHeight="1" thickBot="1" x14ac:dyDescent="0.35">
      <c r="A31" s="559"/>
      <c r="B31" s="818"/>
      <c r="C31" s="763"/>
      <c r="D31" s="763"/>
      <c r="E31" s="763"/>
      <c r="F31" s="763"/>
      <c r="G31" s="763"/>
      <c r="H31" s="763"/>
      <c r="I31" s="763"/>
      <c r="J31" s="763"/>
      <c r="K31" s="765"/>
      <c r="L31" s="768"/>
      <c r="M31" s="768"/>
      <c r="N31" s="768"/>
      <c r="O31" s="768"/>
      <c r="P31" s="768"/>
      <c r="Q31" s="820"/>
      <c r="R31" s="559"/>
      <c r="S31" s="814"/>
      <c r="T31" s="815"/>
      <c r="U31" s="815"/>
      <c r="V31" s="815"/>
      <c r="W31" s="815"/>
      <c r="X31" s="815"/>
      <c r="Y31" s="816"/>
      <c r="Z31" s="510"/>
      <c r="AA31" s="556"/>
      <c r="AB31" s="556"/>
      <c r="AC31" s="556"/>
      <c r="AD31" s="556"/>
      <c r="AE31" s="556"/>
      <c r="AF31" s="556"/>
      <c r="AG31" s="556"/>
      <c r="AH31" s="556"/>
      <c r="AI31" s="556"/>
      <c r="AJ31" s="556"/>
      <c r="AK31" s="556"/>
      <c r="AL31" s="556"/>
      <c r="AM31" s="556"/>
      <c r="AN31" s="556"/>
      <c r="AO31" s="797" t="str">
        <f>'Translate &amp; Prices'!$B$547</f>
        <v>Souhrn</v>
      </c>
      <c r="AP31" s="797"/>
      <c r="AQ31" s="797"/>
      <c r="AR31" s="797"/>
      <c r="AS31" s="510"/>
      <c r="AT31" s="1242"/>
      <c r="AU31" s="1226"/>
      <c r="AV31" s="1226"/>
      <c r="AW31" s="1227"/>
    </row>
    <row r="32" spans="1:49" s="1228" customFormat="1" ht="18.600000000000001" customHeight="1" x14ac:dyDescent="0.3">
      <c r="A32" s="559"/>
      <c r="B32" s="832" t="str">
        <f>'Translate &amp; Prices'!$B$151</f>
        <v>Uvedené ceny jsou bez DPH a nezahrnují cenu požadovaného kování!</v>
      </c>
      <c r="C32" s="832"/>
      <c r="D32" s="832"/>
      <c r="E32" s="832"/>
      <c r="F32" s="832"/>
      <c r="G32" s="832"/>
      <c r="H32" s="832"/>
      <c r="I32" s="832"/>
      <c r="J32" s="832"/>
      <c r="K32" s="832"/>
      <c r="L32" s="832"/>
      <c r="M32" s="832"/>
      <c r="N32" s="832"/>
      <c r="O32" s="832"/>
      <c r="P32" s="832"/>
      <c r="Q32" s="832"/>
      <c r="R32" s="559"/>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797"/>
      <c r="AP32" s="797"/>
      <c r="AQ32" s="797"/>
      <c r="AR32" s="797"/>
      <c r="AS32" s="559"/>
      <c r="AT32" s="1242"/>
      <c r="AU32" s="1226"/>
      <c r="AV32" s="1226"/>
      <c r="AW32" s="1227"/>
    </row>
    <row r="33" spans="1:55" s="1228" customFormat="1" ht="15" customHeight="1" x14ac:dyDescent="0.3">
      <c r="A33" s="559"/>
      <c r="B33" s="510"/>
      <c r="C33" s="510"/>
      <c r="D33" s="510"/>
      <c r="E33" s="510"/>
      <c r="F33" s="510"/>
      <c r="G33" s="510"/>
      <c r="H33" s="510"/>
      <c r="I33" s="510"/>
      <c r="J33" s="510"/>
      <c r="K33" s="510"/>
      <c r="L33" s="510"/>
      <c r="M33" s="510"/>
      <c r="N33" s="510"/>
      <c r="O33" s="510"/>
      <c r="P33" s="510"/>
      <c r="Q33" s="510"/>
      <c r="R33" s="559"/>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400"/>
      <c r="AS33" s="559"/>
      <c r="AT33" s="1242">
        <f>IF(kombinace_3!V1=2,((AR14/1000)*(AI30/1000))*'Translate &amp; Prices'!C77,0)</f>
        <v>0</v>
      </c>
      <c r="AU33" s="1226"/>
      <c r="AV33" s="1226"/>
      <c r="AW33" s="1227"/>
    </row>
    <row r="34" spans="1:55" s="1247" customFormat="1" ht="18.600000000000001" hidden="1" customHeight="1" x14ac:dyDescent="0.3">
      <c r="A34" s="1253"/>
      <c r="R34" s="1253"/>
      <c r="AS34" s="1246"/>
      <c r="AT34" s="1246"/>
    </row>
    <row r="35" spans="1:55" s="1228" customFormat="1" ht="15" hidden="1" customHeight="1" x14ac:dyDescent="0.3">
      <c r="A35" s="1230"/>
      <c r="R35" s="1230"/>
      <c r="S35" s="1244"/>
      <c r="T35" s="1248"/>
      <c r="AN35" s="1247"/>
      <c r="AO35" s="1247"/>
      <c r="AP35" s="1247"/>
      <c r="AQ35" s="1247"/>
      <c r="AR35" s="1225"/>
      <c r="AS35" s="1242"/>
      <c r="AT35" s="1242">
        <f>IF(kombinace_3!$V$1=3,IFERROR(((VLOOKUP(H24,'Translate &amp; Prices'!B74:C76,2,0))*(AR14/1000)),0),0)</f>
        <v>0</v>
      </c>
      <c r="AU35" s="1226"/>
      <c r="AV35" s="1226"/>
      <c r="AW35" s="1227"/>
      <c r="AX35" s="1227"/>
      <c r="AY35" s="1227"/>
      <c r="AZ35" s="1227"/>
      <c r="BA35" s="1227"/>
      <c r="BB35" s="1227"/>
      <c r="BC35" s="1227"/>
    </row>
    <row r="36" spans="1:55" s="1249" customFormat="1" ht="18.600000000000001" hidden="1" customHeight="1" x14ac:dyDescent="0.3">
      <c r="A36" s="1254"/>
      <c r="R36" s="1254"/>
      <c r="S36" s="1254"/>
      <c r="T36" s="1248"/>
      <c r="AK36" s="1255"/>
      <c r="AL36" s="1255"/>
      <c r="AN36" s="1247"/>
      <c r="AO36" s="1247"/>
      <c r="AP36" s="1247"/>
      <c r="AQ36" s="1247"/>
      <c r="AS36" s="1248"/>
      <c r="AT36" s="1248"/>
    </row>
    <row r="37" spans="1:55" ht="15" hidden="1" customHeight="1" x14ac:dyDescent="0.3">
      <c r="R37" s="1244"/>
      <c r="S37" s="1244"/>
      <c r="T37" s="1248"/>
      <c r="AK37" s="1255"/>
      <c r="AL37" s="1255"/>
      <c r="AN37" s="1247"/>
      <c r="AO37" s="1247"/>
      <c r="AP37" s="1247"/>
      <c r="AQ37" s="1247"/>
      <c r="AS37" s="1245" t="s">
        <v>18</v>
      </c>
      <c r="AT37" s="1245">
        <f>IFERROR((VLOOKUP(H25,'Translate &amp; Prices'!B82:D146,2,0))*((AI30/1000)*(AR14/1000)),0)</f>
        <v>0</v>
      </c>
    </row>
    <row r="38" spans="1:55" ht="18.600000000000001" hidden="1" customHeight="1" x14ac:dyDescent="0.3">
      <c r="R38" s="1244"/>
      <c r="S38" s="1244"/>
      <c r="T38" s="1248"/>
      <c r="AK38" s="1255"/>
      <c r="AL38" s="1255"/>
      <c r="AN38" s="1247"/>
      <c r="AO38" s="1247"/>
      <c r="AP38" s="1247"/>
      <c r="AQ38" s="1247"/>
      <c r="AS38" s="1245"/>
      <c r="AT38" s="1245"/>
    </row>
    <row r="39" spans="1:55" ht="15" hidden="1" customHeight="1" x14ac:dyDescent="0.3">
      <c r="R39" s="1244"/>
      <c r="S39" s="1244"/>
      <c r="T39" s="1248"/>
      <c r="AK39" s="1255"/>
      <c r="AL39" s="1255"/>
      <c r="AN39" s="1247"/>
      <c r="AO39" s="1247"/>
      <c r="AP39" s="1247"/>
      <c r="AQ39" s="1247"/>
      <c r="AS39" s="1245" t="s">
        <v>2438</v>
      </c>
      <c r="AT39" s="1245"/>
    </row>
    <row r="40" spans="1:55" ht="18.600000000000001" hidden="1" customHeight="1" x14ac:dyDescent="0.3">
      <c r="R40" s="1244"/>
      <c r="S40" s="1244"/>
      <c r="T40" s="1248"/>
      <c r="U40" s="1248"/>
      <c r="V40" s="1248"/>
      <c r="W40" s="1248"/>
      <c r="X40" s="1248"/>
      <c r="Y40" s="1255"/>
      <c r="Z40" s="1255"/>
      <c r="AA40" s="1255"/>
      <c r="AB40" s="1255"/>
      <c r="AC40" s="1255"/>
      <c r="AD40" s="1255"/>
      <c r="AE40" s="1255"/>
      <c r="AF40" s="1255"/>
      <c r="AG40" s="1255"/>
      <c r="AH40" s="1255"/>
      <c r="AI40" s="1255"/>
      <c r="AJ40" s="1255"/>
      <c r="AK40" s="1255"/>
      <c r="AL40" s="1255"/>
      <c r="AS40" s="1245"/>
      <c r="AT40" s="1245"/>
    </row>
    <row r="41" spans="1:55" ht="15" hidden="1" customHeight="1" x14ac:dyDescent="0.3">
      <c r="R41" s="1244"/>
      <c r="S41" s="1244"/>
      <c r="T41" s="1248"/>
      <c r="U41" s="1248"/>
      <c r="V41" s="1248"/>
      <c r="W41" s="1248"/>
      <c r="X41" s="1248"/>
      <c r="Y41" s="1255"/>
      <c r="Z41" s="1255"/>
      <c r="AA41" s="1255"/>
      <c r="AB41" s="1255"/>
      <c r="AC41" s="1255"/>
      <c r="AD41" s="1255"/>
      <c r="AE41" s="1255"/>
      <c r="AF41" s="1255"/>
      <c r="AG41" s="1255"/>
      <c r="AH41" s="1255"/>
      <c r="AI41" s="1255"/>
      <c r="AJ41" s="1255"/>
      <c r="AK41" s="1255"/>
      <c r="AL41" s="1255"/>
      <c r="AS41" s="1245" t="s">
        <v>2439</v>
      </c>
      <c r="AT41" s="1245"/>
    </row>
    <row r="42" spans="1:55" ht="18.600000000000001" hidden="1" customHeight="1" x14ac:dyDescent="0.3">
      <c r="R42" s="1244"/>
      <c r="S42" s="1244"/>
      <c r="T42" s="1248"/>
      <c r="U42" s="1248"/>
      <c r="V42" s="1248"/>
      <c r="W42" s="1248"/>
      <c r="X42" s="1248"/>
      <c r="Y42" s="1255"/>
      <c r="Z42" s="1255"/>
      <c r="AA42" s="1255"/>
      <c r="AB42" s="1255"/>
      <c r="AC42" s="1255"/>
      <c r="AD42" s="1255"/>
      <c r="AE42" s="1255"/>
      <c r="AF42" s="1255"/>
      <c r="AG42" s="1255"/>
      <c r="AH42" s="1255"/>
      <c r="AI42" s="1255"/>
      <c r="AJ42" s="1255"/>
      <c r="AK42" s="1255"/>
      <c r="AL42" s="1255"/>
      <c r="AS42" s="1245"/>
      <c r="AT42" s="1245"/>
    </row>
    <row r="43" spans="1:55" ht="15" hidden="1" customHeight="1" x14ac:dyDescent="0.3">
      <c r="R43" s="1244"/>
      <c r="S43" s="1244"/>
      <c r="T43" s="1248"/>
      <c r="U43" s="1248"/>
      <c r="V43" s="1248"/>
      <c r="W43" s="1248"/>
      <c r="X43" s="1248"/>
      <c r="Y43" s="1255"/>
      <c r="Z43" s="1255"/>
      <c r="AA43" s="1255"/>
      <c r="AB43" s="1255"/>
      <c r="AC43" s="1255"/>
      <c r="AD43" s="1255"/>
      <c r="AE43" s="1255"/>
      <c r="AF43" s="1255"/>
      <c r="AG43" s="1255"/>
      <c r="AH43" s="1255"/>
      <c r="AI43" s="1255"/>
      <c r="AJ43" s="1255"/>
      <c r="AK43" s="1255"/>
      <c r="AL43" s="1255"/>
      <c r="AS43" s="1245" t="s">
        <v>2440</v>
      </c>
      <c r="AT43" s="1245">
        <f>H28</f>
        <v>0</v>
      </c>
    </row>
    <row r="44" spans="1:55" ht="18.600000000000001" hidden="1" customHeight="1" x14ac:dyDescent="0.3">
      <c r="A44" s="1245"/>
      <c r="R44" s="1244"/>
      <c r="S44" s="1244"/>
      <c r="T44" s="1248"/>
      <c r="U44" s="1248"/>
      <c r="V44" s="1248"/>
      <c r="W44" s="1248"/>
      <c r="X44" s="1248"/>
      <c r="Y44" s="1255"/>
      <c r="Z44" s="1255"/>
      <c r="AA44" s="1255"/>
      <c r="AB44" s="1255"/>
      <c r="AC44" s="1255"/>
      <c r="AD44" s="1255"/>
      <c r="AE44" s="1255"/>
      <c r="AF44" s="1255"/>
      <c r="AG44" s="1255"/>
      <c r="AH44" s="1255"/>
      <c r="AI44" s="1255"/>
      <c r="AJ44" s="1255"/>
      <c r="AK44" s="1255"/>
      <c r="AL44" s="1255"/>
    </row>
    <row r="45" spans="1:55" ht="14.4" hidden="1" customHeight="1" x14ac:dyDescent="0.3">
      <c r="A45" s="1245"/>
      <c r="R45" s="1244"/>
      <c r="S45" s="1244"/>
      <c r="T45" s="1248"/>
      <c r="U45" s="1248"/>
      <c r="V45" s="1248"/>
      <c r="W45" s="1248"/>
      <c r="X45" s="1248"/>
      <c r="Y45" s="1255"/>
      <c r="Z45" s="1255"/>
      <c r="AA45" s="1255"/>
      <c r="AB45" s="1255"/>
      <c r="AC45" s="1255"/>
      <c r="AD45" s="1255"/>
      <c r="AE45" s="1255"/>
      <c r="AF45" s="1255"/>
      <c r="AG45" s="1255"/>
      <c r="AH45" s="1255"/>
      <c r="AI45" s="1255"/>
      <c r="AJ45" s="1255"/>
      <c r="AK45" s="1255"/>
      <c r="AL45" s="1255"/>
      <c r="AM45" s="1251"/>
    </row>
    <row r="46" spans="1:55" ht="14.4" hidden="1" customHeight="1" x14ac:dyDescent="0.3">
      <c r="R46" s="1244"/>
      <c r="S46" s="1244"/>
      <c r="T46" s="1248"/>
      <c r="U46" s="1248"/>
      <c r="V46" s="1248"/>
      <c r="W46" s="1248"/>
      <c r="X46" s="1248"/>
      <c r="Y46" s="1255"/>
      <c r="Z46" s="1255"/>
      <c r="AA46" s="1255"/>
      <c r="AB46" s="1255"/>
      <c r="AC46" s="1255"/>
      <c r="AD46" s="1255"/>
      <c r="AE46" s="1255"/>
      <c r="AF46" s="1255"/>
      <c r="AG46" s="1255"/>
      <c r="AH46" s="1255"/>
      <c r="AI46" s="1255"/>
      <c r="AJ46" s="1255"/>
      <c r="AK46" s="1255"/>
      <c r="AL46" s="1255"/>
      <c r="AM46" s="1251"/>
    </row>
    <row r="47" spans="1:55" ht="14.4" hidden="1" customHeight="1" x14ac:dyDescent="0.3">
      <c r="C47" s="1245"/>
      <c r="D47" s="1244"/>
      <c r="E47" s="1244"/>
      <c r="F47" s="1244"/>
      <c r="G47" s="1244"/>
      <c r="H47" s="1244"/>
      <c r="I47" s="1244"/>
      <c r="J47" s="1244"/>
      <c r="K47" s="1244"/>
      <c r="L47" s="1244"/>
      <c r="M47" s="1244"/>
      <c r="N47" s="1244"/>
      <c r="O47" s="1244"/>
      <c r="P47" s="1244"/>
      <c r="Q47" s="1244"/>
      <c r="R47" s="1244"/>
      <c r="S47" s="1244"/>
      <c r="T47" s="1248"/>
      <c r="U47" s="1248"/>
      <c r="V47" s="1248"/>
      <c r="W47" s="1248"/>
      <c r="X47" s="1248"/>
      <c r="Y47" s="1255"/>
      <c r="Z47" s="1255"/>
      <c r="AA47" s="1255"/>
      <c r="AB47" s="1255"/>
      <c r="AC47" s="1255"/>
      <c r="AD47" s="1255"/>
      <c r="AE47" s="1255"/>
      <c r="AF47" s="1255"/>
      <c r="AG47" s="1255"/>
      <c r="AH47" s="1255"/>
      <c r="AI47" s="1255"/>
      <c r="AJ47" s="1255"/>
      <c r="AK47" s="1255"/>
      <c r="AL47" s="1255"/>
    </row>
    <row r="48" spans="1:55" ht="14.4" hidden="1" customHeight="1" x14ac:dyDescent="0.3">
      <c r="R48" s="1244"/>
      <c r="S48" s="1244"/>
      <c r="T48" s="1248"/>
      <c r="U48" s="1248"/>
      <c r="V48" s="1248"/>
      <c r="W48" s="1248"/>
      <c r="X48" s="1248"/>
      <c r="Y48" s="1255"/>
      <c r="Z48" s="1255"/>
      <c r="AA48" s="1255"/>
      <c r="AB48" s="1255"/>
      <c r="AC48" s="1255"/>
      <c r="AD48" s="1255"/>
      <c r="AE48" s="1255"/>
      <c r="AF48" s="1255"/>
      <c r="AG48" s="1255"/>
      <c r="AH48" s="1255"/>
      <c r="AI48" s="1255"/>
      <c r="AJ48" s="1255"/>
      <c r="AK48" s="1255"/>
      <c r="AL48" s="1255"/>
    </row>
    <row r="49" spans="3:38" ht="14.4" hidden="1" customHeight="1" x14ac:dyDescent="0.3">
      <c r="R49" s="1244"/>
      <c r="S49" s="1244"/>
      <c r="T49" s="1248"/>
      <c r="U49" s="1248"/>
      <c r="V49" s="1248"/>
      <c r="W49" s="1248"/>
      <c r="X49" s="1248"/>
      <c r="Y49" s="1255"/>
      <c r="Z49" s="1255"/>
      <c r="AA49" s="1255"/>
      <c r="AB49" s="1255"/>
      <c r="AC49" s="1255"/>
      <c r="AD49" s="1255"/>
      <c r="AE49" s="1255"/>
      <c r="AF49" s="1255"/>
      <c r="AG49" s="1255"/>
      <c r="AH49" s="1255"/>
      <c r="AI49" s="1255"/>
      <c r="AJ49" s="1255"/>
      <c r="AK49" s="1255"/>
      <c r="AL49" s="1255"/>
    </row>
    <row r="50" spans="3:38" ht="14.4" hidden="1" customHeight="1" x14ac:dyDescent="0.3">
      <c r="R50" s="1244"/>
      <c r="S50" s="1244"/>
      <c r="T50" s="1248"/>
      <c r="U50" s="1248"/>
      <c r="V50" s="1248"/>
      <c r="W50" s="1248"/>
      <c r="X50" s="1248"/>
      <c r="Y50" s="1255"/>
      <c r="Z50" s="1255"/>
      <c r="AA50" s="1255"/>
      <c r="AB50" s="1255"/>
      <c r="AC50" s="1255"/>
      <c r="AD50" s="1255"/>
      <c r="AE50" s="1255"/>
      <c r="AF50" s="1255"/>
      <c r="AG50" s="1255"/>
      <c r="AH50" s="1255"/>
      <c r="AI50" s="1255"/>
      <c r="AJ50" s="1255"/>
      <c r="AK50" s="1255"/>
      <c r="AL50" s="1255"/>
    </row>
    <row r="51" spans="3:38" ht="14.4" hidden="1" customHeight="1" x14ac:dyDescent="0.3">
      <c r="R51" s="1244"/>
      <c r="S51" s="1244"/>
      <c r="T51" s="1248"/>
      <c r="U51" s="1248"/>
      <c r="V51" s="1248"/>
      <c r="W51" s="1248"/>
      <c r="X51" s="1248"/>
      <c r="Y51" s="1255"/>
      <c r="Z51" s="1255"/>
      <c r="AA51" s="1255"/>
      <c r="AB51" s="1255"/>
      <c r="AC51" s="1255"/>
      <c r="AD51" s="1255"/>
      <c r="AE51" s="1255"/>
      <c r="AF51" s="1255"/>
      <c r="AG51" s="1255"/>
      <c r="AH51" s="1255"/>
      <c r="AI51" s="1255"/>
      <c r="AJ51" s="1255"/>
      <c r="AK51" s="1255"/>
      <c r="AL51" s="1255"/>
    </row>
    <row r="52" spans="3:38" ht="14.4" hidden="1" customHeight="1" x14ac:dyDescent="0.3">
      <c r="R52" s="1244"/>
      <c r="S52" s="1244"/>
      <c r="T52" s="1248"/>
      <c r="U52" s="1248"/>
      <c r="V52" s="1248"/>
      <c r="W52" s="1248"/>
      <c r="X52" s="1248"/>
      <c r="Y52" s="1255"/>
      <c r="Z52" s="1255"/>
      <c r="AA52" s="1255"/>
      <c r="AB52" s="1255"/>
      <c r="AC52" s="1255"/>
      <c r="AD52" s="1255"/>
      <c r="AE52" s="1255"/>
      <c r="AF52" s="1255"/>
      <c r="AG52" s="1255"/>
      <c r="AH52" s="1255"/>
      <c r="AI52" s="1255"/>
      <c r="AJ52" s="1255"/>
      <c r="AK52" s="1255"/>
      <c r="AL52" s="1255"/>
    </row>
    <row r="53" spans="3:38" ht="14.4" hidden="1" customHeight="1" x14ac:dyDescent="0.3">
      <c r="R53" s="1244"/>
      <c r="S53" s="1244"/>
      <c r="T53" s="1248"/>
      <c r="U53" s="1248"/>
      <c r="V53" s="1248"/>
      <c r="W53" s="1248"/>
      <c r="X53" s="1248"/>
      <c r="Y53" s="1255"/>
      <c r="Z53" s="1255"/>
      <c r="AA53" s="1255"/>
      <c r="AB53" s="1255"/>
      <c r="AC53" s="1255"/>
      <c r="AD53" s="1255"/>
      <c r="AE53" s="1255"/>
      <c r="AF53" s="1255"/>
      <c r="AG53" s="1255"/>
      <c r="AH53" s="1255"/>
      <c r="AI53" s="1255"/>
      <c r="AJ53" s="1255"/>
      <c r="AK53" s="1255"/>
      <c r="AL53" s="1255"/>
    </row>
    <row r="54" spans="3:38" ht="14.4" hidden="1" customHeight="1" x14ac:dyDescent="0.3">
      <c r="R54" s="1244"/>
      <c r="S54" s="1244"/>
      <c r="T54" s="1248"/>
      <c r="U54" s="1248"/>
      <c r="V54" s="1248"/>
      <c r="W54" s="1248"/>
      <c r="X54" s="1248"/>
      <c r="Y54" s="1255"/>
      <c r="Z54" s="1255"/>
      <c r="AA54" s="1255"/>
      <c r="AB54" s="1255"/>
      <c r="AC54" s="1255"/>
      <c r="AD54" s="1255"/>
      <c r="AE54" s="1255"/>
      <c r="AF54" s="1255"/>
      <c r="AG54" s="1255"/>
      <c r="AH54" s="1255"/>
      <c r="AI54" s="1255"/>
      <c r="AJ54" s="1255"/>
      <c r="AK54" s="1255"/>
      <c r="AL54" s="1255"/>
    </row>
    <row r="55" spans="3:38" ht="14.4" hidden="1" customHeight="1" x14ac:dyDescent="0.3">
      <c r="R55" s="1244"/>
      <c r="S55" s="1244"/>
      <c r="T55" s="1248"/>
      <c r="U55" s="1248"/>
      <c r="V55" s="1248"/>
      <c r="W55" s="1248"/>
      <c r="X55" s="1248"/>
      <c r="Y55" s="1255"/>
      <c r="Z55" s="1255"/>
      <c r="AA55" s="1255"/>
      <c r="AB55" s="1255"/>
      <c r="AC55" s="1255"/>
      <c r="AD55" s="1255"/>
      <c r="AE55" s="1255"/>
      <c r="AF55" s="1255"/>
      <c r="AG55" s="1255"/>
      <c r="AH55" s="1255"/>
      <c r="AI55" s="1255"/>
      <c r="AJ55" s="1255"/>
      <c r="AK55" s="1255"/>
      <c r="AL55" s="1255"/>
    </row>
    <row r="56" spans="3:38" ht="14.4" hidden="1" customHeight="1" x14ac:dyDescent="0.3">
      <c r="R56" s="1244"/>
      <c r="S56" s="1244"/>
      <c r="T56" s="1248"/>
      <c r="U56" s="1248"/>
      <c r="V56" s="1248"/>
      <c r="W56" s="1248"/>
      <c r="X56" s="1248"/>
      <c r="Y56" s="1255"/>
      <c r="Z56" s="1255"/>
      <c r="AA56" s="1255"/>
      <c r="AB56" s="1255"/>
      <c r="AC56" s="1255"/>
      <c r="AD56" s="1255"/>
      <c r="AE56" s="1255"/>
      <c r="AF56" s="1255"/>
      <c r="AG56" s="1255"/>
      <c r="AH56" s="1255"/>
      <c r="AI56" s="1255"/>
      <c r="AJ56" s="1255"/>
      <c r="AK56" s="1255"/>
      <c r="AL56" s="1255"/>
    </row>
    <row r="57" spans="3:38" ht="14.4" hidden="1" customHeight="1" x14ac:dyDescent="0.3">
      <c r="R57" s="1244"/>
      <c r="S57" s="1244"/>
      <c r="T57" s="1248"/>
      <c r="U57" s="1248"/>
      <c r="V57" s="1248"/>
      <c r="W57" s="1248"/>
      <c r="X57" s="1248"/>
      <c r="Y57" s="1255"/>
      <c r="Z57" s="1255"/>
      <c r="AA57" s="1255"/>
      <c r="AB57" s="1255"/>
      <c r="AC57" s="1255"/>
      <c r="AD57" s="1255"/>
      <c r="AE57" s="1255"/>
      <c r="AF57" s="1255"/>
      <c r="AG57" s="1255"/>
      <c r="AH57" s="1255"/>
      <c r="AI57" s="1255"/>
      <c r="AJ57" s="1255"/>
      <c r="AK57" s="1255"/>
      <c r="AL57" s="1255"/>
    </row>
    <row r="58" spans="3:38" ht="14.4" hidden="1" customHeight="1" x14ac:dyDescent="0.3">
      <c r="R58" s="1244"/>
      <c r="S58" s="1244"/>
      <c r="T58" s="1248"/>
      <c r="U58" s="1248"/>
      <c r="V58" s="1248"/>
      <c r="W58" s="1248"/>
      <c r="X58" s="1248"/>
      <c r="Y58" s="1255"/>
      <c r="Z58" s="1255"/>
      <c r="AA58" s="1255"/>
      <c r="AB58" s="1255"/>
      <c r="AC58" s="1255"/>
      <c r="AD58" s="1255"/>
      <c r="AE58" s="1255"/>
      <c r="AF58" s="1255"/>
      <c r="AG58" s="1255"/>
      <c r="AH58" s="1255"/>
      <c r="AI58" s="1255"/>
      <c r="AJ58" s="1255"/>
      <c r="AK58" s="1255"/>
      <c r="AL58" s="1255"/>
    </row>
    <row r="59" spans="3:38" ht="14.4" hidden="1" customHeight="1" x14ac:dyDescent="0.3">
      <c r="R59" s="1244"/>
      <c r="S59" s="1244"/>
      <c r="T59" s="1248"/>
      <c r="U59" s="1248"/>
      <c r="V59" s="1248"/>
      <c r="W59" s="1248"/>
      <c r="X59" s="1248"/>
      <c r="Y59" s="1255"/>
      <c r="Z59" s="1255"/>
      <c r="AA59" s="1255"/>
      <c r="AB59" s="1255"/>
      <c r="AC59" s="1255"/>
      <c r="AD59" s="1255"/>
      <c r="AE59" s="1255"/>
      <c r="AF59" s="1255"/>
      <c r="AG59" s="1255"/>
      <c r="AH59" s="1255"/>
      <c r="AI59" s="1255"/>
      <c r="AJ59" s="1255"/>
      <c r="AK59" s="1255"/>
      <c r="AL59" s="1255"/>
    </row>
    <row r="60" spans="3:38" ht="14.4" hidden="1" customHeight="1" x14ac:dyDescent="0.3">
      <c r="R60" s="1244"/>
      <c r="S60" s="1244"/>
      <c r="T60" s="1248"/>
      <c r="U60" s="1248"/>
      <c r="V60" s="1248"/>
      <c r="W60" s="1248"/>
      <c r="X60" s="1248"/>
      <c r="Y60" s="1255"/>
      <c r="Z60" s="1255"/>
      <c r="AA60" s="1255"/>
      <c r="AB60" s="1255"/>
      <c r="AC60" s="1255"/>
      <c r="AD60" s="1255"/>
      <c r="AE60" s="1255"/>
      <c r="AF60" s="1255"/>
      <c r="AG60" s="1255"/>
      <c r="AH60" s="1255"/>
      <c r="AI60" s="1255"/>
      <c r="AJ60" s="1255"/>
      <c r="AK60" s="1255"/>
      <c r="AL60" s="1255"/>
    </row>
    <row r="61" spans="3:38" ht="14.4" hidden="1" customHeight="1" x14ac:dyDescent="0.3">
      <c r="R61" s="1244"/>
      <c r="S61" s="1244"/>
      <c r="T61" s="1248"/>
      <c r="U61" s="1248"/>
      <c r="V61" s="1248"/>
      <c r="W61" s="1248"/>
      <c r="X61" s="1248"/>
      <c r="Y61" s="1255"/>
      <c r="Z61" s="1255"/>
      <c r="AA61" s="1255"/>
      <c r="AB61" s="1255"/>
      <c r="AC61" s="1255"/>
      <c r="AD61" s="1255"/>
      <c r="AE61" s="1255"/>
      <c r="AF61" s="1255"/>
      <c r="AG61" s="1255"/>
      <c r="AH61" s="1255"/>
      <c r="AI61" s="1255"/>
      <c r="AJ61" s="1255"/>
      <c r="AK61" s="1255"/>
      <c r="AL61" s="1255"/>
    </row>
    <row r="62" spans="3:38" ht="14.4" hidden="1" customHeight="1" x14ac:dyDescent="0.3">
      <c r="R62" s="1244"/>
      <c r="S62" s="1244"/>
      <c r="T62" s="1248"/>
      <c r="U62" s="1248"/>
      <c r="V62" s="1248"/>
      <c r="W62" s="1248"/>
      <c r="X62" s="1248"/>
      <c r="Y62" s="1255"/>
      <c r="Z62" s="1255"/>
      <c r="AA62" s="1255"/>
      <c r="AB62" s="1255"/>
      <c r="AC62" s="1255"/>
      <c r="AD62" s="1255"/>
      <c r="AE62" s="1255"/>
      <c r="AF62" s="1255"/>
      <c r="AG62" s="1255"/>
      <c r="AH62" s="1255"/>
      <c r="AI62" s="1255"/>
      <c r="AJ62" s="1255"/>
      <c r="AK62" s="1255"/>
      <c r="AL62" s="1255"/>
    </row>
    <row r="63" spans="3:38" ht="14.4" hidden="1" customHeight="1" x14ac:dyDescent="0.3">
      <c r="C63" s="1245"/>
      <c r="D63" s="1244"/>
      <c r="E63" s="1244"/>
      <c r="F63" s="1244"/>
      <c r="G63" s="1244"/>
      <c r="H63" s="1244"/>
      <c r="I63" s="1244"/>
      <c r="J63" s="1244"/>
      <c r="K63" s="1244"/>
      <c r="L63" s="1244"/>
      <c r="M63" s="1244"/>
      <c r="N63" s="1244"/>
      <c r="O63" s="1244"/>
      <c r="P63" s="1244"/>
      <c r="Q63" s="1244"/>
      <c r="R63" s="1244"/>
      <c r="S63" s="1244"/>
      <c r="T63" s="1248"/>
      <c r="U63" s="1248"/>
      <c r="V63" s="1248"/>
      <c r="W63" s="1248"/>
      <c r="X63" s="1248"/>
      <c r="Y63" s="1255"/>
      <c r="Z63" s="1255"/>
      <c r="AA63" s="1255"/>
      <c r="AB63" s="1255"/>
      <c r="AC63" s="1255"/>
      <c r="AD63" s="1255"/>
      <c r="AE63" s="1255"/>
      <c r="AF63" s="1255"/>
      <c r="AG63" s="1255"/>
      <c r="AH63" s="1255"/>
      <c r="AI63" s="1255"/>
      <c r="AJ63" s="1255"/>
      <c r="AK63" s="1255"/>
      <c r="AL63" s="1255"/>
    </row>
    <row r="64" spans="3:38" ht="14.4" hidden="1" customHeight="1" x14ac:dyDescent="0.3">
      <c r="C64" s="1245"/>
      <c r="D64" s="1244"/>
      <c r="E64" s="1244"/>
      <c r="F64" s="1244"/>
      <c r="G64" s="1244"/>
      <c r="H64" s="1244"/>
      <c r="I64" s="1244"/>
      <c r="J64" s="1244"/>
      <c r="K64" s="1244"/>
      <c r="L64" s="1244"/>
      <c r="M64" s="1244"/>
      <c r="N64" s="1244"/>
      <c r="O64" s="1244"/>
      <c r="P64" s="1244"/>
      <c r="Q64" s="1244"/>
      <c r="R64" s="1244"/>
      <c r="S64" s="1244"/>
      <c r="T64" s="1248"/>
      <c r="U64" s="1248"/>
      <c r="V64" s="1248"/>
      <c r="W64" s="1248"/>
      <c r="X64" s="1248"/>
      <c r="Y64" s="1255"/>
      <c r="Z64" s="1255"/>
      <c r="AA64" s="1255"/>
      <c r="AB64" s="1255"/>
      <c r="AC64" s="1255"/>
      <c r="AD64" s="1255"/>
      <c r="AE64" s="1255"/>
      <c r="AF64" s="1255"/>
      <c r="AG64" s="1255"/>
      <c r="AH64" s="1255"/>
      <c r="AI64" s="1255"/>
      <c r="AJ64" s="1255"/>
      <c r="AK64" s="1255"/>
      <c r="AL64" s="1255"/>
    </row>
    <row r="65" spans="3:38" ht="14.4" hidden="1" customHeight="1" x14ac:dyDescent="0.3">
      <c r="C65" s="1245"/>
      <c r="D65" s="1244"/>
      <c r="E65" s="1244"/>
      <c r="F65" s="1244"/>
      <c r="G65" s="1244"/>
      <c r="H65" s="1244"/>
      <c r="I65" s="1244"/>
      <c r="J65" s="1244"/>
      <c r="K65" s="1244"/>
      <c r="L65" s="1244"/>
      <c r="M65" s="1244"/>
      <c r="N65" s="1244"/>
      <c r="O65" s="1244"/>
      <c r="P65" s="1244"/>
      <c r="Q65" s="1244"/>
      <c r="R65" s="1244"/>
      <c r="S65" s="1244"/>
      <c r="T65" s="1248"/>
      <c r="U65" s="1248"/>
      <c r="V65" s="1248"/>
      <c r="W65" s="1248"/>
      <c r="X65" s="1248"/>
      <c r="Y65" s="1255"/>
      <c r="Z65" s="1255"/>
      <c r="AA65" s="1255"/>
      <c r="AB65" s="1255"/>
      <c r="AC65" s="1255"/>
      <c r="AD65" s="1255"/>
      <c r="AE65" s="1255"/>
      <c r="AF65" s="1255"/>
      <c r="AG65" s="1255"/>
      <c r="AH65" s="1255"/>
      <c r="AI65" s="1255"/>
      <c r="AJ65" s="1255"/>
      <c r="AK65" s="1255"/>
      <c r="AL65" s="1255"/>
    </row>
    <row r="66" spans="3:38" ht="14.4" hidden="1" customHeight="1" x14ac:dyDescent="0.3">
      <c r="C66" s="1245"/>
      <c r="D66" s="1244"/>
      <c r="E66" s="1244"/>
      <c r="F66" s="1244"/>
      <c r="G66" s="1244"/>
      <c r="H66" s="1244"/>
      <c r="I66" s="1244"/>
      <c r="J66" s="1244"/>
      <c r="K66" s="1244"/>
      <c r="L66" s="1244"/>
      <c r="M66" s="1244"/>
      <c r="N66" s="1244"/>
      <c r="O66" s="1244"/>
      <c r="P66" s="1244"/>
      <c r="Q66" s="1244"/>
      <c r="R66" s="1244"/>
      <c r="S66" s="1244"/>
      <c r="T66" s="1248"/>
      <c r="U66" s="1248"/>
      <c r="V66" s="1248"/>
      <c r="W66" s="1248"/>
      <c r="X66" s="1248"/>
      <c r="Y66" s="1255"/>
      <c r="Z66" s="1255"/>
      <c r="AA66" s="1255"/>
      <c r="AB66" s="1255"/>
      <c r="AC66" s="1255"/>
      <c r="AD66" s="1255"/>
      <c r="AE66" s="1255"/>
      <c r="AF66" s="1255"/>
      <c r="AG66" s="1255"/>
      <c r="AH66" s="1255"/>
      <c r="AI66" s="1255"/>
      <c r="AJ66" s="1255"/>
      <c r="AK66" s="1255"/>
      <c r="AL66" s="1255"/>
    </row>
    <row r="67" spans="3:38" ht="14.4" hidden="1" customHeight="1" x14ac:dyDescent="0.3">
      <c r="C67" s="1245"/>
      <c r="D67" s="1244"/>
      <c r="E67" s="1244"/>
      <c r="F67" s="1244"/>
      <c r="G67" s="1244"/>
      <c r="H67" s="1244"/>
      <c r="I67" s="1244"/>
      <c r="J67" s="1244"/>
      <c r="K67" s="1244"/>
      <c r="L67" s="1244"/>
      <c r="M67" s="1244"/>
      <c r="N67" s="1244"/>
      <c r="O67" s="1244"/>
      <c r="P67" s="1244"/>
      <c r="Q67" s="1244"/>
      <c r="R67" s="1244"/>
      <c r="S67" s="1244"/>
      <c r="T67" s="1248"/>
      <c r="U67" s="1248"/>
      <c r="V67" s="1248"/>
      <c r="W67" s="1248"/>
      <c r="X67" s="1248"/>
      <c r="Y67" s="1255"/>
      <c r="Z67" s="1255"/>
      <c r="AA67" s="1255"/>
      <c r="AB67" s="1255"/>
      <c r="AC67" s="1255"/>
      <c r="AD67" s="1255"/>
      <c r="AE67" s="1255"/>
      <c r="AF67" s="1255"/>
      <c r="AG67" s="1255"/>
      <c r="AH67" s="1255"/>
      <c r="AI67" s="1255"/>
      <c r="AJ67" s="1255"/>
      <c r="AK67" s="1255"/>
      <c r="AL67" s="1255"/>
    </row>
    <row r="68" spans="3:38" ht="14.4" hidden="1" customHeight="1" x14ac:dyDescent="0.3">
      <c r="C68" s="1245"/>
      <c r="D68" s="1244"/>
      <c r="E68" s="1244"/>
      <c r="F68" s="1244"/>
      <c r="G68" s="1244"/>
      <c r="H68" s="1244"/>
      <c r="I68" s="1244"/>
      <c r="J68" s="1244"/>
      <c r="K68" s="1244"/>
      <c r="L68" s="1244"/>
      <c r="M68" s="1244"/>
      <c r="N68" s="1244"/>
      <c r="O68" s="1244"/>
      <c r="P68" s="1244"/>
      <c r="Q68" s="1244"/>
      <c r="R68" s="1244"/>
      <c r="S68" s="1244"/>
      <c r="T68" s="1248"/>
      <c r="U68" s="1248"/>
      <c r="V68" s="1248"/>
      <c r="W68" s="1248"/>
      <c r="X68" s="1248"/>
      <c r="Y68" s="1255"/>
      <c r="Z68" s="1255"/>
      <c r="AA68" s="1255"/>
      <c r="AB68" s="1255"/>
      <c r="AC68" s="1255"/>
      <c r="AD68" s="1255"/>
      <c r="AE68" s="1255"/>
      <c r="AF68" s="1255"/>
      <c r="AG68" s="1255"/>
      <c r="AH68" s="1255"/>
      <c r="AI68" s="1255"/>
      <c r="AJ68" s="1255"/>
      <c r="AK68" s="1255"/>
      <c r="AL68" s="1255"/>
    </row>
    <row r="69" spans="3:38" ht="14.4" hidden="1" customHeight="1" x14ac:dyDescent="0.3">
      <c r="C69" s="1245"/>
      <c r="D69" s="1244"/>
      <c r="E69" s="1244"/>
      <c r="F69" s="1244"/>
      <c r="G69" s="1244"/>
      <c r="H69" s="1244"/>
      <c r="I69" s="1244"/>
      <c r="J69" s="1244"/>
      <c r="K69" s="1244"/>
      <c r="L69" s="1244"/>
      <c r="M69" s="1244"/>
      <c r="N69" s="1244"/>
      <c r="O69" s="1244"/>
      <c r="P69" s="1244"/>
      <c r="Q69" s="1244"/>
      <c r="R69" s="1244"/>
      <c r="S69" s="1244"/>
      <c r="T69" s="1248"/>
      <c r="U69" s="1248"/>
      <c r="V69" s="1248"/>
      <c r="W69" s="1248"/>
      <c r="X69" s="1248"/>
      <c r="Y69" s="1255"/>
      <c r="Z69" s="1255"/>
      <c r="AA69" s="1255"/>
      <c r="AB69" s="1255"/>
      <c r="AC69" s="1255"/>
      <c r="AD69" s="1255"/>
      <c r="AE69" s="1255"/>
      <c r="AF69" s="1255"/>
      <c r="AG69" s="1255"/>
      <c r="AH69" s="1255"/>
      <c r="AI69" s="1255"/>
      <c r="AJ69" s="1255"/>
      <c r="AK69" s="1255"/>
      <c r="AL69" s="1255"/>
    </row>
    <row r="70" spans="3:38" ht="14.4" hidden="1" customHeight="1" x14ac:dyDescent="0.3">
      <c r="C70" s="1245"/>
      <c r="D70" s="1244"/>
      <c r="E70" s="1244"/>
      <c r="F70" s="1244"/>
      <c r="G70" s="1244"/>
      <c r="H70" s="1244"/>
      <c r="I70" s="1244"/>
      <c r="J70" s="1244"/>
      <c r="K70" s="1244"/>
      <c r="L70" s="1244"/>
      <c r="M70" s="1244"/>
      <c r="N70" s="1244"/>
      <c r="O70" s="1244"/>
      <c r="P70" s="1244"/>
      <c r="Q70" s="1244"/>
      <c r="R70" s="1244"/>
      <c r="S70" s="1244"/>
      <c r="T70" s="1248"/>
      <c r="U70" s="1248"/>
      <c r="V70" s="1248"/>
      <c r="W70" s="1248"/>
      <c r="X70" s="1248"/>
      <c r="Y70" s="1255"/>
      <c r="Z70" s="1255"/>
      <c r="AA70" s="1255"/>
      <c r="AB70" s="1255"/>
      <c r="AC70" s="1255"/>
      <c r="AD70" s="1255"/>
      <c r="AE70" s="1255"/>
      <c r="AF70" s="1255"/>
      <c r="AG70" s="1255"/>
      <c r="AH70" s="1255"/>
      <c r="AI70" s="1255"/>
      <c r="AJ70" s="1255"/>
      <c r="AK70" s="1255"/>
      <c r="AL70" s="1255"/>
    </row>
    <row r="71" spans="3:38" ht="14.4" hidden="1" customHeight="1" x14ac:dyDescent="0.3">
      <c r="C71" s="1245"/>
      <c r="D71" s="1244"/>
      <c r="E71" s="1244"/>
      <c r="F71" s="1244"/>
      <c r="G71" s="1244"/>
      <c r="H71" s="1244"/>
      <c r="I71" s="1244"/>
      <c r="J71" s="1244"/>
      <c r="K71" s="1244"/>
      <c r="L71" s="1244"/>
      <c r="M71" s="1244"/>
      <c r="N71" s="1244"/>
      <c r="O71" s="1244"/>
      <c r="P71" s="1244"/>
      <c r="Q71" s="1244"/>
      <c r="R71" s="1244"/>
      <c r="S71" s="1244"/>
      <c r="T71" s="1248"/>
      <c r="U71" s="1248"/>
      <c r="V71" s="1248"/>
      <c r="W71" s="1248"/>
      <c r="X71" s="1248"/>
      <c r="Y71" s="1255"/>
      <c r="Z71" s="1255"/>
      <c r="AA71" s="1255"/>
      <c r="AB71" s="1255"/>
      <c r="AC71" s="1255"/>
      <c r="AD71" s="1255"/>
      <c r="AE71" s="1255"/>
      <c r="AF71" s="1255"/>
      <c r="AG71" s="1255"/>
      <c r="AH71" s="1255"/>
      <c r="AI71" s="1255"/>
      <c r="AJ71" s="1255"/>
      <c r="AK71" s="1255"/>
      <c r="AL71" s="1255"/>
    </row>
    <row r="72" spans="3:38" ht="14.4" hidden="1" customHeight="1" x14ac:dyDescent="0.3">
      <c r="C72" s="1245"/>
      <c r="D72" s="1244"/>
      <c r="E72" s="1244"/>
      <c r="F72" s="1244"/>
      <c r="G72" s="1244"/>
      <c r="H72" s="1244"/>
      <c r="I72" s="1244"/>
      <c r="J72" s="1244"/>
      <c r="K72" s="1244"/>
      <c r="L72" s="1244"/>
      <c r="M72" s="1244"/>
      <c r="N72" s="1244"/>
      <c r="O72" s="1244"/>
      <c r="P72" s="1244"/>
      <c r="Q72" s="1244"/>
      <c r="R72" s="1244"/>
      <c r="S72" s="1244"/>
      <c r="T72" s="1248"/>
      <c r="U72" s="1248"/>
      <c r="V72" s="1248"/>
      <c r="W72" s="1248"/>
      <c r="X72" s="1248"/>
      <c r="Y72" s="1255"/>
      <c r="Z72" s="1255"/>
      <c r="AA72" s="1255"/>
      <c r="AB72" s="1255"/>
      <c r="AC72" s="1255"/>
      <c r="AD72" s="1255"/>
      <c r="AE72" s="1255"/>
      <c r="AF72" s="1255"/>
      <c r="AG72" s="1255"/>
      <c r="AH72" s="1255"/>
      <c r="AI72" s="1255"/>
      <c r="AJ72" s="1255"/>
      <c r="AK72" s="1255"/>
      <c r="AL72" s="1255"/>
    </row>
    <row r="73" spans="3:38" ht="14.4" hidden="1" customHeight="1" x14ac:dyDescent="0.3">
      <c r="C73" s="1245"/>
      <c r="D73" s="1244"/>
      <c r="E73" s="1244"/>
      <c r="F73" s="1244"/>
      <c r="G73" s="1244"/>
      <c r="H73" s="1244"/>
      <c r="I73" s="1244"/>
      <c r="J73" s="1244"/>
      <c r="K73" s="1244"/>
      <c r="L73" s="1244"/>
      <c r="M73" s="1244"/>
      <c r="N73" s="1244"/>
      <c r="O73" s="1244"/>
      <c r="P73" s="1244"/>
      <c r="Q73" s="1244"/>
      <c r="R73" s="1244"/>
      <c r="S73" s="1244"/>
      <c r="T73" s="1248"/>
      <c r="U73" s="1248"/>
      <c r="V73" s="1248"/>
      <c r="W73" s="1248"/>
      <c r="X73" s="1248"/>
      <c r="Y73" s="1255"/>
      <c r="Z73" s="1255"/>
      <c r="AA73" s="1255"/>
      <c r="AB73" s="1255"/>
      <c r="AC73" s="1255"/>
      <c r="AD73" s="1255"/>
      <c r="AE73" s="1255"/>
      <c r="AF73" s="1255"/>
      <c r="AG73" s="1255"/>
      <c r="AH73" s="1255"/>
      <c r="AI73" s="1255"/>
      <c r="AJ73" s="1255"/>
      <c r="AK73" s="1255"/>
      <c r="AL73" s="1255"/>
    </row>
    <row r="74" spans="3:38" ht="14.4" hidden="1" customHeight="1" x14ac:dyDescent="0.3">
      <c r="C74" s="1245"/>
      <c r="D74" s="1244"/>
      <c r="E74" s="1244"/>
      <c r="F74" s="1244"/>
      <c r="G74" s="1244"/>
      <c r="H74" s="1244"/>
      <c r="I74" s="1244"/>
      <c r="J74" s="1244"/>
      <c r="K74" s="1244"/>
      <c r="L74" s="1244"/>
      <c r="M74" s="1244"/>
      <c r="N74" s="1244"/>
      <c r="O74" s="1244"/>
      <c r="P74" s="1244"/>
      <c r="Q74" s="1244"/>
      <c r="R74" s="1244"/>
      <c r="S74" s="1244"/>
      <c r="T74" s="1248"/>
      <c r="U74" s="1248"/>
      <c r="V74" s="1248"/>
      <c r="W74" s="1248"/>
      <c r="X74" s="1248"/>
      <c r="Y74" s="1255"/>
      <c r="Z74" s="1255"/>
      <c r="AA74" s="1255"/>
      <c r="AB74" s="1255"/>
      <c r="AC74" s="1255"/>
      <c r="AD74" s="1255"/>
      <c r="AE74" s="1255"/>
      <c r="AF74" s="1255"/>
      <c r="AG74" s="1255"/>
      <c r="AH74" s="1255"/>
      <c r="AI74" s="1255"/>
      <c r="AJ74" s="1255"/>
      <c r="AK74" s="1255"/>
      <c r="AL74" s="1255"/>
    </row>
    <row r="75" spans="3:38" ht="14.4" hidden="1" customHeight="1" x14ac:dyDescent="0.3">
      <c r="C75" s="1245"/>
      <c r="D75" s="1244"/>
      <c r="E75" s="1244"/>
      <c r="F75" s="1244"/>
      <c r="G75" s="1244"/>
      <c r="H75" s="1244"/>
      <c r="I75" s="1244"/>
      <c r="J75" s="1244"/>
      <c r="K75" s="1244"/>
      <c r="L75" s="1244"/>
      <c r="M75" s="1244"/>
      <c r="N75" s="1244"/>
      <c r="O75" s="1244"/>
      <c r="P75" s="1244"/>
      <c r="Q75" s="1244"/>
      <c r="R75" s="1244"/>
      <c r="S75" s="1244"/>
      <c r="T75" s="1248"/>
      <c r="U75" s="1248"/>
      <c r="V75" s="1248"/>
      <c r="W75" s="1248"/>
      <c r="X75" s="1248"/>
      <c r="Y75" s="1255"/>
      <c r="Z75" s="1255"/>
      <c r="AA75" s="1255"/>
      <c r="AB75" s="1255"/>
      <c r="AC75" s="1255"/>
      <c r="AD75" s="1255"/>
      <c r="AE75" s="1255"/>
      <c r="AF75" s="1255"/>
      <c r="AG75" s="1255"/>
      <c r="AH75" s="1255"/>
      <c r="AI75" s="1255"/>
      <c r="AJ75" s="1255"/>
      <c r="AK75" s="1255"/>
      <c r="AL75" s="1255"/>
    </row>
    <row r="76" spans="3:38" ht="14.4" hidden="1" customHeight="1" x14ac:dyDescent="0.3">
      <c r="C76" s="1245"/>
      <c r="D76" s="1244"/>
      <c r="E76" s="1244"/>
      <c r="F76" s="1244"/>
      <c r="G76" s="1244"/>
      <c r="H76" s="1244"/>
      <c r="I76" s="1244"/>
      <c r="J76" s="1244"/>
      <c r="K76" s="1244"/>
      <c r="L76" s="1244"/>
      <c r="M76" s="1244"/>
      <c r="N76" s="1244"/>
      <c r="O76" s="1244"/>
      <c r="P76" s="1244"/>
      <c r="Q76" s="1244"/>
      <c r="R76" s="1244"/>
      <c r="S76" s="1244"/>
      <c r="T76" s="1248"/>
      <c r="U76" s="1248"/>
      <c r="V76" s="1248"/>
      <c r="W76" s="1248"/>
      <c r="X76" s="1248"/>
      <c r="Y76" s="1255"/>
      <c r="Z76" s="1255"/>
      <c r="AA76" s="1255"/>
      <c r="AB76" s="1255"/>
      <c r="AC76" s="1255"/>
      <c r="AD76" s="1255"/>
      <c r="AE76" s="1255"/>
      <c r="AF76" s="1255"/>
      <c r="AG76" s="1255"/>
      <c r="AH76" s="1255"/>
      <c r="AI76" s="1255"/>
      <c r="AJ76" s="1255"/>
      <c r="AK76" s="1255"/>
      <c r="AL76" s="1255"/>
    </row>
    <row r="77" spans="3:38" ht="14.4" hidden="1" customHeight="1" x14ac:dyDescent="0.3">
      <c r="C77" s="1245"/>
      <c r="D77" s="1244"/>
      <c r="E77" s="1244"/>
      <c r="F77" s="1244"/>
      <c r="G77" s="1244"/>
      <c r="H77" s="1244"/>
      <c r="I77" s="1244"/>
      <c r="J77" s="1244"/>
      <c r="K77" s="1244"/>
      <c r="L77" s="1244"/>
      <c r="M77" s="1244"/>
      <c r="N77" s="1244"/>
      <c r="O77" s="1244"/>
      <c r="P77" s="1244"/>
      <c r="Q77" s="1244"/>
      <c r="R77" s="1244"/>
      <c r="S77" s="1244"/>
      <c r="T77" s="1248"/>
      <c r="U77" s="1248"/>
      <c r="V77" s="1248"/>
      <c r="W77" s="1248"/>
      <c r="X77" s="1248"/>
      <c r="Y77" s="1255"/>
      <c r="Z77" s="1255"/>
      <c r="AA77" s="1255"/>
      <c r="AB77" s="1255"/>
      <c r="AC77" s="1255"/>
      <c r="AD77" s="1255"/>
      <c r="AE77" s="1255"/>
      <c r="AF77" s="1255"/>
      <c r="AG77" s="1255"/>
      <c r="AH77" s="1255"/>
      <c r="AI77" s="1255"/>
      <c r="AJ77" s="1255"/>
      <c r="AK77" s="1255"/>
      <c r="AL77" s="1255"/>
    </row>
    <row r="78" spans="3:38" ht="14.4" hidden="1" customHeight="1" x14ac:dyDescent="0.3">
      <c r="C78" s="1245"/>
      <c r="D78" s="1244"/>
      <c r="E78" s="1244"/>
      <c r="F78" s="1244"/>
      <c r="G78" s="1244"/>
      <c r="H78" s="1244"/>
      <c r="I78" s="1244"/>
      <c r="J78" s="1244"/>
      <c r="K78" s="1244"/>
      <c r="L78" s="1244"/>
      <c r="M78" s="1244"/>
      <c r="N78" s="1244"/>
      <c r="O78" s="1244"/>
      <c r="P78" s="1244"/>
      <c r="Q78" s="1244"/>
      <c r="R78" s="1244"/>
      <c r="S78" s="1244"/>
      <c r="T78" s="1248"/>
      <c r="U78" s="1248"/>
      <c r="V78" s="1248"/>
      <c r="W78" s="1248"/>
      <c r="X78" s="1248"/>
      <c r="Y78" s="1255"/>
      <c r="Z78" s="1255"/>
      <c r="AA78" s="1255"/>
      <c r="AB78" s="1255"/>
      <c r="AC78" s="1255"/>
      <c r="AD78" s="1255"/>
      <c r="AE78" s="1255"/>
      <c r="AF78" s="1255"/>
      <c r="AG78" s="1255"/>
      <c r="AH78" s="1255"/>
      <c r="AI78" s="1255"/>
      <c r="AJ78" s="1255"/>
      <c r="AK78" s="1255"/>
      <c r="AL78" s="1255"/>
    </row>
    <row r="79" spans="3:38" ht="14.4" hidden="1" customHeight="1" x14ac:dyDescent="0.3">
      <c r="C79" s="1245"/>
      <c r="D79" s="1244"/>
      <c r="E79" s="1244"/>
      <c r="F79" s="1244"/>
      <c r="G79" s="1244"/>
      <c r="H79" s="1244"/>
      <c r="I79" s="1244"/>
      <c r="J79" s="1244"/>
      <c r="K79" s="1244"/>
      <c r="L79" s="1244"/>
      <c r="M79" s="1244"/>
      <c r="N79" s="1244"/>
      <c r="O79" s="1244"/>
      <c r="P79" s="1244"/>
      <c r="Q79" s="1244"/>
      <c r="R79" s="1244"/>
      <c r="S79" s="1244"/>
      <c r="T79" s="1248"/>
      <c r="U79" s="1248"/>
      <c r="V79" s="1248"/>
      <c r="W79" s="1248"/>
      <c r="X79" s="1248"/>
      <c r="Y79" s="1255"/>
      <c r="Z79" s="1255"/>
      <c r="AA79" s="1255"/>
      <c r="AB79" s="1255"/>
      <c r="AC79" s="1255"/>
      <c r="AD79" s="1255"/>
      <c r="AE79" s="1255"/>
      <c r="AF79" s="1255"/>
      <c r="AG79" s="1255"/>
      <c r="AH79" s="1255"/>
      <c r="AI79" s="1255"/>
      <c r="AJ79" s="1255"/>
      <c r="AK79" s="1255"/>
      <c r="AL79" s="1255"/>
    </row>
    <row r="80" spans="3:38" ht="14.4" hidden="1" customHeight="1" x14ac:dyDescent="0.3">
      <c r="C80" s="1245"/>
      <c r="D80" s="1244"/>
      <c r="E80" s="1244"/>
      <c r="F80" s="1244"/>
      <c r="G80" s="1244"/>
      <c r="H80" s="1244"/>
      <c r="I80" s="1244"/>
      <c r="J80" s="1244"/>
      <c r="K80" s="1244"/>
      <c r="L80" s="1244"/>
      <c r="M80" s="1244"/>
      <c r="N80" s="1244"/>
      <c r="O80" s="1244"/>
      <c r="P80" s="1244"/>
      <c r="Q80" s="1244"/>
      <c r="R80" s="1244"/>
      <c r="S80" s="1244"/>
      <c r="T80" s="1248"/>
      <c r="U80" s="1248"/>
      <c r="V80" s="1248"/>
      <c r="W80" s="1248"/>
      <c r="X80" s="1248"/>
      <c r="Y80" s="1255"/>
      <c r="Z80" s="1255"/>
      <c r="AA80" s="1255"/>
      <c r="AB80" s="1255"/>
      <c r="AC80" s="1255"/>
      <c r="AD80" s="1255"/>
      <c r="AE80" s="1255"/>
      <c r="AF80" s="1255"/>
      <c r="AG80" s="1255"/>
      <c r="AH80" s="1255"/>
      <c r="AI80" s="1255"/>
      <c r="AJ80" s="1255"/>
      <c r="AK80" s="1255"/>
      <c r="AL80" s="1255"/>
    </row>
    <row r="81" spans="3:38" ht="14.4" hidden="1" customHeight="1" x14ac:dyDescent="0.3">
      <c r="C81" s="1245"/>
      <c r="D81" s="1244"/>
      <c r="E81" s="1244"/>
      <c r="F81" s="1244"/>
      <c r="G81" s="1244"/>
      <c r="H81" s="1244"/>
      <c r="I81" s="1244"/>
      <c r="J81" s="1244"/>
      <c r="K81" s="1244"/>
      <c r="L81" s="1244"/>
      <c r="M81" s="1244"/>
      <c r="N81" s="1244"/>
      <c r="O81" s="1244"/>
      <c r="P81" s="1244"/>
      <c r="Q81" s="1244"/>
      <c r="R81" s="1244"/>
      <c r="S81" s="1244"/>
      <c r="T81" s="1248"/>
      <c r="U81" s="1248"/>
      <c r="V81" s="1248"/>
      <c r="W81" s="1248"/>
      <c r="X81" s="1248"/>
      <c r="Y81" s="1255"/>
      <c r="Z81" s="1255"/>
      <c r="AA81" s="1255"/>
      <c r="AB81" s="1255"/>
      <c r="AC81" s="1255"/>
      <c r="AD81" s="1255"/>
      <c r="AE81" s="1255"/>
      <c r="AF81" s="1255"/>
      <c r="AG81" s="1255"/>
      <c r="AH81" s="1255"/>
      <c r="AI81" s="1255"/>
      <c r="AJ81" s="1255"/>
      <c r="AK81" s="1255"/>
      <c r="AL81" s="1255"/>
    </row>
    <row r="82" spans="3:38" ht="14.4" hidden="1" customHeight="1" x14ac:dyDescent="0.3">
      <c r="C82" s="1245"/>
      <c r="D82" s="1244"/>
      <c r="E82" s="1244"/>
      <c r="F82" s="1244"/>
      <c r="G82" s="1244"/>
      <c r="H82" s="1244"/>
      <c r="I82" s="1244"/>
      <c r="J82" s="1244"/>
      <c r="K82" s="1244"/>
      <c r="L82" s="1244"/>
      <c r="M82" s="1244"/>
      <c r="N82" s="1244"/>
      <c r="O82" s="1244"/>
      <c r="P82" s="1244"/>
      <c r="Q82" s="1244"/>
      <c r="R82" s="1244"/>
      <c r="S82" s="1244"/>
      <c r="T82" s="1248"/>
      <c r="U82" s="1248"/>
      <c r="V82" s="1248"/>
      <c r="W82" s="1248"/>
      <c r="X82" s="1248"/>
      <c r="Y82" s="1255"/>
      <c r="Z82" s="1255"/>
      <c r="AA82" s="1255"/>
      <c r="AB82" s="1255"/>
      <c r="AC82" s="1255"/>
      <c r="AD82" s="1255"/>
      <c r="AE82" s="1255"/>
      <c r="AF82" s="1255"/>
      <c r="AG82" s="1255"/>
      <c r="AH82" s="1255"/>
      <c r="AI82" s="1255"/>
      <c r="AJ82" s="1255"/>
      <c r="AK82" s="1255"/>
      <c r="AL82" s="1255"/>
    </row>
    <row r="83" spans="3:38" ht="14.4" hidden="1" customHeight="1" x14ac:dyDescent="0.3">
      <c r="C83" s="1245"/>
      <c r="D83" s="1244"/>
      <c r="E83" s="1244"/>
      <c r="F83" s="1244"/>
      <c r="G83" s="1244"/>
      <c r="H83" s="1244"/>
      <c r="I83" s="1244"/>
      <c r="J83" s="1244"/>
      <c r="K83" s="1244"/>
      <c r="L83" s="1244"/>
      <c r="M83" s="1244"/>
      <c r="N83" s="1244"/>
      <c r="O83" s="1244"/>
      <c r="P83" s="1244"/>
      <c r="Q83" s="1244"/>
      <c r="R83" s="1244"/>
      <c r="S83" s="1244"/>
      <c r="T83" s="1248"/>
      <c r="U83" s="1248"/>
      <c r="V83" s="1248"/>
      <c r="W83" s="1248"/>
      <c r="X83" s="1248"/>
      <c r="Y83" s="1255"/>
      <c r="Z83" s="1255"/>
      <c r="AA83" s="1255"/>
      <c r="AB83" s="1255"/>
      <c r="AC83" s="1255"/>
      <c r="AD83" s="1255"/>
      <c r="AE83" s="1255"/>
      <c r="AF83" s="1255"/>
      <c r="AG83" s="1255"/>
      <c r="AH83" s="1255"/>
      <c r="AI83" s="1255"/>
      <c r="AJ83" s="1255"/>
      <c r="AK83" s="1255"/>
      <c r="AL83" s="1255"/>
    </row>
    <row r="84" spans="3:38" ht="14.4" hidden="1" customHeight="1" x14ac:dyDescent="0.3">
      <c r="C84" s="1245"/>
      <c r="D84" s="1244"/>
      <c r="E84" s="1244"/>
      <c r="F84" s="1244"/>
      <c r="G84" s="1244"/>
      <c r="H84" s="1244"/>
      <c r="I84" s="1244"/>
      <c r="J84" s="1244"/>
      <c r="K84" s="1244"/>
      <c r="L84" s="1244"/>
      <c r="M84" s="1244"/>
      <c r="N84" s="1244"/>
      <c r="O84" s="1244"/>
      <c r="P84" s="1244"/>
      <c r="Q84" s="1244"/>
      <c r="R84" s="1244"/>
      <c r="S84" s="1244"/>
      <c r="T84" s="1248"/>
      <c r="U84" s="1248"/>
      <c r="V84" s="1248"/>
      <c r="W84" s="1248"/>
      <c r="X84" s="1248"/>
      <c r="Y84" s="1255"/>
      <c r="Z84" s="1255"/>
      <c r="AA84" s="1255"/>
      <c r="AB84" s="1255"/>
      <c r="AC84" s="1255"/>
      <c r="AD84" s="1255"/>
      <c r="AE84" s="1255"/>
      <c r="AF84" s="1255"/>
      <c r="AG84" s="1255"/>
      <c r="AH84" s="1255"/>
      <c r="AI84" s="1255"/>
      <c r="AJ84" s="1255"/>
      <c r="AK84" s="1255"/>
      <c r="AL84" s="1255"/>
    </row>
    <row r="85" spans="3:38" ht="14.4" hidden="1" customHeight="1" x14ac:dyDescent="0.3">
      <c r="C85" s="1245"/>
      <c r="D85" s="1244"/>
      <c r="E85" s="1244"/>
      <c r="F85" s="1244"/>
      <c r="G85" s="1244"/>
      <c r="H85" s="1244"/>
      <c r="I85" s="1244"/>
      <c r="J85" s="1244"/>
      <c r="K85" s="1244"/>
      <c r="L85" s="1244"/>
      <c r="M85" s="1244"/>
      <c r="N85" s="1244"/>
      <c r="O85" s="1244"/>
      <c r="P85" s="1244"/>
      <c r="Q85" s="1244"/>
      <c r="R85" s="1244"/>
      <c r="S85" s="1244"/>
      <c r="T85" s="1248"/>
      <c r="U85" s="1248"/>
      <c r="V85" s="1248"/>
      <c r="W85" s="1248"/>
      <c r="X85" s="1248"/>
      <c r="Y85" s="1255"/>
      <c r="Z85" s="1255"/>
      <c r="AA85" s="1255"/>
      <c r="AB85" s="1255"/>
      <c r="AC85" s="1255"/>
      <c r="AD85" s="1255"/>
      <c r="AE85" s="1255"/>
      <c r="AF85" s="1255"/>
      <c r="AG85" s="1255"/>
      <c r="AH85" s="1255"/>
      <c r="AI85" s="1255"/>
      <c r="AJ85" s="1255"/>
      <c r="AK85" s="1255"/>
      <c r="AL85" s="1255"/>
    </row>
    <row r="86" spans="3:38" ht="14.4" hidden="1" customHeight="1" x14ac:dyDescent="0.3">
      <c r="C86" s="1245"/>
      <c r="D86" s="1244"/>
      <c r="E86" s="1244"/>
      <c r="F86" s="1244"/>
      <c r="G86" s="1244"/>
      <c r="H86" s="1244"/>
      <c r="I86" s="1244"/>
      <c r="J86" s="1244"/>
      <c r="K86" s="1244"/>
      <c r="L86" s="1244"/>
      <c r="M86" s="1244"/>
      <c r="N86" s="1244"/>
      <c r="O86" s="1244"/>
      <c r="P86" s="1244"/>
      <c r="Q86" s="1244"/>
      <c r="R86" s="1244"/>
      <c r="S86" s="1244"/>
      <c r="T86" s="1248"/>
      <c r="U86" s="1248"/>
      <c r="V86" s="1248"/>
      <c r="W86" s="1248"/>
      <c r="X86" s="1248"/>
      <c r="Y86" s="1255"/>
      <c r="Z86" s="1255"/>
      <c r="AA86" s="1255"/>
      <c r="AB86" s="1255"/>
      <c r="AC86" s="1255"/>
      <c r="AD86" s="1255"/>
      <c r="AE86" s="1255"/>
      <c r="AF86" s="1255"/>
      <c r="AG86" s="1255"/>
      <c r="AH86" s="1255"/>
      <c r="AI86" s="1255"/>
      <c r="AJ86" s="1255"/>
      <c r="AK86" s="1255"/>
      <c r="AL86" s="1255"/>
    </row>
    <row r="87" spans="3:38" ht="14.4" hidden="1" customHeight="1" x14ac:dyDescent="0.3">
      <c r="C87" s="1245"/>
      <c r="D87" s="1244"/>
      <c r="E87" s="1244"/>
      <c r="F87" s="1244"/>
      <c r="G87" s="1244"/>
      <c r="H87" s="1244"/>
      <c r="I87" s="1244"/>
      <c r="J87" s="1244"/>
      <c r="K87" s="1244"/>
      <c r="L87" s="1244"/>
      <c r="M87" s="1244"/>
      <c r="N87" s="1244"/>
      <c r="O87" s="1244"/>
      <c r="P87" s="1244"/>
      <c r="Q87" s="1244"/>
      <c r="R87" s="1244"/>
      <c r="S87" s="1244"/>
      <c r="T87" s="1248"/>
      <c r="U87" s="1248"/>
      <c r="V87" s="1248"/>
      <c r="W87" s="1248"/>
      <c r="X87" s="1248"/>
      <c r="Y87" s="1255"/>
      <c r="Z87" s="1255"/>
      <c r="AA87" s="1255"/>
      <c r="AB87" s="1255"/>
      <c r="AC87" s="1255"/>
      <c r="AD87" s="1255"/>
      <c r="AE87" s="1255"/>
      <c r="AF87" s="1255"/>
      <c r="AG87" s="1255"/>
      <c r="AH87" s="1255"/>
      <c r="AI87" s="1255"/>
      <c r="AJ87" s="1255"/>
      <c r="AK87" s="1255"/>
      <c r="AL87" s="1255"/>
    </row>
    <row r="88" spans="3:38" ht="14.4" hidden="1" customHeight="1" x14ac:dyDescent="0.3">
      <c r="C88" s="1245"/>
      <c r="D88" s="1244"/>
      <c r="E88" s="1244"/>
      <c r="F88" s="1244"/>
      <c r="G88" s="1244"/>
      <c r="H88" s="1244"/>
      <c r="I88" s="1244"/>
      <c r="J88" s="1244"/>
      <c r="K88" s="1244"/>
      <c r="L88" s="1244"/>
      <c r="M88" s="1244"/>
      <c r="N88" s="1244"/>
      <c r="O88" s="1244"/>
      <c r="P88" s="1244"/>
      <c r="Q88" s="1244"/>
      <c r="R88" s="1244"/>
      <c r="S88" s="1244"/>
      <c r="T88" s="1248"/>
      <c r="U88" s="1248"/>
      <c r="V88" s="1248"/>
      <c r="W88" s="1248"/>
      <c r="X88" s="1248"/>
      <c r="Y88" s="1255"/>
      <c r="Z88" s="1255"/>
      <c r="AA88" s="1255"/>
      <c r="AB88" s="1255"/>
      <c r="AC88" s="1255"/>
      <c r="AD88" s="1255"/>
      <c r="AE88" s="1255"/>
      <c r="AF88" s="1255"/>
      <c r="AG88" s="1255"/>
      <c r="AH88" s="1255"/>
      <c r="AI88" s="1255"/>
      <c r="AJ88" s="1255"/>
      <c r="AK88" s="1255"/>
      <c r="AL88" s="1255"/>
    </row>
    <row r="89" spans="3:38" ht="14.4" hidden="1" customHeight="1" x14ac:dyDescent="0.3">
      <c r="C89" s="1245"/>
      <c r="D89" s="1244"/>
      <c r="E89" s="1244"/>
      <c r="F89" s="1244"/>
      <c r="G89" s="1244"/>
      <c r="H89" s="1244"/>
      <c r="I89" s="1244"/>
      <c r="J89" s="1244"/>
      <c r="K89" s="1244"/>
      <c r="L89" s="1244"/>
      <c r="M89" s="1244"/>
      <c r="N89" s="1244"/>
      <c r="O89" s="1244"/>
      <c r="P89" s="1244"/>
      <c r="Q89" s="1244"/>
      <c r="R89" s="1244"/>
      <c r="S89" s="1244"/>
      <c r="T89" s="1248"/>
      <c r="U89" s="1248"/>
      <c r="V89" s="1248"/>
      <c r="W89" s="1248"/>
      <c r="X89" s="1248"/>
      <c r="Y89" s="1255"/>
      <c r="Z89" s="1255"/>
      <c r="AA89" s="1255"/>
      <c r="AB89" s="1255"/>
      <c r="AC89" s="1255"/>
      <c r="AD89" s="1255"/>
      <c r="AE89" s="1255"/>
      <c r="AF89" s="1255"/>
      <c r="AG89" s="1255"/>
      <c r="AH89" s="1255"/>
      <c r="AI89" s="1255"/>
      <c r="AJ89" s="1255"/>
      <c r="AK89" s="1255"/>
      <c r="AL89" s="1255"/>
    </row>
    <row r="90" spans="3:38" ht="14.4" hidden="1" customHeight="1" x14ac:dyDescent="0.3">
      <c r="C90" s="1245"/>
      <c r="D90" s="1244"/>
      <c r="E90" s="1244"/>
      <c r="F90" s="1244"/>
      <c r="G90" s="1244"/>
      <c r="H90" s="1244"/>
      <c r="I90" s="1244"/>
      <c r="J90" s="1244"/>
      <c r="K90" s="1244"/>
      <c r="L90" s="1244"/>
      <c r="M90" s="1244"/>
      <c r="N90" s="1244"/>
      <c r="O90" s="1244"/>
      <c r="P90" s="1244"/>
      <c r="Q90" s="1244"/>
      <c r="R90" s="1244"/>
      <c r="S90" s="1244"/>
      <c r="T90" s="1248"/>
      <c r="U90" s="1248"/>
      <c r="V90" s="1248"/>
      <c r="W90" s="1248"/>
      <c r="X90" s="1248"/>
      <c r="Y90" s="1255"/>
      <c r="Z90" s="1255"/>
      <c r="AA90" s="1255"/>
      <c r="AB90" s="1255"/>
      <c r="AC90" s="1255"/>
      <c r="AD90" s="1255"/>
      <c r="AE90" s="1255"/>
      <c r="AF90" s="1255"/>
      <c r="AG90" s="1255"/>
      <c r="AH90" s="1255"/>
      <c r="AI90" s="1255"/>
      <c r="AJ90" s="1255"/>
      <c r="AK90" s="1255"/>
      <c r="AL90" s="1255"/>
    </row>
    <row r="91" spans="3:38" ht="14.4" hidden="1" customHeight="1" x14ac:dyDescent="0.3">
      <c r="C91" s="1245"/>
      <c r="D91" s="1244"/>
      <c r="E91" s="1244"/>
      <c r="F91" s="1244"/>
      <c r="G91" s="1244"/>
      <c r="H91" s="1244"/>
      <c r="I91" s="1244"/>
      <c r="J91" s="1244"/>
      <c r="K91" s="1244"/>
      <c r="L91" s="1244"/>
      <c r="M91" s="1244"/>
      <c r="N91" s="1244"/>
      <c r="O91" s="1244"/>
      <c r="P91" s="1244"/>
      <c r="Q91" s="1244"/>
      <c r="R91" s="1244"/>
      <c r="S91" s="1244"/>
      <c r="T91" s="1248"/>
      <c r="U91" s="1248"/>
      <c r="V91" s="1248"/>
      <c r="W91" s="1248"/>
      <c r="X91" s="1248"/>
      <c r="Y91" s="1255"/>
      <c r="Z91" s="1255"/>
      <c r="AA91" s="1255"/>
      <c r="AB91" s="1255"/>
      <c r="AC91" s="1255"/>
      <c r="AD91" s="1255"/>
      <c r="AE91" s="1255"/>
      <c r="AF91" s="1255"/>
      <c r="AG91" s="1255"/>
      <c r="AH91" s="1255"/>
      <c r="AI91" s="1255"/>
      <c r="AJ91" s="1255"/>
      <c r="AK91" s="1255"/>
      <c r="AL91" s="1255"/>
    </row>
    <row r="92" spans="3:38" ht="14.4" hidden="1" customHeight="1" x14ac:dyDescent="0.3">
      <c r="C92" s="1245"/>
      <c r="D92" s="1244"/>
      <c r="E92" s="1244"/>
      <c r="F92" s="1244"/>
      <c r="G92" s="1244"/>
      <c r="H92" s="1244"/>
      <c r="I92" s="1244"/>
      <c r="J92" s="1244"/>
      <c r="K92" s="1244"/>
      <c r="L92" s="1244"/>
      <c r="M92" s="1244"/>
      <c r="N92" s="1244"/>
      <c r="O92" s="1244"/>
      <c r="P92" s="1244"/>
      <c r="Q92" s="1244"/>
      <c r="R92" s="1244"/>
      <c r="S92" s="1244"/>
      <c r="T92" s="1248"/>
      <c r="U92" s="1248"/>
      <c r="V92" s="1248"/>
      <c r="W92" s="1248"/>
      <c r="X92" s="1248"/>
      <c r="Y92" s="1255"/>
      <c r="Z92" s="1255"/>
      <c r="AA92" s="1255"/>
      <c r="AB92" s="1255"/>
      <c r="AC92" s="1255"/>
      <c r="AD92" s="1255"/>
      <c r="AE92" s="1255"/>
      <c r="AF92" s="1255"/>
      <c r="AG92" s="1255"/>
      <c r="AH92" s="1255"/>
      <c r="AI92" s="1255"/>
      <c r="AJ92" s="1255"/>
      <c r="AK92" s="1255"/>
      <c r="AL92" s="1255"/>
    </row>
    <row r="93" spans="3:38" ht="14.4" hidden="1" customHeight="1" x14ac:dyDescent="0.3">
      <c r="C93" s="1245"/>
      <c r="D93" s="1244"/>
      <c r="E93" s="1244"/>
      <c r="F93" s="1244"/>
      <c r="G93" s="1244"/>
      <c r="H93" s="1244"/>
      <c r="I93" s="1244"/>
      <c r="J93" s="1244"/>
      <c r="K93" s="1244"/>
      <c r="L93" s="1244"/>
      <c r="M93" s="1244"/>
      <c r="N93" s="1244"/>
      <c r="O93" s="1244"/>
      <c r="P93" s="1244"/>
      <c r="Q93" s="1244"/>
      <c r="R93" s="1244"/>
      <c r="S93" s="1244"/>
      <c r="T93" s="1248"/>
      <c r="U93" s="1248"/>
      <c r="V93" s="1248"/>
      <c r="W93" s="1248"/>
      <c r="X93" s="1248"/>
      <c r="Y93" s="1255"/>
      <c r="Z93" s="1255"/>
      <c r="AA93" s="1255"/>
      <c r="AB93" s="1255"/>
      <c r="AC93" s="1255"/>
      <c r="AD93" s="1255"/>
      <c r="AE93" s="1255"/>
      <c r="AF93" s="1255"/>
      <c r="AG93" s="1255"/>
      <c r="AH93" s="1255"/>
      <c r="AI93" s="1255"/>
      <c r="AJ93" s="1255"/>
      <c r="AK93" s="1255"/>
      <c r="AL93" s="1255"/>
    </row>
    <row r="94" spans="3:38" ht="14.4" hidden="1" customHeight="1" x14ac:dyDescent="0.3">
      <c r="C94" s="1245"/>
      <c r="D94" s="1244"/>
      <c r="E94" s="1244"/>
      <c r="F94" s="1244"/>
      <c r="G94" s="1244"/>
      <c r="H94" s="1244"/>
      <c r="I94" s="1244"/>
      <c r="J94" s="1244"/>
      <c r="K94" s="1244"/>
      <c r="L94" s="1244"/>
      <c r="M94" s="1244"/>
      <c r="N94" s="1244"/>
      <c r="O94" s="1244"/>
      <c r="P94" s="1244"/>
      <c r="Q94" s="1244"/>
      <c r="R94" s="1244"/>
      <c r="S94" s="1244"/>
      <c r="T94" s="1248"/>
      <c r="U94" s="1248"/>
      <c r="V94" s="1248"/>
      <c r="W94" s="1248"/>
      <c r="X94" s="1248"/>
      <c r="Y94" s="1255"/>
      <c r="Z94" s="1255"/>
      <c r="AA94" s="1255"/>
      <c r="AB94" s="1255"/>
      <c r="AC94" s="1255"/>
      <c r="AD94" s="1255"/>
      <c r="AE94" s="1255"/>
      <c r="AF94" s="1255"/>
      <c r="AG94" s="1255"/>
      <c r="AH94" s="1255"/>
      <c r="AI94" s="1255"/>
      <c r="AJ94" s="1255"/>
      <c r="AK94" s="1255"/>
      <c r="AL94" s="1255"/>
    </row>
    <row r="95" spans="3:38" ht="14.4" hidden="1" customHeight="1" x14ac:dyDescent="0.3">
      <c r="C95" s="1245"/>
      <c r="D95" s="1244"/>
      <c r="E95" s="1244"/>
      <c r="F95" s="1244"/>
      <c r="G95" s="1244"/>
      <c r="H95" s="1244"/>
      <c r="I95" s="1244"/>
      <c r="J95" s="1244"/>
      <c r="K95" s="1244"/>
      <c r="L95" s="1244"/>
      <c r="M95" s="1244"/>
      <c r="N95" s="1244"/>
      <c r="O95" s="1244"/>
      <c r="P95" s="1244"/>
      <c r="Q95" s="1244"/>
      <c r="R95" s="1244"/>
      <c r="S95" s="1244"/>
      <c r="T95" s="1248"/>
      <c r="U95" s="1248"/>
      <c r="V95" s="1248"/>
      <c r="W95" s="1248"/>
      <c r="X95" s="1248"/>
      <c r="Y95" s="1255"/>
      <c r="Z95" s="1255"/>
      <c r="AA95" s="1255"/>
      <c r="AB95" s="1255"/>
      <c r="AC95" s="1255"/>
      <c r="AD95" s="1255"/>
      <c r="AE95" s="1255"/>
      <c r="AF95" s="1255"/>
      <c r="AG95" s="1255"/>
      <c r="AH95" s="1255"/>
      <c r="AI95" s="1255"/>
      <c r="AJ95" s="1255"/>
      <c r="AK95" s="1255"/>
      <c r="AL95" s="1255"/>
    </row>
    <row r="96" spans="3:38" ht="14.4" hidden="1" customHeight="1" x14ac:dyDescent="0.3">
      <c r="C96" s="1245"/>
      <c r="D96" s="1244"/>
      <c r="E96" s="1244"/>
      <c r="F96" s="1244"/>
      <c r="G96" s="1244"/>
      <c r="H96" s="1244"/>
      <c r="I96" s="1244"/>
      <c r="J96" s="1244"/>
      <c r="K96" s="1244"/>
      <c r="L96" s="1244"/>
      <c r="M96" s="1244"/>
      <c r="N96" s="1244"/>
      <c r="O96" s="1244"/>
      <c r="P96" s="1244"/>
      <c r="Q96" s="1244"/>
      <c r="R96" s="1244"/>
      <c r="S96" s="1244"/>
      <c r="T96" s="1248"/>
      <c r="U96" s="1248"/>
      <c r="V96" s="1248"/>
      <c r="W96" s="1248"/>
      <c r="X96" s="1248"/>
      <c r="Y96" s="1255"/>
      <c r="Z96" s="1255"/>
      <c r="AA96" s="1255"/>
      <c r="AB96" s="1255"/>
      <c r="AC96" s="1255"/>
      <c r="AD96" s="1255"/>
      <c r="AE96" s="1255"/>
      <c r="AF96" s="1255"/>
      <c r="AG96" s="1255"/>
      <c r="AH96" s="1255"/>
      <c r="AI96" s="1255"/>
      <c r="AJ96" s="1255"/>
      <c r="AK96" s="1255"/>
      <c r="AL96" s="1255"/>
    </row>
    <row r="97" spans="3:38" ht="14.4" hidden="1" customHeight="1" x14ac:dyDescent="0.3">
      <c r="C97" s="1245"/>
      <c r="D97" s="1244"/>
      <c r="E97" s="1244"/>
      <c r="F97" s="1244"/>
      <c r="G97" s="1244"/>
      <c r="H97" s="1244"/>
      <c r="I97" s="1244"/>
      <c r="J97" s="1244"/>
      <c r="K97" s="1244"/>
      <c r="L97" s="1244"/>
      <c r="M97" s="1244"/>
      <c r="N97" s="1244"/>
      <c r="O97" s="1244"/>
      <c r="P97" s="1244"/>
      <c r="Q97" s="1244"/>
      <c r="R97" s="1244"/>
      <c r="S97" s="1244"/>
      <c r="T97" s="1248"/>
      <c r="U97" s="1248"/>
      <c r="V97" s="1248"/>
      <c r="W97" s="1248"/>
      <c r="X97" s="1248"/>
      <c r="Y97" s="1255"/>
      <c r="Z97" s="1255"/>
      <c r="AA97" s="1255"/>
      <c r="AB97" s="1255"/>
      <c r="AC97" s="1255"/>
      <c r="AD97" s="1255"/>
      <c r="AE97" s="1255"/>
      <c r="AF97" s="1255"/>
      <c r="AG97" s="1255"/>
      <c r="AH97" s="1255"/>
      <c r="AI97" s="1255"/>
      <c r="AJ97" s="1255"/>
      <c r="AK97" s="1255"/>
      <c r="AL97" s="1255"/>
    </row>
    <row r="98" spans="3:38" ht="14.4" hidden="1" customHeight="1" x14ac:dyDescent="0.3">
      <c r="C98" s="1245"/>
      <c r="D98" s="1244"/>
      <c r="E98" s="1244"/>
      <c r="F98" s="1244"/>
      <c r="G98" s="1244"/>
      <c r="H98" s="1244"/>
      <c r="I98" s="1244"/>
      <c r="J98" s="1244"/>
      <c r="K98" s="1244"/>
      <c r="L98" s="1244"/>
      <c r="M98" s="1244"/>
      <c r="N98" s="1244"/>
      <c r="O98" s="1244"/>
      <c r="P98" s="1244"/>
      <c r="Q98" s="1244"/>
      <c r="R98" s="1244"/>
      <c r="S98" s="1244"/>
      <c r="T98" s="1248"/>
      <c r="U98" s="1248"/>
      <c r="V98" s="1248"/>
      <c r="W98" s="1248"/>
      <c r="X98" s="1248"/>
      <c r="Y98" s="1255"/>
      <c r="Z98" s="1255"/>
      <c r="AA98" s="1255"/>
      <c r="AB98" s="1255"/>
      <c r="AC98" s="1255"/>
      <c r="AD98" s="1255"/>
      <c r="AE98" s="1255"/>
      <c r="AF98" s="1255"/>
      <c r="AG98" s="1255"/>
      <c r="AH98" s="1255"/>
      <c r="AI98" s="1255"/>
      <c r="AJ98" s="1255"/>
      <c r="AK98" s="1255"/>
      <c r="AL98" s="1255"/>
    </row>
    <row r="99" spans="3:38" ht="14.4" hidden="1" customHeight="1" x14ac:dyDescent="0.3">
      <c r="C99" s="1245"/>
      <c r="D99" s="1244"/>
      <c r="E99" s="1244"/>
      <c r="F99" s="1244"/>
      <c r="G99" s="1244"/>
      <c r="H99" s="1244"/>
      <c r="I99" s="1244"/>
      <c r="J99" s="1244"/>
      <c r="K99" s="1244"/>
      <c r="L99" s="1244"/>
      <c r="M99" s="1244"/>
      <c r="N99" s="1244"/>
      <c r="O99" s="1244"/>
      <c r="P99" s="1244"/>
      <c r="Q99" s="1244"/>
      <c r="R99" s="1244"/>
      <c r="S99" s="1244"/>
      <c r="T99" s="1248"/>
      <c r="U99" s="1248"/>
      <c r="V99" s="1248"/>
      <c r="W99" s="1248"/>
      <c r="X99" s="1248"/>
      <c r="Y99" s="1255"/>
      <c r="Z99" s="1255"/>
      <c r="AA99" s="1255"/>
      <c r="AB99" s="1255"/>
      <c r="AC99" s="1255"/>
      <c r="AD99" s="1255"/>
      <c r="AE99" s="1255"/>
      <c r="AF99" s="1255"/>
      <c r="AG99" s="1255"/>
      <c r="AH99" s="1255"/>
      <c r="AI99" s="1255"/>
      <c r="AJ99" s="1255"/>
      <c r="AK99" s="1255"/>
      <c r="AL99" s="1255"/>
    </row>
    <row r="100" spans="3:38" ht="14.4" hidden="1" customHeight="1" x14ac:dyDescent="0.3">
      <c r="C100" s="1245"/>
      <c r="D100" s="1244"/>
      <c r="E100" s="1244"/>
      <c r="F100" s="1244"/>
      <c r="G100" s="1244"/>
      <c r="H100" s="1244"/>
      <c r="I100" s="1244"/>
      <c r="J100" s="1244"/>
      <c r="K100" s="1244"/>
      <c r="L100" s="1244"/>
      <c r="M100" s="1244"/>
      <c r="N100" s="1244"/>
      <c r="O100" s="1244"/>
      <c r="P100" s="1244"/>
      <c r="Q100" s="1244"/>
      <c r="R100" s="1244"/>
      <c r="S100" s="1244"/>
      <c r="T100" s="1248"/>
      <c r="U100" s="1248"/>
      <c r="V100" s="1248"/>
      <c r="W100" s="1248"/>
      <c r="X100" s="1248"/>
      <c r="Y100" s="1255"/>
      <c r="Z100" s="1255"/>
      <c r="AA100" s="1255"/>
      <c r="AB100" s="1255"/>
      <c r="AC100" s="1255"/>
      <c r="AD100" s="1255"/>
      <c r="AE100" s="1255"/>
      <c r="AF100" s="1255"/>
      <c r="AG100" s="1255"/>
      <c r="AH100" s="1255"/>
      <c r="AI100" s="1255"/>
      <c r="AJ100" s="1255"/>
      <c r="AK100" s="1255"/>
      <c r="AL100" s="1255"/>
    </row>
    <row r="101" spans="3:38" ht="14.4" hidden="1" customHeight="1" x14ac:dyDescent="0.3">
      <c r="T101" s="1255"/>
      <c r="U101" s="1255"/>
      <c r="V101" s="1255"/>
      <c r="W101" s="1255"/>
      <c r="X101" s="1255"/>
      <c r="Y101" s="1255"/>
      <c r="Z101" s="1255"/>
      <c r="AA101" s="1255"/>
      <c r="AB101" s="1255"/>
      <c r="AC101" s="1255"/>
      <c r="AD101" s="1255"/>
      <c r="AE101" s="1255"/>
      <c r="AF101" s="1255"/>
      <c r="AG101" s="1255"/>
      <c r="AH101" s="1255"/>
      <c r="AI101" s="1255"/>
      <c r="AJ101" s="1255"/>
      <c r="AK101" s="1255"/>
      <c r="AL101" s="1255"/>
    </row>
    <row r="102" spans="3:38" ht="14.4" hidden="1" customHeight="1" x14ac:dyDescent="0.3">
      <c r="T102" s="1255"/>
      <c r="U102" s="1255"/>
      <c r="V102" s="1255"/>
      <c r="W102" s="1255"/>
      <c r="X102" s="1255"/>
      <c r="Y102" s="1255"/>
      <c r="Z102" s="1255"/>
      <c r="AA102" s="1255"/>
      <c r="AB102" s="1255"/>
      <c r="AC102" s="1255"/>
      <c r="AD102" s="1255"/>
      <c r="AE102" s="1255"/>
      <c r="AF102" s="1255"/>
      <c r="AG102" s="1255"/>
      <c r="AH102" s="1255"/>
      <c r="AI102" s="1255"/>
      <c r="AJ102" s="1255"/>
      <c r="AK102" s="1255"/>
      <c r="AL102" s="1255"/>
    </row>
    <row r="103" spans="3:38" ht="14.4" hidden="1" customHeight="1" x14ac:dyDescent="0.3">
      <c r="T103" s="1255"/>
      <c r="U103" s="1255"/>
      <c r="V103" s="1255"/>
      <c r="W103" s="1255"/>
      <c r="X103" s="1255"/>
      <c r="Y103" s="1255"/>
      <c r="Z103" s="1255"/>
      <c r="AA103" s="1255"/>
      <c r="AB103" s="1255"/>
      <c r="AC103" s="1255"/>
      <c r="AD103" s="1255"/>
      <c r="AE103" s="1255"/>
      <c r="AF103" s="1255"/>
      <c r="AG103" s="1255"/>
      <c r="AH103" s="1255"/>
      <c r="AI103" s="1255"/>
      <c r="AJ103" s="1255"/>
      <c r="AK103" s="1255"/>
      <c r="AL103" s="1255"/>
    </row>
    <row r="104" spans="3:38" ht="14.4" hidden="1" customHeight="1" x14ac:dyDescent="0.3">
      <c r="T104" s="1255"/>
      <c r="U104" s="1255"/>
      <c r="V104" s="1255"/>
      <c r="W104" s="1255"/>
      <c r="X104" s="1255"/>
      <c r="Y104" s="1255"/>
      <c r="Z104" s="1255"/>
      <c r="AA104" s="1255"/>
      <c r="AB104" s="1255"/>
      <c r="AC104" s="1255"/>
      <c r="AD104" s="1255"/>
      <c r="AE104" s="1255"/>
      <c r="AF104" s="1255"/>
      <c r="AG104" s="1255"/>
      <c r="AH104" s="1255"/>
      <c r="AI104" s="1255"/>
      <c r="AJ104" s="1255"/>
      <c r="AK104" s="1255"/>
      <c r="AL104" s="1255"/>
    </row>
    <row r="105" spans="3:38" ht="14.4" hidden="1" customHeight="1" x14ac:dyDescent="0.3">
      <c r="T105" s="1255"/>
      <c r="U105" s="1255"/>
      <c r="V105" s="1255"/>
      <c r="W105" s="1255"/>
      <c r="X105" s="1255"/>
      <c r="Y105" s="1255"/>
      <c r="Z105" s="1255"/>
      <c r="AA105" s="1255"/>
      <c r="AB105" s="1255"/>
      <c r="AC105" s="1255"/>
      <c r="AD105" s="1255"/>
      <c r="AE105" s="1255"/>
      <c r="AF105" s="1255"/>
      <c r="AG105" s="1255"/>
      <c r="AH105" s="1255"/>
      <c r="AI105" s="1255"/>
      <c r="AJ105" s="1255"/>
      <c r="AK105" s="1255"/>
      <c r="AL105" s="1255"/>
    </row>
    <row r="106" spans="3:38" ht="14.4" hidden="1" customHeight="1" x14ac:dyDescent="0.3">
      <c r="T106" s="1255"/>
      <c r="U106" s="1255"/>
      <c r="V106" s="1255"/>
      <c r="W106" s="1255"/>
      <c r="X106" s="1255"/>
      <c r="Y106" s="1255"/>
      <c r="Z106" s="1255"/>
      <c r="AA106" s="1255"/>
      <c r="AB106" s="1255"/>
      <c r="AC106" s="1255"/>
      <c r="AD106" s="1255"/>
      <c r="AE106" s="1255"/>
      <c r="AF106" s="1255"/>
      <c r="AG106" s="1255"/>
      <c r="AH106" s="1255"/>
      <c r="AI106" s="1255"/>
      <c r="AJ106" s="1255"/>
      <c r="AK106" s="1255"/>
      <c r="AL106" s="1255"/>
    </row>
    <row r="107" spans="3:38" ht="14.4" hidden="1" customHeight="1" x14ac:dyDescent="0.3">
      <c r="T107" s="1255"/>
      <c r="U107" s="1255"/>
      <c r="V107" s="1255"/>
      <c r="W107" s="1255"/>
      <c r="X107" s="1255"/>
      <c r="Y107" s="1255"/>
      <c r="Z107" s="1255"/>
      <c r="AA107" s="1255"/>
      <c r="AB107" s="1255"/>
      <c r="AC107" s="1255"/>
      <c r="AD107" s="1255"/>
      <c r="AE107" s="1255"/>
      <c r="AF107" s="1255"/>
      <c r="AG107" s="1255"/>
      <c r="AH107" s="1255"/>
      <c r="AI107" s="1255"/>
      <c r="AJ107" s="1255"/>
      <c r="AK107" s="1255"/>
      <c r="AL107" s="1255"/>
    </row>
    <row r="108" spans="3:38" ht="14.4" hidden="1" customHeight="1" x14ac:dyDescent="0.3">
      <c r="T108" s="1255"/>
      <c r="U108" s="1255"/>
      <c r="V108" s="1255"/>
      <c r="W108" s="1255"/>
      <c r="X108" s="1255"/>
      <c r="Y108" s="1255"/>
      <c r="Z108" s="1255"/>
      <c r="AA108" s="1255"/>
      <c r="AB108" s="1255"/>
      <c r="AC108" s="1255"/>
      <c r="AD108" s="1255"/>
      <c r="AE108" s="1255"/>
      <c r="AF108" s="1255"/>
      <c r="AG108" s="1255"/>
      <c r="AH108" s="1255"/>
      <c r="AI108" s="1255"/>
      <c r="AJ108" s="1255"/>
      <c r="AK108" s="1255"/>
      <c r="AL108" s="1255"/>
    </row>
    <row r="109" spans="3:38" ht="14.4" hidden="1" customHeight="1" x14ac:dyDescent="0.3">
      <c r="T109" s="1255"/>
      <c r="U109" s="1255"/>
      <c r="V109" s="1255"/>
      <c r="W109" s="1255"/>
      <c r="X109" s="1255"/>
      <c r="Y109" s="1255"/>
      <c r="Z109" s="1255"/>
      <c r="AA109" s="1255"/>
      <c r="AB109" s="1255"/>
      <c r="AC109" s="1255"/>
      <c r="AD109" s="1255"/>
      <c r="AE109" s="1255"/>
      <c r="AF109" s="1255"/>
      <c r="AG109" s="1255"/>
      <c r="AH109" s="1255"/>
      <c r="AI109" s="1255"/>
      <c r="AJ109" s="1255"/>
      <c r="AK109" s="1255"/>
      <c r="AL109" s="1255"/>
    </row>
    <row r="110" spans="3:38" ht="14.4" hidden="1" customHeight="1" x14ac:dyDescent="0.3">
      <c r="T110" s="1255"/>
      <c r="U110" s="1255"/>
      <c r="V110" s="1255"/>
      <c r="W110" s="1255"/>
      <c r="X110" s="1255"/>
      <c r="Y110" s="1255"/>
      <c r="Z110" s="1255"/>
      <c r="AA110" s="1255"/>
      <c r="AB110" s="1255"/>
      <c r="AC110" s="1255"/>
      <c r="AD110" s="1255"/>
      <c r="AE110" s="1255"/>
      <c r="AF110" s="1255"/>
      <c r="AG110" s="1255"/>
      <c r="AH110" s="1255"/>
      <c r="AI110" s="1255"/>
      <c r="AJ110" s="1255"/>
      <c r="AK110" s="1255"/>
      <c r="AL110" s="1255"/>
    </row>
    <row r="111" spans="3:38" ht="14.4" hidden="1" customHeight="1" x14ac:dyDescent="0.3">
      <c r="T111" s="1255"/>
      <c r="U111" s="1255"/>
      <c r="V111" s="1255"/>
      <c r="W111" s="1255"/>
      <c r="X111" s="1255"/>
      <c r="Y111" s="1255"/>
      <c r="Z111" s="1255"/>
      <c r="AA111" s="1255"/>
      <c r="AB111" s="1255"/>
      <c r="AC111" s="1255"/>
      <c r="AD111" s="1255"/>
      <c r="AE111" s="1255"/>
      <c r="AF111" s="1255"/>
      <c r="AG111" s="1255"/>
      <c r="AH111" s="1255"/>
      <c r="AI111" s="1255"/>
      <c r="AJ111" s="1255"/>
      <c r="AK111" s="1255"/>
      <c r="AL111" s="1255"/>
    </row>
    <row r="112" spans="3:38" ht="14.4" hidden="1" customHeight="1" x14ac:dyDescent="0.3">
      <c r="T112" s="1255"/>
      <c r="U112" s="1255"/>
      <c r="V112" s="1255"/>
      <c r="W112" s="1255"/>
      <c r="X112" s="1255"/>
      <c r="Y112" s="1255"/>
      <c r="Z112" s="1255"/>
      <c r="AA112" s="1255"/>
      <c r="AB112" s="1255"/>
      <c r="AC112" s="1255"/>
      <c r="AD112" s="1255"/>
      <c r="AE112" s="1255"/>
      <c r="AF112" s="1255"/>
      <c r="AG112" s="1255"/>
      <c r="AH112" s="1255"/>
      <c r="AI112" s="1255"/>
      <c r="AJ112" s="1255"/>
      <c r="AK112" s="1255"/>
      <c r="AL112" s="1255"/>
    </row>
    <row r="113" spans="20:38" ht="14.4" hidden="1" customHeight="1" x14ac:dyDescent="0.3">
      <c r="T113" s="1255"/>
      <c r="U113" s="1255"/>
      <c r="V113" s="1255"/>
      <c r="W113" s="1255"/>
      <c r="X113" s="1255"/>
      <c r="Y113" s="1255"/>
      <c r="Z113" s="1255"/>
      <c r="AA113" s="1255"/>
      <c r="AB113" s="1255"/>
      <c r="AC113" s="1255"/>
      <c r="AD113" s="1255"/>
      <c r="AE113" s="1255"/>
      <c r="AF113" s="1255"/>
      <c r="AG113" s="1255"/>
      <c r="AH113" s="1255"/>
      <c r="AI113" s="1255"/>
      <c r="AJ113" s="1255"/>
      <c r="AK113" s="1255"/>
      <c r="AL113" s="1255"/>
    </row>
    <row r="114" spans="20:38" ht="14.4" hidden="1" customHeight="1" x14ac:dyDescent="0.3">
      <c r="T114" s="1255"/>
      <c r="U114" s="1255"/>
      <c r="V114" s="1255"/>
      <c r="W114" s="1255"/>
      <c r="X114" s="1255"/>
      <c r="Y114" s="1255"/>
      <c r="Z114" s="1255"/>
      <c r="AA114" s="1255"/>
      <c r="AB114" s="1255"/>
      <c r="AC114" s="1255"/>
      <c r="AD114" s="1255"/>
      <c r="AE114" s="1255"/>
      <c r="AF114" s="1255"/>
      <c r="AG114" s="1255"/>
      <c r="AH114" s="1255"/>
      <c r="AI114" s="1255"/>
      <c r="AJ114" s="1255"/>
      <c r="AK114" s="1255"/>
      <c r="AL114" s="1255"/>
    </row>
    <row r="115" spans="20:38" ht="14.4" hidden="1" customHeight="1" x14ac:dyDescent="0.3">
      <c r="T115" s="1255"/>
      <c r="U115" s="1255"/>
      <c r="V115" s="1255"/>
      <c r="W115" s="1255"/>
      <c r="X115" s="1255"/>
      <c r="Y115" s="1255"/>
      <c r="Z115" s="1255"/>
      <c r="AA115" s="1255"/>
      <c r="AB115" s="1255"/>
      <c r="AC115" s="1255"/>
      <c r="AD115" s="1255"/>
      <c r="AE115" s="1255"/>
      <c r="AF115" s="1255"/>
      <c r="AG115" s="1255"/>
      <c r="AH115" s="1255"/>
      <c r="AI115" s="1255"/>
      <c r="AJ115" s="1255"/>
      <c r="AK115" s="1255"/>
      <c r="AL115" s="1255"/>
    </row>
    <row r="116" spans="20:38" ht="14.4" hidden="1" customHeight="1" x14ac:dyDescent="0.3">
      <c r="T116" s="1255"/>
      <c r="U116" s="1255"/>
      <c r="V116" s="1255"/>
      <c r="W116" s="1255"/>
      <c r="X116" s="1255"/>
      <c r="Y116" s="1255"/>
      <c r="Z116" s="1255"/>
      <c r="AA116" s="1255"/>
      <c r="AB116" s="1255"/>
      <c r="AC116" s="1255"/>
      <c r="AD116" s="1255"/>
      <c r="AE116" s="1255"/>
      <c r="AF116" s="1255"/>
      <c r="AG116" s="1255"/>
      <c r="AH116" s="1255"/>
      <c r="AI116" s="1255"/>
      <c r="AJ116" s="1255"/>
      <c r="AK116" s="1255"/>
      <c r="AL116" s="1255"/>
    </row>
    <row r="117" spans="20:38" ht="14.4" hidden="1" customHeight="1" x14ac:dyDescent="0.3">
      <c r="T117" s="1255"/>
      <c r="U117" s="1255"/>
      <c r="V117" s="1255"/>
      <c r="W117" s="1255"/>
      <c r="X117" s="1255"/>
      <c r="Y117" s="1255"/>
      <c r="Z117" s="1255"/>
      <c r="AA117" s="1255"/>
      <c r="AB117" s="1255"/>
      <c r="AC117" s="1255"/>
      <c r="AD117" s="1255"/>
      <c r="AE117" s="1255"/>
      <c r="AF117" s="1255"/>
      <c r="AG117" s="1255"/>
      <c r="AH117" s="1255"/>
      <c r="AI117" s="1255"/>
      <c r="AJ117" s="1255"/>
      <c r="AK117" s="1255"/>
      <c r="AL117" s="1255"/>
    </row>
    <row r="118" spans="20:38" ht="14.4" hidden="1" customHeight="1" x14ac:dyDescent="0.3">
      <c r="T118" s="1255"/>
      <c r="U118" s="1255"/>
      <c r="V118" s="1255"/>
      <c r="W118" s="1255"/>
      <c r="X118" s="1255"/>
      <c r="Y118" s="1255"/>
      <c r="Z118" s="1255"/>
      <c r="AA118" s="1255"/>
      <c r="AB118" s="1255"/>
      <c r="AC118" s="1255"/>
      <c r="AD118" s="1255"/>
      <c r="AE118" s="1255"/>
      <c r="AF118" s="1255"/>
      <c r="AG118" s="1255"/>
      <c r="AH118" s="1255"/>
      <c r="AI118" s="1255"/>
      <c r="AJ118" s="1255"/>
      <c r="AK118" s="1255"/>
      <c r="AL118" s="1255"/>
    </row>
    <row r="119" spans="20:38" ht="14.4" hidden="1" customHeight="1" x14ac:dyDescent="0.3">
      <c r="T119" s="1255"/>
      <c r="U119" s="1255"/>
      <c r="V119" s="1255"/>
      <c r="W119" s="1255"/>
      <c r="X119" s="1255"/>
      <c r="Y119" s="1255"/>
      <c r="Z119" s="1255"/>
      <c r="AA119" s="1255"/>
      <c r="AB119" s="1255"/>
      <c r="AC119" s="1255"/>
      <c r="AD119" s="1255"/>
      <c r="AE119" s="1255"/>
      <c r="AF119" s="1255"/>
      <c r="AG119" s="1255"/>
      <c r="AH119" s="1255"/>
      <c r="AI119" s="1255"/>
      <c r="AJ119" s="1255"/>
      <c r="AK119" s="1255"/>
      <c r="AL119" s="1255"/>
    </row>
    <row r="120" spans="20:38" ht="14.4" hidden="1" customHeight="1" x14ac:dyDescent="0.3">
      <c r="T120" s="1255"/>
      <c r="U120" s="1255"/>
      <c r="V120" s="1255"/>
      <c r="W120" s="1255"/>
      <c r="X120" s="1255"/>
      <c r="Y120" s="1255"/>
      <c r="Z120" s="1255"/>
      <c r="AA120" s="1255"/>
      <c r="AB120" s="1255"/>
      <c r="AC120" s="1255"/>
      <c r="AD120" s="1255"/>
      <c r="AE120" s="1255"/>
      <c r="AF120" s="1255"/>
      <c r="AG120" s="1255"/>
      <c r="AH120" s="1255"/>
      <c r="AI120" s="1255"/>
      <c r="AJ120" s="1255"/>
      <c r="AK120" s="1255"/>
      <c r="AL120" s="1255"/>
    </row>
    <row r="121" spans="20:38" ht="14.4" hidden="1" customHeight="1" x14ac:dyDescent="0.3">
      <c r="T121" s="1255"/>
      <c r="U121" s="1255"/>
      <c r="V121" s="1255"/>
      <c r="W121" s="1255"/>
      <c r="X121" s="1255"/>
      <c r="Y121" s="1255"/>
      <c r="Z121" s="1255"/>
      <c r="AA121" s="1255"/>
      <c r="AB121" s="1255"/>
      <c r="AC121" s="1255"/>
      <c r="AD121" s="1255"/>
      <c r="AE121" s="1255"/>
      <c r="AF121" s="1255"/>
      <c r="AG121" s="1255"/>
      <c r="AH121" s="1255"/>
      <c r="AI121" s="1255"/>
      <c r="AJ121" s="1255"/>
      <c r="AK121" s="1255"/>
      <c r="AL121" s="1255"/>
    </row>
    <row r="122" spans="20:38" ht="14.4" hidden="1" customHeight="1" x14ac:dyDescent="0.3">
      <c r="T122" s="1255"/>
      <c r="U122" s="1255"/>
      <c r="V122" s="1255"/>
      <c r="W122" s="1255"/>
      <c r="X122" s="1255"/>
      <c r="Y122" s="1255"/>
      <c r="Z122" s="1255"/>
      <c r="AA122" s="1255"/>
      <c r="AB122" s="1255"/>
      <c r="AC122" s="1255"/>
      <c r="AD122" s="1255"/>
      <c r="AE122" s="1255"/>
      <c r="AF122" s="1255"/>
      <c r="AG122" s="1255"/>
      <c r="AH122" s="1255"/>
      <c r="AI122" s="1255"/>
      <c r="AJ122" s="1255"/>
      <c r="AK122" s="1255"/>
      <c r="AL122" s="1255"/>
    </row>
    <row r="123" spans="20:38" ht="14.4" hidden="1" customHeight="1" x14ac:dyDescent="0.3">
      <c r="T123" s="1255"/>
      <c r="U123" s="1255"/>
      <c r="V123" s="1255"/>
      <c r="W123" s="1255"/>
      <c r="X123" s="1255"/>
      <c r="Y123" s="1255"/>
      <c r="Z123" s="1255"/>
      <c r="AA123" s="1255"/>
      <c r="AB123" s="1255"/>
      <c r="AC123" s="1255"/>
      <c r="AD123" s="1255"/>
      <c r="AE123" s="1255"/>
      <c r="AF123" s="1255"/>
      <c r="AG123" s="1255"/>
      <c r="AH123" s="1255"/>
      <c r="AI123" s="1255"/>
      <c r="AJ123" s="1255"/>
      <c r="AK123" s="1255"/>
      <c r="AL123" s="1255"/>
    </row>
    <row r="124" spans="20:38" ht="14.4" hidden="1" customHeight="1" x14ac:dyDescent="0.3">
      <c r="T124" s="1255"/>
      <c r="U124" s="1255"/>
      <c r="V124" s="1255"/>
      <c r="W124" s="1255"/>
      <c r="X124" s="1255"/>
      <c r="Y124" s="1255"/>
      <c r="Z124" s="1255"/>
      <c r="AA124" s="1255"/>
      <c r="AB124" s="1255"/>
      <c r="AC124" s="1255"/>
      <c r="AD124" s="1255"/>
      <c r="AE124" s="1255"/>
      <c r="AF124" s="1255"/>
      <c r="AG124" s="1255"/>
      <c r="AH124" s="1255"/>
      <c r="AI124" s="1255"/>
      <c r="AJ124" s="1255"/>
      <c r="AK124" s="1255"/>
      <c r="AL124" s="1255"/>
    </row>
    <row r="125" spans="20:38" ht="14.4" hidden="1" customHeight="1" x14ac:dyDescent="0.3">
      <c r="T125" s="1255"/>
      <c r="U125" s="1255"/>
      <c r="V125" s="1255"/>
      <c r="W125" s="1255"/>
      <c r="X125" s="1255"/>
      <c r="Y125" s="1255"/>
      <c r="Z125" s="1255"/>
      <c r="AA125" s="1255"/>
      <c r="AB125" s="1255"/>
      <c r="AC125" s="1255"/>
      <c r="AD125" s="1255"/>
      <c r="AE125" s="1255"/>
      <c r="AF125" s="1255"/>
      <c r="AG125" s="1255"/>
      <c r="AH125" s="1255"/>
      <c r="AI125" s="1255"/>
      <c r="AJ125" s="1255"/>
      <c r="AK125" s="1255"/>
      <c r="AL125" s="1255"/>
    </row>
    <row r="126" spans="20:38" ht="14.4" hidden="1" customHeight="1" x14ac:dyDescent="0.3">
      <c r="T126" s="1255"/>
      <c r="U126" s="1255"/>
      <c r="V126" s="1255"/>
      <c r="W126" s="1255"/>
      <c r="X126" s="1255"/>
      <c r="Y126" s="1255"/>
      <c r="Z126" s="1255"/>
      <c r="AA126" s="1255"/>
      <c r="AB126" s="1255"/>
      <c r="AC126" s="1255"/>
      <c r="AD126" s="1255"/>
      <c r="AE126" s="1255"/>
      <c r="AF126" s="1255"/>
      <c r="AG126" s="1255"/>
      <c r="AH126" s="1255"/>
      <c r="AI126" s="1255"/>
      <c r="AJ126" s="1255"/>
      <c r="AK126" s="1255"/>
      <c r="AL126" s="1255"/>
    </row>
    <row r="127" spans="20:38" ht="14.4" hidden="1" customHeight="1" x14ac:dyDescent="0.3">
      <c r="T127" s="1255"/>
      <c r="U127" s="1255"/>
      <c r="V127" s="1255"/>
      <c r="W127" s="1255"/>
      <c r="X127" s="1255"/>
      <c r="Y127" s="1255"/>
      <c r="Z127" s="1255"/>
      <c r="AA127" s="1255"/>
      <c r="AB127" s="1255"/>
      <c r="AC127" s="1255"/>
      <c r="AD127" s="1255"/>
      <c r="AE127" s="1255"/>
      <c r="AF127" s="1255"/>
      <c r="AG127" s="1255"/>
      <c r="AH127" s="1255"/>
      <c r="AI127" s="1255"/>
      <c r="AJ127" s="1255"/>
      <c r="AK127" s="1255"/>
      <c r="AL127" s="1255"/>
    </row>
    <row r="128" spans="20:38" ht="14.4" hidden="1" customHeight="1" x14ac:dyDescent="0.3">
      <c r="T128" s="1255"/>
      <c r="U128" s="1255"/>
      <c r="V128" s="1255"/>
      <c r="W128" s="1255"/>
      <c r="X128" s="1255"/>
      <c r="Y128" s="1255"/>
      <c r="Z128" s="1255"/>
      <c r="AA128" s="1255"/>
      <c r="AB128" s="1255"/>
      <c r="AC128" s="1255"/>
      <c r="AD128" s="1255"/>
      <c r="AE128" s="1255"/>
      <c r="AF128" s="1255"/>
      <c r="AG128" s="1255"/>
      <c r="AH128" s="1255"/>
      <c r="AI128" s="1255"/>
      <c r="AJ128" s="1255"/>
      <c r="AK128" s="1255"/>
      <c r="AL128" s="1255"/>
    </row>
    <row r="129" spans="20:38" ht="14.4" hidden="1" customHeight="1" x14ac:dyDescent="0.3">
      <c r="T129" s="1255"/>
      <c r="U129" s="1255"/>
      <c r="V129" s="1255"/>
      <c r="W129" s="1255"/>
      <c r="X129" s="1255"/>
      <c r="Y129" s="1255"/>
      <c r="Z129" s="1255"/>
      <c r="AA129" s="1255"/>
      <c r="AB129" s="1255"/>
      <c r="AC129" s="1255"/>
      <c r="AD129" s="1255"/>
      <c r="AE129" s="1255"/>
      <c r="AF129" s="1255"/>
      <c r="AG129" s="1255"/>
      <c r="AH129" s="1255"/>
      <c r="AI129" s="1255"/>
      <c r="AJ129" s="1255"/>
      <c r="AK129" s="1255"/>
      <c r="AL129" s="1255"/>
    </row>
    <row r="130" spans="20:38" ht="14.4" hidden="1" customHeight="1" x14ac:dyDescent="0.3">
      <c r="T130" s="1255"/>
      <c r="U130" s="1255"/>
      <c r="V130" s="1255"/>
      <c r="W130" s="1255"/>
      <c r="X130" s="1255"/>
      <c r="Y130" s="1255"/>
      <c r="Z130" s="1255"/>
      <c r="AA130" s="1255"/>
      <c r="AB130" s="1255"/>
      <c r="AC130" s="1255"/>
      <c r="AD130" s="1255"/>
      <c r="AE130" s="1255"/>
      <c r="AF130" s="1255"/>
      <c r="AG130" s="1255"/>
      <c r="AH130" s="1255"/>
      <c r="AI130" s="1255"/>
      <c r="AJ130" s="1255"/>
      <c r="AK130" s="1255"/>
      <c r="AL130" s="1255"/>
    </row>
    <row r="131" spans="20:38" ht="14.4" hidden="1" customHeight="1" x14ac:dyDescent="0.3">
      <c r="T131" s="1255"/>
      <c r="U131" s="1255"/>
      <c r="V131" s="1255"/>
      <c r="W131" s="1255"/>
      <c r="X131" s="1255"/>
      <c r="Y131" s="1255"/>
      <c r="Z131" s="1255"/>
      <c r="AA131" s="1255"/>
      <c r="AB131" s="1255"/>
      <c r="AC131" s="1255"/>
      <c r="AD131" s="1255"/>
      <c r="AE131" s="1255"/>
      <c r="AF131" s="1255"/>
      <c r="AG131" s="1255"/>
      <c r="AH131" s="1255"/>
      <c r="AI131" s="1255"/>
      <c r="AJ131" s="1255"/>
      <c r="AK131" s="1255"/>
      <c r="AL131" s="1255"/>
    </row>
    <row r="132" spans="20:38" ht="14.4" hidden="1" customHeight="1" x14ac:dyDescent="0.3">
      <c r="T132" s="1255"/>
      <c r="U132" s="1255"/>
      <c r="V132" s="1255"/>
      <c r="W132" s="1255"/>
      <c r="X132" s="1255"/>
      <c r="Y132" s="1255"/>
      <c r="Z132" s="1255"/>
      <c r="AA132" s="1255"/>
      <c r="AB132" s="1255"/>
      <c r="AC132" s="1255"/>
      <c r="AD132" s="1255"/>
      <c r="AE132" s="1255"/>
      <c r="AF132" s="1255"/>
      <c r="AG132" s="1255"/>
      <c r="AH132" s="1255"/>
      <c r="AI132" s="1255"/>
      <c r="AJ132" s="1255"/>
      <c r="AK132" s="1255"/>
      <c r="AL132" s="1255"/>
    </row>
    <row r="133" spans="20:38" ht="14.4" hidden="1" customHeight="1" x14ac:dyDescent="0.3">
      <c r="T133" s="1255"/>
      <c r="U133" s="1255"/>
      <c r="V133" s="1255"/>
      <c r="W133" s="1255"/>
      <c r="X133" s="1255"/>
      <c r="Y133" s="1255"/>
      <c r="Z133" s="1255"/>
      <c r="AA133" s="1255"/>
      <c r="AB133" s="1255"/>
      <c r="AC133" s="1255"/>
      <c r="AD133" s="1255"/>
      <c r="AE133" s="1255"/>
      <c r="AF133" s="1255"/>
      <c r="AG133" s="1255"/>
      <c r="AH133" s="1255"/>
      <c r="AI133" s="1255"/>
      <c r="AJ133" s="1255"/>
      <c r="AK133" s="1255"/>
      <c r="AL133" s="1255"/>
    </row>
    <row r="134" spans="20:38" ht="14.4" hidden="1" customHeight="1" x14ac:dyDescent="0.3">
      <c r="T134" s="1255"/>
      <c r="U134" s="1255"/>
      <c r="V134" s="1255"/>
      <c r="W134" s="1255"/>
      <c r="X134" s="1255"/>
      <c r="Y134" s="1255"/>
      <c r="Z134" s="1255"/>
      <c r="AA134" s="1255"/>
      <c r="AB134" s="1255"/>
      <c r="AC134" s="1255"/>
      <c r="AD134" s="1255"/>
      <c r="AE134" s="1255"/>
      <c r="AF134" s="1255"/>
      <c r="AG134" s="1255"/>
      <c r="AH134" s="1255"/>
      <c r="AI134" s="1255"/>
      <c r="AJ134" s="1255"/>
      <c r="AK134" s="1255"/>
      <c r="AL134" s="1255"/>
    </row>
    <row r="135" spans="20:38" ht="14.4" hidden="1" customHeight="1" x14ac:dyDescent="0.3">
      <c r="T135" s="1255"/>
      <c r="U135" s="1255"/>
      <c r="V135" s="1255"/>
      <c r="W135" s="1255"/>
      <c r="X135" s="1255"/>
      <c r="Y135" s="1255"/>
      <c r="Z135" s="1255"/>
      <c r="AA135" s="1255"/>
      <c r="AB135" s="1255"/>
      <c r="AC135" s="1255"/>
      <c r="AD135" s="1255"/>
      <c r="AE135" s="1255"/>
      <c r="AF135" s="1255"/>
      <c r="AG135" s="1255"/>
      <c r="AH135" s="1255"/>
      <c r="AI135" s="1255"/>
      <c r="AJ135" s="1255"/>
      <c r="AK135" s="1255"/>
      <c r="AL135" s="1255"/>
    </row>
    <row r="136" spans="20:38" ht="14.4" hidden="1" customHeight="1" x14ac:dyDescent="0.3">
      <c r="T136" s="1255"/>
      <c r="U136" s="1255"/>
      <c r="V136" s="1255"/>
      <c r="W136" s="1255"/>
      <c r="X136" s="1255"/>
      <c r="Y136" s="1255"/>
      <c r="Z136" s="1255"/>
      <c r="AA136" s="1255"/>
      <c r="AB136" s="1255"/>
      <c r="AC136" s="1255"/>
      <c r="AD136" s="1255"/>
      <c r="AE136" s="1255"/>
      <c r="AF136" s="1255"/>
      <c r="AG136" s="1255"/>
      <c r="AH136" s="1255"/>
      <c r="AI136" s="1255"/>
      <c r="AJ136" s="1255"/>
      <c r="AK136" s="1255"/>
      <c r="AL136" s="1255"/>
    </row>
    <row r="137" spans="20:38" ht="14.4" hidden="1" customHeight="1" x14ac:dyDescent="0.3">
      <c r="T137" s="1255"/>
      <c r="U137" s="1255"/>
      <c r="V137" s="1255"/>
      <c r="W137" s="1255"/>
      <c r="X137" s="1255"/>
      <c r="Y137" s="1255"/>
      <c r="Z137" s="1255"/>
      <c r="AA137" s="1255"/>
      <c r="AB137" s="1255"/>
      <c r="AC137" s="1255"/>
      <c r="AD137" s="1255"/>
      <c r="AE137" s="1255"/>
      <c r="AF137" s="1255"/>
      <c r="AG137" s="1255"/>
      <c r="AH137" s="1255"/>
      <c r="AI137" s="1255"/>
      <c r="AJ137" s="1255"/>
      <c r="AK137" s="1255"/>
      <c r="AL137" s="1255"/>
    </row>
    <row r="138" spans="20:38" ht="14.4" hidden="1" customHeight="1" x14ac:dyDescent="0.3">
      <c r="T138" s="1255"/>
      <c r="U138" s="1255"/>
      <c r="V138" s="1255"/>
      <c r="W138" s="1255"/>
      <c r="X138" s="1255"/>
      <c r="Y138" s="1255"/>
      <c r="Z138" s="1255"/>
      <c r="AA138" s="1255"/>
      <c r="AB138" s="1255"/>
      <c r="AC138" s="1255"/>
      <c r="AD138" s="1255"/>
      <c r="AE138" s="1255"/>
      <c r="AF138" s="1255"/>
      <c r="AG138" s="1255"/>
      <c r="AH138" s="1255"/>
      <c r="AI138" s="1255"/>
      <c r="AJ138" s="1255"/>
      <c r="AK138" s="1255"/>
      <c r="AL138" s="1255"/>
    </row>
  </sheetData>
  <sheetProtection algorithmName="SHA-512" hashValue="aj6tR7Cwfphso2FlgI5dXCUJoifqf/vRTuUjQ9Pjvi8mwFleiqxjajmpgFWY/FSKSzD5HZJS9Z1mWmxJKlrLSw==" saltValue="tVUqYpPdN5s9KKBUqiK+zw==" spinCount="100000" sheet="1" objects="1" scenarios="1" selectLockedCells="1"/>
  <mergeCells count="94">
    <mergeCell ref="AQ7:AQ27"/>
    <mergeCell ref="A2:AJ3"/>
    <mergeCell ref="AP2:AS3"/>
    <mergeCell ref="BD3:BH3"/>
    <mergeCell ref="BI3:BM3"/>
    <mergeCell ref="B5:D5"/>
    <mergeCell ref="F5:H5"/>
    <mergeCell ref="J5:L5"/>
    <mergeCell ref="N5:P5"/>
    <mergeCell ref="R5:T5"/>
    <mergeCell ref="V5:X5"/>
    <mergeCell ref="B7:F7"/>
    <mergeCell ref="S7:U7"/>
    <mergeCell ref="AJ7:AJ8"/>
    <mergeCell ref="B8:F8"/>
    <mergeCell ref="H8:Q8"/>
    <mergeCell ref="M10:Q10"/>
    <mergeCell ref="AC8:AG8"/>
    <mergeCell ref="B9:F9"/>
    <mergeCell ref="H9:Q9"/>
    <mergeCell ref="AC9:AD9"/>
    <mergeCell ref="S8:Y9"/>
    <mergeCell ref="AF9:AK9"/>
    <mergeCell ref="AD10:AD12"/>
    <mergeCell ref="AE10:AE16"/>
    <mergeCell ref="AD14:AD21"/>
    <mergeCell ref="AB19:AC19"/>
    <mergeCell ref="S13:Y17"/>
    <mergeCell ref="S10:Y12"/>
    <mergeCell ref="S18:Y23"/>
    <mergeCell ref="H10:L10"/>
    <mergeCell ref="B13:F13"/>
    <mergeCell ref="B14:F14"/>
    <mergeCell ref="B19:F19"/>
    <mergeCell ref="B21:F21"/>
    <mergeCell ref="H23:Q23"/>
    <mergeCell ref="H13:Q13"/>
    <mergeCell ref="H14:Q14"/>
    <mergeCell ref="H18:Q18"/>
    <mergeCell ref="H19:Q19"/>
    <mergeCell ref="N20:Q20"/>
    <mergeCell ref="H21:J22"/>
    <mergeCell ref="K21:M22"/>
    <mergeCell ref="N21:Q22"/>
    <mergeCell ref="B11:F11"/>
    <mergeCell ref="H11:L11"/>
    <mergeCell ref="M11:Q11"/>
    <mergeCell ref="B12:F12"/>
    <mergeCell ref="H12:Q12"/>
    <mergeCell ref="AR14:AR18"/>
    <mergeCell ref="B15:F15"/>
    <mergeCell ref="H15:Q15"/>
    <mergeCell ref="B16:E16"/>
    <mergeCell ref="F16:I16"/>
    <mergeCell ref="J16:M16"/>
    <mergeCell ref="N16:Q16"/>
    <mergeCell ref="B17:F17"/>
    <mergeCell ref="H17:Q17"/>
    <mergeCell ref="B18:F18"/>
    <mergeCell ref="AM14:AM21"/>
    <mergeCell ref="AN19:AO19"/>
    <mergeCell ref="AR19:AR23"/>
    <mergeCell ref="B20:E20"/>
    <mergeCell ref="F20:I20"/>
    <mergeCell ref="J20:M20"/>
    <mergeCell ref="B24:F24"/>
    <mergeCell ref="H24:Q24"/>
    <mergeCell ref="AC24:AG24"/>
    <mergeCell ref="B25:F25"/>
    <mergeCell ref="H25:Q25"/>
    <mergeCell ref="S24:U24"/>
    <mergeCell ref="S25:Y31"/>
    <mergeCell ref="AF25:AK25"/>
    <mergeCell ref="B26:F26"/>
    <mergeCell ref="H26:Q26"/>
    <mergeCell ref="AJ26:AJ27"/>
    <mergeCell ref="B27:F27"/>
    <mergeCell ref="H27:Q27"/>
    <mergeCell ref="G7:R7"/>
    <mergeCell ref="AI30:AK30"/>
    <mergeCell ref="AO31:AR32"/>
    <mergeCell ref="B32:Q32"/>
    <mergeCell ref="B28:F28"/>
    <mergeCell ref="H28:Q28"/>
    <mergeCell ref="H29:I29"/>
    <mergeCell ref="J29:Q29"/>
    <mergeCell ref="B30:J31"/>
    <mergeCell ref="K30:K31"/>
    <mergeCell ref="L30:Q31"/>
    <mergeCell ref="AF30:AH30"/>
    <mergeCell ref="AB29:AO29"/>
    <mergeCell ref="AM23:AM25"/>
    <mergeCell ref="AL19:AL25"/>
    <mergeCell ref="AC25:AD25"/>
  </mergeCells>
  <conditionalFormatting sqref="B9:G9">
    <cfRule type="expression" dxfId="580" priority="68">
      <formula>$B$9=0</formula>
    </cfRule>
  </conditionalFormatting>
  <conditionalFormatting sqref="B18:Q18">
    <cfRule type="expression" dxfId="579" priority="67">
      <formula>$B$18=0</formula>
    </cfRule>
  </conditionalFormatting>
  <conditionalFormatting sqref="B14:Q14">
    <cfRule type="expression" dxfId="578" priority="66">
      <formula>$B$14=0</formula>
    </cfRule>
  </conditionalFormatting>
  <conditionalFormatting sqref="B19:G19">
    <cfRule type="expression" dxfId="577" priority="64">
      <formula>$B$19=0</formula>
    </cfRule>
  </conditionalFormatting>
  <conditionalFormatting sqref="H23">
    <cfRule type="expression" dxfId="576" priority="69">
      <formula>$H$25&gt;0</formula>
    </cfRule>
  </conditionalFormatting>
  <conditionalFormatting sqref="AA9:AA10 AA24:AA25">
    <cfRule type="expression" dxfId="575" priority="78">
      <formula>$AU$17=1</formula>
    </cfRule>
  </conditionalFormatting>
  <conditionalFormatting sqref="AP9:AP10 AP24:AP25">
    <cfRule type="expression" dxfId="574" priority="79">
      <formula>$AU$17=2</formula>
    </cfRule>
  </conditionalFormatting>
  <conditionalFormatting sqref="AC6:AD6 AM6:AN6">
    <cfRule type="expression" dxfId="573" priority="80">
      <formula>$AU$17=3</formula>
    </cfRule>
  </conditionalFormatting>
  <conditionalFormatting sqref="AC28:AD28 AM28:AN28">
    <cfRule type="expression" dxfId="572" priority="81">
      <formula>$AU$17=4</formula>
    </cfRule>
  </conditionalFormatting>
  <conditionalFormatting sqref="AA16:AA17">
    <cfRule type="expression" dxfId="571" priority="90">
      <formula>$AU$24="1_3"</formula>
    </cfRule>
  </conditionalFormatting>
  <conditionalFormatting sqref="AP16:AP17">
    <cfRule type="expression" dxfId="570" priority="91">
      <formula>$AU$24="2_3"</formula>
    </cfRule>
  </conditionalFormatting>
  <conditionalFormatting sqref="AH6:AI6">
    <cfRule type="expression" dxfId="569" priority="92">
      <formula>$AU$24="3_3"</formula>
    </cfRule>
  </conditionalFormatting>
  <conditionalFormatting sqref="AH28:AI28">
    <cfRule type="expression" dxfId="568" priority="93">
      <formula>$AU$24="4_3"</formula>
    </cfRule>
  </conditionalFormatting>
  <conditionalFormatting sqref="B11:G11">
    <cfRule type="expression" dxfId="567" priority="99">
      <formula>$AU$10=0</formula>
    </cfRule>
  </conditionalFormatting>
  <conditionalFormatting sqref="B5 F5 J5 N5 R5 V5">
    <cfRule type="cellIs" dxfId="566" priority="53" operator="equal">
      <formula>$A$2</formula>
    </cfRule>
  </conditionalFormatting>
  <conditionalFormatting sqref="S24">
    <cfRule type="cellIs" dxfId="565" priority="50" operator="equal">
      <formula>0</formula>
    </cfRule>
  </conditionalFormatting>
  <conditionalFormatting sqref="S7">
    <cfRule type="cellIs" dxfId="564" priority="51" operator="equal">
      <formula>0</formula>
    </cfRule>
  </conditionalFormatting>
  <conditionalFormatting sqref="S10:Y23">
    <cfRule type="cellIs" dxfId="563" priority="49" operator="equal">
      <formula>0</formula>
    </cfRule>
  </conditionalFormatting>
  <conditionalFormatting sqref="H9:Q9">
    <cfRule type="expression" dxfId="562" priority="45">
      <formula>$B$9=0</formula>
    </cfRule>
  </conditionalFormatting>
  <conditionalFormatting sqref="M11:Q11">
    <cfRule type="expression" dxfId="561" priority="46">
      <formula>$AU$10=1</formula>
    </cfRule>
  </conditionalFormatting>
  <conditionalFormatting sqref="H11:L11">
    <cfRule type="expression" dxfId="560" priority="47">
      <formula>$AU$10=2</formula>
    </cfRule>
  </conditionalFormatting>
  <conditionalFormatting sqref="H11:Q11">
    <cfRule type="expression" dxfId="559" priority="48">
      <formula>$AU$10=0</formula>
    </cfRule>
  </conditionalFormatting>
  <conditionalFormatting sqref="H10:L10">
    <cfRule type="expression" dxfId="558" priority="39">
      <formula>$AU$10=2</formula>
    </cfRule>
  </conditionalFormatting>
  <conditionalFormatting sqref="H10:L10">
    <cfRule type="expression" dxfId="557" priority="40">
      <formula>$AU$10=0</formula>
    </cfRule>
  </conditionalFormatting>
  <conditionalFormatting sqref="M10:Q10">
    <cfRule type="expression" dxfId="556" priority="37">
      <formula>$AU$10=1</formula>
    </cfRule>
  </conditionalFormatting>
  <conditionalFormatting sqref="M10:Q10">
    <cfRule type="expression" dxfId="555" priority="38">
      <formula>$AU$10=0</formula>
    </cfRule>
  </conditionalFormatting>
  <conditionalFormatting sqref="S8">
    <cfRule type="cellIs" dxfId="554" priority="34" operator="equal">
      <formula>0</formula>
    </cfRule>
  </conditionalFormatting>
  <conditionalFormatting sqref="AQ7:AQ27">
    <cfRule type="cellIs" dxfId="553" priority="35" operator="equal">
      <formula>0</formula>
    </cfRule>
  </conditionalFormatting>
  <conditionalFormatting sqref="S8:Y9">
    <cfRule type="cellIs" dxfId="552" priority="33" operator="equal">
      <formula>0</formula>
    </cfRule>
  </conditionalFormatting>
  <conditionalFormatting sqref="B20:Q20">
    <cfRule type="expression" dxfId="551" priority="31">
      <formula>$B$20=0</formula>
    </cfRule>
    <cfRule type="expression" dxfId="550" priority="32">
      <formula>$B$19=0</formula>
    </cfRule>
  </conditionalFormatting>
  <conditionalFormatting sqref="G7">
    <cfRule type="expression" dxfId="549" priority="30">
      <formula>$AS$33=1</formula>
    </cfRule>
  </conditionalFormatting>
  <conditionalFormatting sqref="G7:R7">
    <cfRule type="cellIs" dxfId="548" priority="29" operator="equal">
      <formula>0</formula>
    </cfRule>
  </conditionalFormatting>
  <conditionalFormatting sqref="R8">
    <cfRule type="expression" dxfId="547" priority="28">
      <formula>$AS$33=1</formula>
    </cfRule>
  </conditionalFormatting>
  <conditionalFormatting sqref="S25:Y31">
    <cfRule type="expression" dxfId="546" priority="27">
      <formula>$AS$33=1</formula>
    </cfRule>
  </conditionalFormatting>
  <conditionalFormatting sqref="AD14:AD21">
    <cfRule type="expression" dxfId="545" priority="7">
      <formula>$AU$25=1</formula>
    </cfRule>
  </conditionalFormatting>
  <conditionalFormatting sqref="AD10:AD12 AB19:AC19">
    <cfRule type="expression" dxfId="544" priority="8">
      <formula>$AU$25=1</formula>
    </cfRule>
  </conditionalFormatting>
  <conditionalFormatting sqref="AM14:AM21">
    <cfRule type="expression" dxfId="543" priority="9">
      <formula>$AU$25=2</formula>
    </cfRule>
  </conditionalFormatting>
  <conditionalFormatting sqref="AM23:AM25 AN19:AO19">
    <cfRule type="expression" dxfId="542" priority="10">
      <formula>$AU$25=2</formula>
    </cfRule>
  </conditionalFormatting>
  <conditionalFormatting sqref="AF9:AK9">
    <cfRule type="expression" dxfId="541" priority="11">
      <formula>$AU$25=3</formula>
    </cfRule>
  </conditionalFormatting>
  <conditionalFormatting sqref="AC9:AD9 AJ7:AJ8">
    <cfRule type="expression" dxfId="540" priority="12">
      <formula>$AU$25=3</formula>
    </cfRule>
  </conditionalFormatting>
  <conditionalFormatting sqref="AF25:AK25">
    <cfRule type="expression" dxfId="539" priority="13">
      <formula>$AU$25=4</formula>
    </cfRule>
  </conditionalFormatting>
  <conditionalFormatting sqref="AC25:AD25 AJ26:AJ27">
    <cfRule type="expression" dxfId="538" priority="14">
      <formula>$AU$25=4</formula>
    </cfRule>
  </conditionalFormatting>
  <conditionalFormatting sqref="AC24:AG24">
    <cfRule type="expression" dxfId="537" priority="15">
      <formula>$AU$25=4</formula>
    </cfRule>
  </conditionalFormatting>
  <conditionalFormatting sqref="AE10:AE16">
    <cfRule type="expression" dxfId="536" priority="16">
      <formula>$AU$25=1</formula>
    </cfRule>
  </conditionalFormatting>
  <conditionalFormatting sqref="AL19:AL25">
    <cfRule type="expression" dxfId="535" priority="17">
      <formula>$AU$25=2</formula>
    </cfRule>
  </conditionalFormatting>
  <conditionalFormatting sqref="AC8:AG8">
    <cfRule type="expression" dxfId="534" priority="18">
      <formula>$AU$25=3</formula>
    </cfRule>
  </conditionalFormatting>
  <conditionalFormatting sqref="AC14 AC20">
    <cfRule type="expression" dxfId="533" priority="19">
      <formula>$AU$25=1</formula>
    </cfRule>
  </conditionalFormatting>
  <conditionalFormatting sqref="AN20 AN14">
    <cfRule type="expression" dxfId="532" priority="20">
      <formula>$AU$25=2</formula>
    </cfRule>
  </conditionalFormatting>
  <conditionalFormatting sqref="AJ10 AF10">
    <cfRule type="expression" dxfId="531" priority="21">
      <formula>$AU$25=3</formula>
    </cfRule>
  </conditionalFormatting>
  <conditionalFormatting sqref="AF26">
    <cfRule type="expression" dxfId="530" priority="22">
      <formula>$AU$25=4</formula>
    </cfRule>
  </conditionalFormatting>
  <conditionalFormatting sqref="AH7:AH8 AH10:AH24 AH26:AH27">
    <cfRule type="expression" dxfId="529" priority="23">
      <formula>$AU$10=2</formula>
    </cfRule>
  </conditionalFormatting>
  <conditionalFormatting sqref="AB17:AC17 AE17:AL17 AN17:AO17">
    <cfRule type="expression" dxfId="528" priority="24">
      <formula>$AU$10=1</formula>
    </cfRule>
  </conditionalFormatting>
  <conditionalFormatting sqref="AH26:AH27 AH18:AH24 AH10:AH16 AH7:AH8">
    <cfRule type="expression" dxfId="527" priority="25">
      <formula>$AU$10=3</formula>
    </cfRule>
  </conditionalFormatting>
  <conditionalFormatting sqref="AB17:AC17 AE17:AG17 AI17:AL17 AN17:AO17">
    <cfRule type="expression" dxfId="526" priority="26">
      <formula>$AU$10=3</formula>
    </cfRule>
  </conditionalFormatting>
  <conditionalFormatting sqref="AB29:AO29">
    <cfRule type="cellIs" dxfId="525" priority="6" operator="equal">
      <formula>0</formula>
    </cfRule>
  </conditionalFormatting>
  <conditionalFormatting sqref="AB29:AO29">
    <cfRule type="expression" dxfId="524" priority="5">
      <formula>$AS$33=1</formula>
    </cfRule>
  </conditionalFormatting>
  <conditionalFormatting sqref="H19:Q19">
    <cfRule type="expression" dxfId="523" priority="4">
      <formula>$B$19=0</formula>
    </cfRule>
  </conditionalFormatting>
  <conditionalFormatting sqref="B16:Q16">
    <cfRule type="expression" dxfId="522" priority="2">
      <formula>$AU$19=0</formula>
    </cfRule>
  </conditionalFormatting>
  <conditionalFormatting sqref="B17:Q17">
    <cfRule type="expression" dxfId="521" priority="1">
      <formula>$B$17=0</formula>
    </cfRule>
  </conditionalFormatting>
  <dataValidations count="11">
    <dataValidation type="list" allowBlank="1" showInputMessage="1" showErrorMessage="1" sqref="H18:I18" xr:uid="{327815CB-C4C7-4483-9203-534D2320BD9B}">
      <formula1>INDIRECT(CONCATENATE("_",AV7,"_",H15))</formula1>
    </dataValidation>
    <dataValidation type="list" allowBlank="1" showInputMessage="1" showErrorMessage="1" sqref="J18:Q18" xr:uid="{CE5F8DDA-02AA-4E05-89C4-EFFEED6E513D}">
      <formula1>INDIRECT(CONCATENATE("_",AA10,"_",J15))</formula1>
    </dataValidation>
    <dataValidation type="whole" allowBlank="1" showInputMessage="1" showErrorMessage="1" sqref="J11 L11" xr:uid="{8C0F7386-8C36-451E-A7CC-A2EF61DF9654}">
      <formula1>1</formula1>
      <formula2>(V16/100)-1</formula2>
    </dataValidation>
    <dataValidation type="whole" allowBlank="1" showInputMessage="1" showErrorMessage="1" sqref="H11:I11" xr:uid="{19A8A512-C776-4D20-B368-742EC21873A2}">
      <formula1>1</formula1>
      <formula2>(AR14/100)-1</formula2>
    </dataValidation>
    <dataValidation type="whole" allowBlank="1" showInputMessage="1" showErrorMessage="1" sqref="M11:Q11" xr:uid="{3B568E49-9615-478B-AD09-C84435433AB8}">
      <formula1>1</formula1>
      <formula2>(AI30/100)-1</formula2>
    </dataValidation>
    <dataValidation type="whole" allowBlank="1" showInputMessage="1" showErrorMessage="1" sqref="K11" xr:uid="{87803C56-3EC2-4DEB-A9C1-9C59414BAD56}">
      <formula1>1</formula1>
      <formula2>(#REF!/100)-1</formula2>
    </dataValidation>
    <dataValidation type="whole" allowBlank="1" showInputMessage="1" showErrorMessage="1" errorTitle="Minimum 80 mm" sqref="F20:I20 N20:Q20" xr:uid="{26F95578-B431-41AE-94A5-69824CDD4CD4}">
      <formula1>80</formula1>
      <formula2>1300</formula2>
    </dataValidation>
    <dataValidation type="list" allowBlank="1" showInputMessage="1" showErrorMessage="1" sqref="H27:Q27" xr:uid="{126DA946-0556-4D45-978D-C26C0941A886}">
      <formula1>_umisteni_zavesu</formula1>
    </dataValidation>
    <dataValidation type="whole" allowBlank="1" showErrorMessage="1" errorTitle="MAX 1300 mm" error="MAXIMUM 1300 mm x 2500 mm" sqref="AI30:AK30" xr:uid="{DA06A442-EAE3-4753-80A9-3CCEC2CA2C03}">
      <formula1>100</formula1>
      <formula2>IF(AR14&gt;=1250,1250,2550)</formula2>
    </dataValidation>
    <dataValidation type="whole" allowBlank="1" showErrorMessage="1" errorTitle="MAX 2500" error="MAXIMUM 1300 mm x 2500 mm" sqref="AR14:AR18" xr:uid="{66CFCFB8-9E7F-434F-B311-7863C96B893F}">
      <formula1>100</formula1>
      <formula2>IF(AI30&gt;=1250,1250,2550)</formula2>
    </dataValidation>
    <dataValidation type="whole" operator="greaterThanOrEqual" allowBlank="1" showInputMessage="1" showErrorMessage="1" sqref="H26:Q26" xr:uid="{9183016D-9395-4B1B-8161-91C19E333E63}">
      <formula1>1</formula1>
    </dataValidation>
  </dataValidations>
  <hyperlinks>
    <hyperlink ref="AP2:AS3" location="Hlavní!A1" display="Hlavní!A1" xr:uid="{406C9E4E-96A9-43B4-A282-9312B1FDC59A}"/>
    <hyperlink ref="F5:H5" location="Ram_2!A1" display="Ram_2!A1" xr:uid="{D78D8F73-1EE5-4CAD-8608-370370BC555E}"/>
    <hyperlink ref="J5:L5" location="Ram_3!A1" display="Ram_3!A1" xr:uid="{4080610B-495B-45BD-A0F3-31ABBE6E7D83}"/>
    <hyperlink ref="N5:P5" location="Ram_4!A1" display="Ram_4!A1" xr:uid="{CACE387E-FE72-40D0-A77C-A266D82C0C41}"/>
    <hyperlink ref="R5:T5" location="Ram_5!A1" display="Ram_5!A1" xr:uid="{2287B6DD-3EE8-4D83-9689-4FDE1C1F4509}"/>
    <hyperlink ref="V5:X5" location="Ram_6!A1" display="Ram_6!A1" xr:uid="{44020614-C444-4215-ADE0-366C65BDFDAB}"/>
    <hyperlink ref="B5:D5" location="Ram_1!A1" display="Ram_1!A1" xr:uid="{42313AE0-9122-48E9-AEE8-77507B37253F}"/>
    <hyperlink ref="AO31:AR32" location="_souhrn!A1" display="_souhrn!A1" xr:uid="{D02F7DAF-1A36-490A-A549-715748906586}"/>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1777" r:id="rId4" name="Check Box 1967">
              <controlPr locked="0" defaultSize="0" autoFill="0" autoLine="0" autoPict="0">
                <anchor moveWithCells="1">
                  <from>
                    <xdr:col>26</xdr:col>
                    <xdr:colOff>685800</xdr:colOff>
                    <xdr:row>0</xdr:row>
                    <xdr:rowOff>0</xdr:rowOff>
                  </from>
                  <to>
                    <xdr:col>27</xdr:col>
                    <xdr:colOff>0</xdr:colOff>
                    <xdr:row>1</xdr:row>
                    <xdr:rowOff>68580</xdr:rowOff>
                  </to>
                </anchor>
              </controlPr>
            </control>
          </mc:Choice>
        </mc:AlternateContent>
        <mc:AlternateContent xmlns:mc="http://schemas.openxmlformats.org/markup-compatibility/2006">
          <mc:Choice Requires="x14">
            <control shapeId="331778" r:id="rId5" name="Option Button 2">
              <controlPr defaultSize="0" autoFill="0" autoLine="0" autoPict="0">
                <anchor moveWithCells="1">
                  <from>
                    <xdr:col>8</xdr:col>
                    <xdr:colOff>91440</xdr:colOff>
                    <xdr:row>20</xdr:row>
                    <xdr:rowOff>45720</xdr:rowOff>
                  </from>
                  <to>
                    <xdr:col>9</xdr:col>
                    <xdr:colOff>22860</xdr:colOff>
                    <xdr:row>21</xdr:row>
                    <xdr:rowOff>30480</xdr:rowOff>
                  </to>
                </anchor>
              </controlPr>
            </control>
          </mc:Choice>
        </mc:AlternateContent>
        <mc:AlternateContent xmlns:mc="http://schemas.openxmlformats.org/markup-compatibility/2006">
          <mc:Choice Requires="x14">
            <control shapeId="331779" r:id="rId6" name="Option Button 3">
              <controlPr defaultSize="0" autoFill="0" autoLine="0" autoPict="0">
                <anchor moveWithCells="1">
                  <from>
                    <xdr:col>11</xdr:col>
                    <xdr:colOff>106680</xdr:colOff>
                    <xdr:row>20</xdr:row>
                    <xdr:rowOff>30480</xdr:rowOff>
                  </from>
                  <to>
                    <xdr:col>12</xdr:col>
                    <xdr:colOff>7620</xdr:colOff>
                    <xdr:row>21</xdr:row>
                    <xdr:rowOff>68580</xdr:rowOff>
                  </to>
                </anchor>
              </controlPr>
            </control>
          </mc:Choice>
        </mc:AlternateContent>
        <mc:AlternateContent xmlns:mc="http://schemas.openxmlformats.org/markup-compatibility/2006">
          <mc:Choice Requires="x14">
            <control shapeId="331780" r:id="rId7" name="Option Button 4">
              <controlPr defaultSize="0" autoFill="0" autoLine="0" autoPict="0">
                <anchor moveWithCells="1">
                  <from>
                    <xdr:col>14</xdr:col>
                    <xdr:colOff>274320</xdr:colOff>
                    <xdr:row>20</xdr:row>
                    <xdr:rowOff>45720</xdr:rowOff>
                  </from>
                  <to>
                    <xdr:col>15</xdr:col>
                    <xdr:colOff>297180</xdr:colOff>
                    <xdr:row>21</xdr:row>
                    <xdr:rowOff>45720</xdr:rowOff>
                  </to>
                </anchor>
              </controlPr>
            </control>
          </mc:Choice>
        </mc:AlternateContent>
        <mc:AlternateContent xmlns:mc="http://schemas.openxmlformats.org/markup-compatibility/2006">
          <mc:Choice Requires="x14">
            <control shapeId="331781" r:id="rId8" name="Check Box 5">
              <controlPr defaultSize="0" autoFill="0" autoLine="0" autoPict="0">
                <anchor moveWithCells="1">
                  <from>
                    <xdr:col>5</xdr:col>
                    <xdr:colOff>68580</xdr:colOff>
                    <xdr:row>6</xdr:row>
                    <xdr:rowOff>0</xdr:rowOff>
                  </from>
                  <to>
                    <xdr:col>5</xdr:col>
                    <xdr:colOff>289560</xdr:colOff>
                    <xdr:row>6</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3" id="{D0D6324A-8E26-4EAD-9CB6-78FBFDFB4CBF}">
            <xm:f>kombinace_3!$V$1&lt;3</xm:f>
            <x14:dxf>
              <font>
                <color theme="0"/>
              </font>
              <fill>
                <patternFill>
                  <bgColor theme="0"/>
                </patternFill>
              </fill>
              <border>
                <bottom/>
                <vertical/>
                <horizontal/>
              </border>
            </x14:dxf>
          </x14:cfRule>
          <xm:sqref>B24:Q24</xm:sqref>
        </x14:conditionalFormatting>
        <x14:conditionalFormatting xmlns:xm="http://schemas.microsoft.com/office/excel/2006/main">
          <x14:cfRule type="expression" priority="59" id="{F94914AA-4A7B-49EC-90CD-64BE4ABDFA1D}">
            <xm:f>'Translate &amp; Prices'!$D$1=4</xm:f>
            <x14:dxf>
              <numFmt numFmtId="173" formatCode="#,##0.00\ [$Ft-40E]"/>
            </x14:dxf>
          </x14:cfRule>
          <x14:cfRule type="expression" priority="60" id="{28CB0CC8-5187-49E0-88CB-9A05B6BFB848}">
            <xm:f>'Translate &amp; Prices'!$D$1=3</xm:f>
            <x14:dxf>
              <numFmt numFmtId="172" formatCode="#,##0.00\ [$zł-415]"/>
            </x14:dxf>
          </x14:cfRule>
          <x14:cfRule type="expression" priority="61" id="{E3276E5A-E0B0-44A3-B562-14D646884FD0}">
            <xm:f>'Translate &amp; Prices'!$D$1=2</xm:f>
            <x14:dxf>
              <numFmt numFmtId="171" formatCode="#,##0.00\ [$€-1]"/>
            </x14:dxf>
          </x14:cfRule>
          <x14:cfRule type="expression" priority="62" id="{BEB47240-75BE-4EFB-BF4B-3E8B684A7E14}">
            <xm:f>'Translate &amp; Prices'!$D$1=1</xm:f>
            <x14:dxf>
              <numFmt numFmtId="170" formatCode="#,##0.00\ &quot;Kč&quot;"/>
            </x14:dxf>
          </x14:cfRule>
          <xm:sqref>L30</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0F3C4B1D-59AC-45A1-BAEE-713085787A16}">
          <x14:formula1>
            <xm:f>IF($H$12=kombinace_1!$DP$2,_znacka_zavesy,_znacka_vyklopy)</xm:f>
          </x14:formula1>
          <xm:sqref>H13:Q13</xm:sqref>
        </x14:dataValidation>
        <x14:dataValidation type="list" allowBlank="1" showInputMessage="1" showErrorMessage="1" xr:uid="{70A44F49-ADBC-4BDC-9CFC-037AF7C0AD32}">
          <x14:formula1>
            <xm:f>'Translate &amp; Prices'!$B$536:$B$537</xm:f>
          </x14:formula1>
          <xm:sqref>H29:I29</xm:sqref>
        </x14:dataValidation>
        <x14:dataValidation type="list" allowBlank="1" showInputMessage="1" showErrorMessage="1" xr:uid="{B1DF4748-8F5B-45D7-BD72-BBF97E49316E}">
          <x14:formula1>
            <xm:f>kombinace_1!$X$3:$X$5</xm:f>
          </x14:formula1>
          <xm:sqref>H24:Q24</xm:sqref>
        </x14:dataValidation>
        <x14:dataValidation type="list" allowBlank="1" showInputMessage="1" showErrorMessage="1" xr:uid="{6562E8C2-BE2D-40B2-A6E2-BDE5FC7FFF69}">
          <x14:formula1>
            <xm:f>kombinace_1!$BY$13:$BY$16</xm:f>
          </x14:formula1>
          <xm:sqref>H9:Q9</xm:sqref>
        </x14:dataValidation>
        <x14:dataValidation type="list" allowBlank="1" showInputMessage="1" showErrorMessage="1" xr:uid="{F7CC41B4-9DFF-4C4F-98CF-8707BDAF4831}">
          <x14:formula1>
            <xm:f>kombinace_1!$DN$2:$DN$4</xm:f>
          </x14:formula1>
          <xm:sqref>H14:Q14</xm:sqref>
        </x14:dataValidation>
        <x14:dataValidation type="list" allowBlank="1" showInputMessage="1" showErrorMessage="1" xr:uid="{E42F74E0-C701-407D-9F16-DACD4BC7235B}">
          <x14:formula1>
            <xm:f>IF(AU9=2,INDIRECT(CONCATENATE("_",AV7,"_",H13,"_",AA29)),IF(AU9=3,INDIRECT(VLOOKUP(H13,kombinace_1!$AA:$AB,2,0))))</xm:f>
          </x14:formula1>
          <xm:sqref>H15</xm:sqref>
        </x14:dataValidation>
        <x14:dataValidation type="list" allowBlank="1" showInputMessage="1" showErrorMessage="1" xr:uid="{F46BB56D-33B4-4228-83B0-BCF8A059C065}">
          <x14:formula1>
            <xm:f>IF(#REF!=2,INDIRECT(CONCATENATE("_",AA10,"_",J13,"_",AA20)),IF(#REF!=3,INDIRECT(VLOOKUP(J13,kombinace_1!$AA:$AB,2,0))))</xm:f>
          </x14:formula1>
          <xm:sqref>J15</xm:sqref>
        </x14:dataValidation>
        <x14:dataValidation type="list" allowBlank="1" showInputMessage="1" showErrorMessage="1" xr:uid="{F20FFFE0-DF42-4E9A-9DDF-034558FFD4F1}">
          <x14:formula1>
            <xm:f>IF(AA12=2,INDIRECT(CONCATENATE("_",AB10,"_",K13,"_",AB20)),IF(AA12=3,INDIRECT(VLOOKUP(K13,kombinace_1!$AA:$AB,2,0))))</xm:f>
          </x14:formula1>
          <xm:sqref>K15:Q15</xm:sqref>
        </x14:dataValidation>
        <x14:dataValidation type="list" allowBlank="1" showInputMessage="1" showErrorMessage="1" xr:uid="{8C6DACC7-0B1D-4588-814A-4441B356A00A}">
          <x14:formula1>
            <xm:f>IF(AV9=2,INDIRECT(CONCATENATE("_",#REF!,"_",I13,"_",#REF!)),IF(AV9=3,INDIRECT(VLOOKUP(I13,kombinace_1!$AA:$AB,2,0))))</xm:f>
          </x14:formula1>
          <xm:sqref>I15</xm:sqref>
        </x14:dataValidation>
        <x14:dataValidation type="list" allowBlank="1" showInputMessage="1" showErrorMessage="1" xr:uid="{D0FC0FD8-2BAD-490E-B3EF-66AF6F16ACC8}">
          <x14:formula1>
            <xm:f>IF(kombinace_3!H1=TRUE,kombinace_1!$BQ$2,kombinace_1!$BQ$2:$BR$2)</xm:f>
          </x14:formula1>
          <xm:sqref>H12:Q12</xm:sqref>
        </x14:dataValidation>
        <x14:dataValidation type="list" allowBlank="1" showInputMessage="1" showErrorMessage="1" xr:uid="{7044172D-15E9-444C-8B4B-8A784A4AFCDC}">
          <x14:formula1>
            <xm:f>IF(kombinace_3!H1=TRUE,_kombinovane_profily,_vše_profily)</xm:f>
          </x14:formula1>
          <xm:sqref>H8:Q8</xm:sqref>
        </x14:dataValidation>
        <x14:dataValidation type="list" allowBlank="1" showInputMessage="1" showErrorMessage="1" xr:uid="{804E89E2-EA48-49B9-9E40-146105EF5CE7}">
          <x14:formula1>
            <xm:f>IF(OR(H8=kombinace_1!A15,H8=kombinace_1!A16,H8=kombinace_1!A17,H8=kombinace_1!A22,H8=kombinace_1!A23,,H8=kombinace_1!A24,H8=kombinace_1!A25),_corleone,IF(H8="",_N1,INDIRECT(kombinace_3!S1)))</xm:f>
          </x14:formula1>
          <xm:sqref>H25:Q25</xm:sqref>
        </x14:dataValidation>
        <x14:dataValidation type="list" allowBlank="1" showInputMessage="1" showErrorMessage="1" xr:uid="{8085B616-2B80-4D27-8286-3D3070D95FCB}">
          <x14:formula1>
            <xm:f>IF(AM19&lt;2100,kombinace_1!BY8:BY12,kombinace_1!BY9:BY12)</xm:f>
          </x14:formula1>
          <xm:sqref>H19:Q19</xm:sqref>
        </x14:dataValidation>
        <x14:dataValidation type="list" allowBlank="1" showInputMessage="1" showErrorMessage="1" xr:uid="{A585C567-19EE-4B5D-A239-5FA753B1C10E}">
          <x14:formula1>
            <xm:f>IF(H15=kombinace_1!AB40,'Translate &amp; Prices'!$B$209:$B$211,IF(H15=kombinace_1!AB41,'Translate &amp; Prices'!$B$209:$B$211,'Translate &amp; Prices'!$B$213:$B$217))</xm:f>
          </x14:formula1>
          <xm:sqref>N16:Q16</xm:sqref>
        </x14:dataValidation>
        <x14:dataValidation type="list" allowBlank="1" showInputMessage="1" showErrorMessage="1" xr:uid="{BED11AE5-2517-4BD8-8F68-AEF4C982B6FC}">
          <x14:formula1>
            <xm:f>IF(H15=kombinace_1!AB40,_strong_vzpera_horni,IF(H15=kombinace_1!AB41,_strong_klopna,'Translate &amp; Prices'!$B$165:$B$166))</xm:f>
          </x14:formula1>
          <xm:sqref>F16:I16</xm:sqref>
        </x14:dataValidation>
        <x14:dataValidation type="list" allowBlank="1" showInputMessage="1" showErrorMessage="1" xr:uid="{E6A1F74E-8AAE-4CBF-9AE0-43BB4B1C43F7}">
          <x14:formula1>
            <xm:f>IF(OR(H8=kombinace_1!F14,H8=kombinace_1!F15,H8=kombinace_1!F16,H8=kombinace_1!F17,H8=kombinace_1!F18,H8=kombinace_1!F19),_zavesy_kombo,IF(H15=kombinace_1!AB8,_ramena_HL,_umisteni_zavesu))</xm:f>
          </x14:formula1>
          <xm:sqref>H17:Q17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D4E61-A8FD-47EA-8BDF-7F693F0E3CD6}">
  <sheetPr codeName="List12"/>
  <dimension ref="A1:DQ61"/>
  <sheetViews>
    <sheetView topLeftCell="BV1" workbookViewId="0">
      <selection activeCell="CD1" sqref="CD1:CF1048576"/>
    </sheetView>
  </sheetViews>
  <sheetFormatPr defaultRowHeight="14.4" x14ac:dyDescent="0.3"/>
  <cols>
    <col min="1" max="1" width="29.109375" style="137" bestFit="1" customWidth="1"/>
    <col min="2" max="2" width="24" style="137" customWidth="1"/>
    <col min="3" max="3" width="17" style="137" bestFit="1" customWidth="1"/>
    <col min="4" max="4" width="17" style="137" customWidth="1"/>
    <col min="5" max="5" width="3" style="406" customWidth="1"/>
    <col min="6" max="6" width="15.44140625" style="137" bestFit="1" customWidth="1"/>
    <col min="7" max="7" width="11.109375" style="137" bestFit="1" customWidth="1"/>
    <col min="8" max="8" width="18.109375" style="137" bestFit="1" customWidth="1"/>
    <col min="9" max="9" width="24.109375" style="137" bestFit="1" customWidth="1"/>
    <col min="10" max="11" width="18.109375" style="137" customWidth="1"/>
    <col min="12" max="12" width="3" style="406" customWidth="1"/>
    <col min="13" max="13" width="21" style="137" bestFit="1" customWidth="1"/>
    <col min="14" max="14" width="15" style="137" bestFit="1" customWidth="1"/>
    <col min="15" max="15" width="3" style="406" customWidth="1"/>
    <col min="16" max="16" width="23.109375" style="137" customWidth="1"/>
    <col min="17" max="18" width="19.44140625" style="137" bestFit="1" customWidth="1"/>
    <col min="19" max="19" width="19.44140625" style="137" customWidth="1"/>
    <col min="20" max="21" width="15.109375" style="137" customWidth="1"/>
    <col min="22" max="22" width="19.44140625" style="137" bestFit="1" customWidth="1"/>
    <col min="23" max="23" width="3" style="406" customWidth="1"/>
    <col min="24" max="24" width="12.21875" style="137" bestFit="1" customWidth="1"/>
    <col min="25" max="25" width="4.109375" style="137" bestFit="1" customWidth="1"/>
    <col min="26" max="26" width="3" style="406" customWidth="1"/>
    <col min="27" max="27" width="18.5546875" style="137" bestFit="1" customWidth="1"/>
    <col min="28" max="28" width="17.33203125" style="137" bestFit="1" customWidth="1"/>
    <col min="29" max="29" width="14.33203125" style="137" bestFit="1" customWidth="1"/>
    <col min="30" max="30" width="16.44140625" style="137" customWidth="1"/>
    <col min="31" max="31" width="3" style="406" customWidth="1"/>
    <col min="32" max="32" width="17.33203125" style="137" customWidth="1"/>
    <col min="33" max="48" width="16.5546875" style="137" customWidth="1"/>
    <col min="49" max="49" width="3" style="406" customWidth="1"/>
    <col min="50" max="53" width="19.6640625" style="137" customWidth="1"/>
    <col min="54" max="54" width="3" style="406" customWidth="1"/>
    <col min="55" max="61" width="9.5546875" style="137" customWidth="1"/>
    <col min="62" max="62" width="3" style="406" customWidth="1"/>
    <col min="63" max="63" width="17.33203125" style="137" bestFit="1" customWidth="1"/>
    <col min="64" max="64" width="3" style="406" customWidth="1"/>
    <col min="65" max="65" width="12.88671875" style="137" customWidth="1"/>
    <col min="66" max="68" width="8.88671875" style="137"/>
    <col min="69" max="69" width="6.88671875" style="137" bestFit="1" customWidth="1"/>
    <col min="70" max="70" width="18.5546875" style="137" bestFit="1" customWidth="1"/>
    <col min="71" max="72" width="8.88671875" style="137"/>
    <col min="73" max="73" width="13.77734375" style="137" customWidth="1"/>
    <col min="74" max="74" width="32.6640625" style="137" customWidth="1"/>
    <col min="75" max="75" width="17.77734375" style="137" customWidth="1"/>
    <col min="76" max="76" width="8.88671875" style="137"/>
    <col min="77" max="77" width="21.33203125" style="137" bestFit="1" customWidth="1"/>
    <col min="78" max="81" width="8.88671875" style="137"/>
    <col min="82" max="82" width="16.5546875" style="137" customWidth="1"/>
    <col min="83" max="84" width="8.88671875" style="137"/>
    <col min="85" max="85" width="28.77734375" style="137" bestFit="1" customWidth="1"/>
    <col min="86" max="86" width="23.33203125" style="137" bestFit="1" customWidth="1"/>
    <col min="87" max="87" width="20.88671875" style="137" bestFit="1" customWidth="1"/>
    <col min="88" max="88" width="22.109375" style="137" bestFit="1" customWidth="1"/>
    <col min="89" max="89" width="23.5546875" style="137" bestFit="1" customWidth="1"/>
    <col min="90" max="90" width="20.109375" style="137" bestFit="1" customWidth="1"/>
    <col min="91" max="91" width="23.5546875" style="137" bestFit="1" customWidth="1"/>
    <col min="92" max="92" width="20.109375" style="137" bestFit="1" customWidth="1"/>
    <col min="93" max="93" width="23.5546875" style="137" bestFit="1" customWidth="1"/>
    <col min="94" max="94" width="20.109375" style="137" bestFit="1" customWidth="1"/>
    <col min="95" max="95" width="21.44140625" style="137" bestFit="1" customWidth="1"/>
    <col min="96" max="96" width="19.109375" style="137" bestFit="1" customWidth="1"/>
    <col min="97" max="97" width="21.44140625" style="137" bestFit="1" customWidth="1"/>
    <col min="98" max="98" width="19.109375" style="137" bestFit="1" customWidth="1"/>
    <col min="99" max="99" width="23.5546875" style="137" bestFit="1" customWidth="1"/>
    <col min="100" max="100" width="20.109375" style="137" bestFit="1" customWidth="1"/>
    <col min="101" max="102" width="19.109375" style="137" bestFit="1" customWidth="1"/>
    <col min="103" max="103" width="23.5546875" style="137" bestFit="1" customWidth="1"/>
    <col min="104" max="104" width="20.109375" style="137" bestFit="1" customWidth="1"/>
    <col min="105" max="110" width="19.109375" style="137" bestFit="1" customWidth="1"/>
    <col min="111" max="111" width="23.5546875" style="137" bestFit="1" customWidth="1"/>
    <col min="112" max="112" width="20.109375" style="137" bestFit="1" customWidth="1"/>
    <col min="113" max="113" width="23.5546875" style="137" bestFit="1" customWidth="1"/>
    <col min="114" max="114" width="20.109375" style="137" bestFit="1" customWidth="1"/>
    <col min="115" max="116" width="19.109375" style="137" bestFit="1" customWidth="1"/>
    <col min="117" max="16384" width="8.88671875" style="137"/>
  </cols>
  <sheetData>
    <row r="1" spans="1:121" x14ac:dyDescent="0.3">
      <c r="A1" s="376" t="s">
        <v>38</v>
      </c>
      <c r="B1" s="405"/>
      <c r="C1" s="405"/>
      <c r="D1" s="405"/>
      <c r="F1" s="376" t="s">
        <v>2064</v>
      </c>
      <c r="G1" s="405"/>
      <c r="H1" s="405" t="b">
        <v>0</v>
      </c>
      <c r="I1" s="405"/>
      <c r="J1" s="405"/>
      <c r="K1" s="405"/>
      <c r="M1" s="376" t="s">
        <v>2065</v>
      </c>
      <c r="N1" s="405"/>
      <c r="P1" s="405" t="e" cm="1">
        <f t="array" ref="P1">IF($S$1=Varianta_N1,_N1,IF($S$1=Varianta_A1,_A1,IF($S$1=Varianta_N2,_N2,IF($S$1=Varianta_A2,_A2,IF($S$1=Varianta_N3,_N3,IF($S$1=Varianta_A3,_A3,0))))))</f>
        <v>#N/A</v>
      </c>
      <c r="Q1" s="412" t="s">
        <v>2132</v>
      </c>
      <c r="R1" s="413" t="e">
        <f>VLOOKUP(Ram_3!H8,$A:$C,3,0)</f>
        <v>#N/A</v>
      </c>
      <c r="S1" s="405" t="e">
        <f>CONCATENATE("_",R1,V1)</f>
        <v>#N/A</v>
      </c>
      <c r="T1" s="405"/>
      <c r="U1" s="412" t="s">
        <v>2131</v>
      </c>
      <c r="V1" s="413">
        <v>1</v>
      </c>
      <c r="X1" s="376" t="s">
        <v>2066</v>
      </c>
      <c r="Y1" s="405"/>
      <c r="AA1" s="405" t="s">
        <v>1085</v>
      </c>
      <c r="AB1" s="405"/>
      <c r="AC1" s="405"/>
      <c r="AD1" s="405"/>
      <c r="AF1" s="405" t="s">
        <v>2067</v>
      </c>
      <c r="AG1" s="405"/>
      <c r="AH1" s="405"/>
      <c r="AI1" s="405"/>
      <c r="AJ1" s="405"/>
      <c r="AK1" s="405"/>
      <c r="AL1" s="405"/>
      <c r="AM1" s="405"/>
      <c r="AN1" s="405"/>
      <c r="AO1" s="405"/>
      <c r="AP1" s="405"/>
      <c r="AQ1" s="405"/>
      <c r="AR1" s="405"/>
      <c r="AS1" s="405"/>
      <c r="AT1" s="405"/>
      <c r="AU1" s="405"/>
      <c r="AV1" s="405"/>
      <c r="AX1" s="405" t="s">
        <v>735</v>
      </c>
      <c r="AY1" s="405"/>
      <c r="AZ1" s="405"/>
      <c r="BA1" s="405"/>
      <c r="BC1" s="405" t="s">
        <v>22</v>
      </c>
      <c r="BD1" s="405"/>
      <c r="BE1" s="405"/>
      <c r="BF1" s="405"/>
      <c r="BG1" s="405"/>
      <c r="BH1" s="405"/>
      <c r="BI1" s="405"/>
      <c r="BK1" s="405" t="s">
        <v>1031</v>
      </c>
      <c r="BM1" s="137" t="s">
        <v>2121</v>
      </c>
      <c r="BQ1" s="414" t="s">
        <v>1441</v>
      </c>
    </row>
    <row r="2" spans="1:121" x14ac:dyDescent="0.3">
      <c r="A2" s="407" t="s">
        <v>2068</v>
      </c>
      <c r="B2" s="407" t="s">
        <v>2125</v>
      </c>
      <c r="C2" s="407" t="s">
        <v>2126</v>
      </c>
      <c r="D2" s="407" t="s">
        <v>2065</v>
      </c>
      <c r="F2" s="407" t="s">
        <v>2070</v>
      </c>
      <c r="G2" s="407" t="s">
        <v>2071</v>
      </c>
      <c r="H2" s="407" t="s">
        <v>2072</v>
      </c>
      <c r="I2" s="407" t="s">
        <v>2073</v>
      </c>
      <c r="J2" s="407"/>
      <c r="K2" s="407"/>
      <c r="M2" s="407" t="s">
        <v>2074</v>
      </c>
      <c r="P2" s="407" t="s">
        <v>2127</v>
      </c>
      <c r="Q2" s="407" t="s">
        <v>2124</v>
      </c>
      <c r="R2" s="407" t="s">
        <v>2128</v>
      </c>
      <c r="S2" s="407" t="s">
        <v>2123</v>
      </c>
      <c r="T2" s="407" t="s">
        <v>2129</v>
      </c>
      <c r="U2" s="407" t="s">
        <v>2066</v>
      </c>
      <c r="V2" s="407" t="s">
        <v>2130</v>
      </c>
      <c r="X2" s="407" t="s">
        <v>2075</v>
      </c>
      <c r="Y2" s="407" t="s">
        <v>2076</v>
      </c>
      <c r="AA2" s="407" t="s">
        <v>1441</v>
      </c>
      <c r="AB2" s="407" t="s">
        <v>2077</v>
      </c>
      <c r="AC2" s="407" t="s">
        <v>2078</v>
      </c>
      <c r="AD2" s="407" t="s">
        <v>1031</v>
      </c>
      <c r="AF2" s="408" t="s">
        <v>2079</v>
      </c>
      <c r="AG2" s="408" t="s">
        <v>1030</v>
      </c>
      <c r="AH2" s="137">
        <v>1</v>
      </c>
      <c r="AI2" s="137">
        <v>2</v>
      </c>
      <c r="AJ2" s="137">
        <v>3</v>
      </c>
      <c r="AK2" s="137">
        <v>4</v>
      </c>
      <c r="AL2" s="137">
        <v>5</v>
      </c>
      <c r="AM2" s="137">
        <v>6</v>
      </c>
      <c r="AN2" s="137">
        <v>7</v>
      </c>
      <c r="AO2" s="137">
        <v>8</v>
      </c>
      <c r="AP2" s="137">
        <v>9</v>
      </c>
      <c r="AQ2" s="137">
        <v>10</v>
      </c>
      <c r="AR2" s="137">
        <v>11</v>
      </c>
      <c r="AS2" s="137">
        <v>12</v>
      </c>
      <c r="AT2" s="137">
        <v>13</v>
      </c>
      <c r="AU2" s="137">
        <v>14</v>
      </c>
      <c r="AV2" s="137">
        <v>15</v>
      </c>
      <c r="AX2" s="407" t="s">
        <v>2069</v>
      </c>
      <c r="AY2" s="407" t="s">
        <v>1441</v>
      </c>
      <c r="AZ2" s="407" t="s">
        <v>2080</v>
      </c>
      <c r="BA2" s="407" t="s">
        <v>2081</v>
      </c>
      <c r="BC2" s="409">
        <v>1</v>
      </c>
      <c r="BD2" s="409">
        <v>2</v>
      </c>
      <c r="BE2" s="409">
        <v>3</v>
      </c>
      <c r="BF2" s="409">
        <v>4</v>
      </c>
      <c r="BG2" s="409">
        <v>5</v>
      </c>
      <c r="BH2" s="409">
        <v>6</v>
      </c>
      <c r="BI2" s="409">
        <v>7</v>
      </c>
      <c r="BK2" s="409" t="s">
        <v>2082</v>
      </c>
      <c r="BM2" s="407" t="s">
        <v>2122</v>
      </c>
      <c r="BN2" s="407" t="s">
        <v>2123</v>
      </c>
      <c r="BO2" s="407" t="s">
        <v>2066</v>
      </c>
      <c r="BQ2" s="137" t="str">
        <f>'Translate &amp; Prices'!B531</f>
        <v>Závěsy</v>
      </c>
      <c r="BR2" s="137" t="str">
        <f>'Translate &amp; Prices'!B532</f>
        <v>Výklopy</v>
      </c>
      <c r="BU2" s="137" t="e">
        <f>CONCATENATE("_",#REF!,"_",#REF!)</f>
        <v>#REF!</v>
      </c>
      <c r="BV2" s="137" t="s">
        <v>2149</v>
      </c>
      <c r="BW2" s="137" t="s">
        <v>2144</v>
      </c>
      <c r="BY2" s="137" t="s">
        <v>250</v>
      </c>
      <c r="CA2" s="137" t="s">
        <v>2176</v>
      </c>
      <c r="CD2" s="137" t="s">
        <v>2265</v>
      </c>
      <c r="CF2" s="137" t="s">
        <v>2628</v>
      </c>
      <c r="CG2" s="407" t="s">
        <v>845</v>
      </c>
      <c r="CH2" s="407" t="s">
        <v>2264</v>
      </c>
      <c r="CI2" s="410" t="s">
        <v>845</v>
      </c>
      <c r="CJ2" s="410" t="s">
        <v>2264</v>
      </c>
      <c r="CK2" s="407" t="s">
        <v>845</v>
      </c>
      <c r="CL2" s="407" t="s">
        <v>2264</v>
      </c>
      <c r="CM2" s="410" t="s">
        <v>845</v>
      </c>
      <c r="CN2" s="410" t="s">
        <v>2264</v>
      </c>
      <c r="CO2" s="407" t="s">
        <v>845</v>
      </c>
      <c r="CP2" s="407" t="s">
        <v>2264</v>
      </c>
      <c r="CQ2" s="410" t="s">
        <v>845</v>
      </c>
      <c r="CR2" s="410" t="s">
        <v>2264</v>
      </c>
      <c r="CS2" s="407" t="s">
        <v>845</v>
      </c>
      <c r="CT2" s="407" t="s">
        <v>2264</v>
      </c>
      <c r="CU2" s="410" t="s">
        <v>845</v>
      </c>
      <c r="CV2" s="410" t="s">
        <v>2264</v>
      </c>
      <c r="CW2" s="407" t="s">
        <v>845</v>
      </c>
      <c r="CX2" s="407" t="s">
        <v>2264</v>
      </c>
      <c r="CY2" s="410" t="s">
        <v>845</v>
      </c>
      <c r="CZ2" s="410" t="s">
        <v>2264</v>
      </c>
      <c r="DA2" s="407" t="s">
        <v>845</v>
      </c>
      <c r="DB2" s="407" t="s">
        <v>2264</v>
      </c>
      <c r="DC2" s="410" t="s">
        <v>845</v>
      </c>
      <c r="DD2" s="410" t="s">
        <v>2264</v>
      </c>
      <c r="DE2" s="407" t="s">
        <v>845</v>
      </c>
      <c r="DF2" s="407" t="s">
        <v>2264</v>
      </c>
      <c r="DG2" s="410" t="s">
        <v>845</v>
      </c>
      <c r="DH2" s="410" t="s">
        <v>2264</v>
      </c>
      <c r="DI2" s="407" t="s">
        <v>845</v>
      </c>
      <c r="DJ2" s="407" t="s">
        <v>2264</v>
      </c>
      <c r="DK2" s="410" t="s">
        <v>845</v>
      </c>
      <c r="DL2" s="410" t="s">
        <v>2264</v>
      </c>
      <c r="DN2" s="137" t="str">
        <f>'Translate &amp; Prices'!B533</f>
        <v>Naložený</v>
      </c>
      <c r="DP2" s="137" t="str">
        <f>'Translate &amp; Prices'!B531</f>
        <v>Závěsy</v>
      </c>
      <c r="DQ2" s="137">
        <v>2</v>
      </c>
    </row>
    <row r="3" spans="1:121" x14ac:dyDescent="0.3">
      <c r="A3" s="446" t="str">
        <f>'Translate &amp; Prices'!B6</f>
        <v>BRW (elox.)</v>
      </c>
      <c r="B3" s="137">
        <v>1</v>
      </c>
      <c r="C3" s="137" t="s">
        <v>1222</v>
      </c>
      <c r="D3" s="137">
        <v>1</v>
      </c>
      <c r="F3" s="137" t="s">
        <v>2083</v>
      </c>
      <c r="G3" s="137" t="s">
        <v>713</v>
      </c>
      <c r="H3" s="137" t="s">
        <v>2084</v>
      </c>
      <c r="I3" s="137">
        <v>1</v>
      </c>
      <c r="J3" s="137">
        <v>2</v>
      </c>
      <c r="K3" s="137" t="s">
        <v>1222</v>
      </c>
      <c r="M3" s="137" t="s">
        <v>2085</v>
      </c>
      <c r="N3" s="137" t="s">
        <v>991</v>
      </c>
      <c r="Q3" s="414" t="s">
        <v>2134</v>
      </c>
      <c r="R3" s="414" t="s">
        <v>2135</v>
      </c>
      <c r="S3" s="414" t="s">
        <v>2136</v>
      </c>
      <c r="T3" s="414" t="s">
        <v>2137</v>
      </c>
      <c r="U3" s="414" t="s">
        <v>2138</v>
      </c>
      <c r="V3" s="414" t="s">
        <v>2139</v>
      </c>
      <c r="X3" s="137" t="str">
        <f>'Translate &amp; Prices'!$B$543</f>
        <v>Transparentní</v>
      </c>
      <c r="Y3" s="137">
        <v>1</v>
      </c>
      <c r="AA3" s="137" t="s">
        <v>2087</v>
      </c>
      <c r="AB3" s="137" t="s">
        <v>2144</v>
      </c>
      <c r="AF3" s="407" t="s">
        <v>245</v>
      </c>
      <c r="AG3" s="407" t="s">
        <v>1032</v>
      </c>
      <c r="AY3" s="137" t="s">
        <v>2117</v>
      </c>
      <c r="BK3" s="137" t="s">
        <v>245</v>
      </c>
      <c r="BQ3" s="137" t="s">
        <v>2117</v>
      </c>
      <c r="BR3" s="137" t="s">
        <v>2087</v>
      </c>
      <c r="BU3" s="137" t="e">
        <f>VLOOKUP(BU2,BV:BW,2,0)</f>
        <v>#REF!</v>
      </c>
      <c r="BV3" s="137" t="s">
        <v>2152</v>
      </c>
      <c r="BW3" s="137" t="s">
        <v>2148</v>
      </c>
      <c r="BY3" s="137" t="str">
        <f>'Translate &amp; Prices'!B210</f>
        <v>Vlevo</v>
      </c>
      <c r="BZ3" s="137">
        <v>1</v>
      </c>
      <c r="CA3" s="137">
        <v>32</v>
      </c>
      <c r="CD3" s="137" t="s">
        <v>2272</v>
      </c>
      <c r="CE3" s="137">
        <v>1</v>
      </c>
      <c r="CF3" s="137">
        <v>1</v>
      </c>
      <c r="CG3" s="407" t="s">
        <v>2272</v>
      </c>
      <c r="CH3" s="407" t="s">
        <v>2272</v>
      </c>
      <c r="CI3" s="410" t="s">
        <v>2273</v>
      </c>
      <c r="CJ3" s="410" t="s">
        <v>2273</v>
      </c>
      <c r="CK3" s="407" t="s">
        <v>2097</v>
      </c>
      <c r="CL3" s="407" t="s">
        <v>2097</v>
      </c>
      <c r="CM3" s="410" t="s">
        <v>2100</v>
      </c>
      <c r="CN3" s="410" t="s">
        <v>2100</v>
      </c>
      <c r="CO3" s="407" t="s">
        <v>2107</v>
      </c>
      <c r="CP3" s="407" t="s">
        <v>2107</v>
      </c>
      <c r="CQ3" s="410" t="s">
        <v>2274</v>
      </c>
      <c r="CR3" s="410" t="s">
        <v>2274</v>
      </c>
      <c r="CS3" s="407" t="s">
        <v>2102</v>
      </c>
      <c r="CT3" s="407" t="s">
        <v>2102</v>
      </c>
      <c r="CU3" s="410" t="s">
        <v>2108</v>
      </c>
      <c r="CV3" s="410" t="s">
        <v>2108</v>
      </c>
      <c r="CW3" s="407" t="s">
        <v>2269</v>
      </c>
      <c r="CX3" s="407" t="s">
        <v>2269</v>
      </c>
      <c r="CY3" s="410" t="s">
        <v>2111</v>
      </c>
      <c r="CZ3" s="410" t="s">
        <v>2111</v>
      </c>
      <c r="DA3" s="407" t="s">
        <v>2268</v>
      </c>
      <c r="DB3" s="407" t="s">
        <v>2268</v>
      </c>
      <c r="DC3" s="410" t="s">
        <v>2113</v>
      </c>
      <c r="DD3" s="410" t="s">
        <v>2113</v>
      </c>
      <c r="DE3" s="407" t="s">
        <v>2114</v>
      </c>
      <c r="DF3" s="407" t="s">
        <v>2114</v>
      </c>
      <c r="DG3" s="137" t="s">
        <v>2638</v>
      </c>
      <c r="DH3" s="137" t="s">
        <v>2638</v>
      </c>
      <c r="DI3" s="137" t="s">
        <v>2639</v>
      </c>
      <c r="DJ3" s="137" t="s">
        <v>2639</v>
      </c>
      <c r="DK3" s="410" t="s">
        <v>2119</v>
      </c>
      <c r="DL3" s="410" t="s">
        <v>2119</v>
      </c>
      <c r="DN3" s="137" t="str">
        <f>'Translate &amp; Prices'!B534</f>
        <v>Polonaložený</v>
      </c>
      <c r="DP3" s="137" t="str">
        <f>'Translate &amp; Prices'!B532</f>
        <v>Výklopy</v>
      </c>
      <c r="DQ3" s="137">
        <v>3</v>
      </c>
    </row>
    <row r="4" spans="1:121" x14ac:dyDescent="0.3">
      <c r="A4" s="446" t="str">
        <f>'Translate &amp; Prices'!B7</f>
        <v>BRW antracit</v>
      </c>
      <c r="B4" s="137">
        <v>1</v>
      </c>
      <c r="C4" s="137" t="s">
        <v>1222</v>
      </c>
      <c r="D4" s="137">
        <v>0</v>
      </c>
      <c r="G4" s="137" t="s">
        <v>2084</v>
      </c>
      <c r="H4" s="137" t="s">
        <v>713</v>
      </c>
      <c r="I4" s="137">
        <v>0</v>
      </c>
      <c r="J4" s="137">
        <v>2</v>
      </c>
      <c r="K4" s="137" t="s">
        <v>1222</v>
      </c>
      <c r="M4" s="137" t="s">
        <v>2088</v>
      </c>
      <c r="N4" s="137" t="s">
        <v>1648</v>
      </c>
      <c r="Q4" s="446" t="str">
        <f>'Translate &amp; Prices'!$B$82</f>
        <v>Čiré</v>
      </c>
      <c r="R4" s="446" t="str">
        <f>'Translate &amp; Prices'!$B$93</f>
        <v>Stopsol bronz</v>
      </c>
      <c r="S4" s="446" t="str">
        <f>'Translate &amp; Prices'!$B$82</f>
        <v>Čiré</v>
      </c>
      <c r="T4" s="446" t="str">
        <f>'Translate &amp; Prices'!$B$93</f>
        <v>Stopsol bronz</v>
      </c>
      <c r="U4" s="446" t="str">
        <f>'Translate &amp; Prices'!$B$98</f>
        <v>Zrcadlo</v>
      </c>
      <c r="V4" s="446" t="str">
        <f>'Translate &amp; Prices'!$B$98</f>
        <v>Zrcadlo</v>
      </c>
      <c r="X4" s="137" t="str">
        <f>'Translate &amp; Prices'!$B$544</f>
        <v>Bílá</v>
      </c>
      <c r="Y4" s="137">
        <v>2</v>
      </c>
      <c r="AA4" s="137" t="s">
        <v>2087</v>
      </c>
      <c r="AB4" s="137" t="s">
        <v>2272</v>
      </c>
      <c r="AC4" s="137">
        <v>1</v>
      </c>
      <c r="AD4" s="137">
        <v>1</v>
      </c>
      <c r="AF4" s="407" t="s">
        <v>246</v>
      </c>
      <c r="AG4" s="407" t="s">
        <v>1032</v>
      </c>
      <c r="AY4" s="137" t="s">
        <v>2117</v>
      </c>
      <c r="AZ4" s="137" t="s">
        <v>2154</v>
      </c>
      <c r="BK4" s="137" t="s">
        <v>246</v>
      </c>
      <c r="BQ4" s="137" t="s">
        <v>2087</v>
      </c>
      <c r="BR4" s="137" t="s">
        <v>2099</v>
      </c>
      <c r="BV4" s="137" t="s">
        <v>2153</v>
      </c>
      <c r="BW4" s="137" t="s">
        <v>2147</v>
      </c>
      <c r="BY4" s="137" t="str">
        <f>'Translate &amp; Prices'!B209</f>
        <v xml:space="preserve">Vpravo </v>
      </c>
      <c r="BZ4" s="137">
        <v>2</v>
      </c>
      <c r="CA4" s="137">
        <v>64</v>
      </c>
      <c r="CD4" s="137" t="s">
        <v>2273</v>
      </c>
      <c r="CE4" s="137">
        <v>1</v>
      </c>
      <c r="CF4" s="137">
        <v>0</v>
      </c>
      <c r="CG4" s="137" t="str">
        <f>CONCATENATE("_",CG2,"_",CG3)</f>
        <v>_Úzký_Aventos_HF</v>
      </c>
      <c r="CH4" s="137" t="str">
        <f t="shared" ref="CH4:DL4" si="0">CONCATENATE("_",CH2,"_",CH3)</f>
        <v>_široký_Aventos_HF</v>
      </c>
      <c r="CI4" s="137" t="str">
        <f t="shared" si="0"/>
        <v>_Úzký_Aventos_HK-XS</v>
      </c>
      <c r="CJ4" s="137" t="str">
        <f t="shared" si="0"/>
        <v>_široký_Aventos_HK-XS</v>
      </c>
      <c r="CK4" s="137" t="str">
        <f t="shared" si="0"/>
        <v>_Úzký_FREElight</v>
      </c>
      <c r="CL4" s="137" t="str">
        <f t="shared" si="0"/>
        <v>_široký_FREElight</v>
      </c>
      <c r="CM4" s="137" t="str">
        <f t="shared" si="0"/>
        <v>_Úzký_FREEfold</v>
      </c>
      <c r="CN4" s="137" t="str">
        <f t="shared" si="0"/>
        <v>_široký_FREEfold</v>
      </c>
      <c r="CO4" s="137" t="str">
        <f t="shared" si="0"/>
        <v>_Úzký_Maxi</v>
      </c>
      <c r="CP4" s="137" t="str">
        <f t="shared" si="0"/>
        <v>_široký_Maxi</v>
      </c>
      <c r="CQ4" s="137" t="str">
        <f t="shared" si="0"/>
        <v>_Úzký_Duo_Forte</v>
      </c>
      <c r="CR4" s="137" t="str">
        <f t="shared" si="0"/>
        <v>_široký_Duo_Forte</v>
      </c>
      <c r="CS4" s="137" t="str">
        <f t="shared" si="0"/>
        <v>_Úzký_Duo</v>
      </c>
      <c r="CT4" s="137" t="str">
        <f t="shared" si="0"/>
        <v>_široký_Duo</v>
      </c>
      <c r="CU4" s="137" t="str">
        <f t="shared" si="0"/>
        <v>_Úzký_K12</v>
      </c>
      <c r="CV4" s="137" t="str">
        <f t="shared" si="0"/>
        <v>_široký_K12</v>
      </c>
      <c r="CW4" s="137" t="str">
        <f t="shared" si="0"/>
        <v>_Úzký_Spodní_K12</v>
      </c>
      <c r="CX4" s="137" t="str">
        <f t="shared" si="0"/>
        <v>_široký_Spodní_K12</v>
      </c>
      <c r="CY4" s="137" t="str">
        <f t="shared" si="0"/>
        <v>_Úzký_Kraby</v>
      </c>
      <c r="CZ4" s="137" t="str">
        <f t="shared" si="0"/>
        <v>_široký_Kraby</v>
      </c>
      <c r="DA4" s="137" t="str">
        <f t="shared" si="0"/>
        <v>_Úzký_Spodní_Kraby</v>
      </c>
      <c r="DB4" s="137" t="str">
        <f t="shared" si="0"/>
        <v>_široký_Spodní_Kraby</v>
      </c>
      <c r="DC4" s="137" t="str">
        <f t="shared" si="0"/>
        <v>_Úzký_Kiaro</v>
      </c>
      <c r="DD4" s="137" t="str">
        <f t="shared" si="0"/>
        <v>_široký_Kiaro</v>
      </c>
      <c r="DE4" s="137" t="str">
        <f t="shared" si="0"/>
        <v>_Úzký_Link</v>
      </c>
      <c r="DF4" s="137" t="str">
        <f t="shared" si="0"/>
        <v>_široký_Link</v>
      </c>
      <c r="DG4" s="137" t="str">
        <f t="shared" si="0"/>
        <v>_Úzký_Strong_horní</v>
      </c>
      <c r="DH4" s="137" t="str">
        <f t="shared" si="0"/>
        <v>_široký_Strong_horní</v>
      </c>
      <c r="DI4" s="137" t="str">
        <f t="shared" si="0"/>
        <v>_Úzký_Strong_spodní</v>
      </c>
      <c r="DJ4" s="137" t="str">
        <f t="shared" si="0"/>
        <v>_široký_Strong_spodní</v>
      </c>
      <c r="DK4" s="137" t="str">
        <f t="shared" si="0"/>
        <v>_Úzký_LiftMini</v>
      </c>
      <c r="DL4" s="137" t="str">
        <f t="shared" si="0"/>
        <v>_široký_LiftMini</v>
      </c>
      <c r="DN4" s="137" t="str">
        <f>'Translate &amp; Prices'!B535</f>
        <v>Vložený</v>
      </c>
    </row>
    <row r="5" spans="1:121" x14ac:dyDescent="0.3">
      <c r="A5" s="446" t="str">
        <f>'Translate &amp; Prices'!B8</f>
        <v>BRW bílá mat</v>
      </c>
      <c r="B5" s="137">
        <v>1</v>
      </c>
      <c r="C5" s="137" t="s">
        <v>1222</v>
      </c>
      <c r="D5" s="137">
        <v>0</v>
      </c>
      <c r="F5" s="137" t="s">
        <v>2090</v>
      </c>
      <c r="G5" s="137" t="s">
        <v>712</v>
      </c>
      <c r="H5" s="137" t="s">
        <v>2084</v>
      </c>
      <c r="I5" s="137">
        <v>1</v>
      </c>
      <c r="J5" s="137">
        <v>2</v>
      </c>
      <c r="K5" s="137" t="s">
        <v>1222</v>
      </c>
      <c r="M5" s="137" t="s">
        <v>2091</v>
      </c>
      <c r="N5" s="137" t="s">
        <v>1011</v>
      </c>
      <c r="Q5" s="446" t="str">
        <f>'Translate &amp; Prices'!$B$87</f>
        <v>Satinato</v>
      </c>
      <c r="R5" s="446" t="str">
        <f>'Translate &amp; Prices'!$B$94</f>
        <v>Lakomat</v>
      </c>
      <c r="S5" s="446" t="str">
        <f>'Translate &amp; Prices'!$B$87</f>
        <v>Satinato</v>
      </c>
      <c r="T5" s="446" t="str">
        <f>'Translate &amp; Prices'!$B$105</f>
        <v>Master  Ligne</v>
      </c>
      <c r="U5" s="446" t="str">
        <f>'Translate &amp; Prices'!$B$99</f>
        <v>Zrcadlo hnědé</v>
      </c>
      <c r="V5" s="446" t="str">
        <f>'Translate &amp; Prices'!$B$99</f>
        <v>Zrcadlo hnědé</v>
      </c>
      <c r="X5" s="137" t="str">
        <f>'Translate &amp; Prices'!$B$545</f>
        <v>Černá</v>
      </c>
      <c r="Y5" s="137">
        <v>3</v>
      </c>
      <c r="AA5" s="137" t="s">
        <v>2087</v>
      </c>
      <c r="AB5" s="137" t="s">
        <v>2275</v>
      </c>
      <c r="AC5" s="137">
        <v>0</v>
      </c>
      <c r="AD5" s="137">
        <v>0</v>
      </c>
      <c r="AF5" s="410" t="s">
        <v>245</v>
      </c>
      <c r="AG5" s="410" t="s">
        <v>2093</v>
      </c>
      <c r="AY5" s="137" t="s">
        <v>2117</v>
      </c>
      <c r="AZ5" s="137" t="s">
        <v>2155</v>
      </c>
      <c r="BK5" s="137" t="s">
        <v>2094</v>
      </c>
      <c r="BQ5" s="137" t="s">
        <v>1021</v>
      </c>
      <c r="BR5" s="137" t="s">
        <v>2109</v>
      </c>
      <c r="BV5" s="137" t="s">
        <v>2150</v>
      </c>
      <c r="BW5" s="137" t="s">
        <v>2145</v>
      </c>
      <c r="BY5" s="137" t="str">
        <f>'Translate &amp; Prices'!B207</f>
        <v>Nahoře</v>
      </c>
      <c r="BZ5" s="137">
        <v>3</v>
      </c>
      <c r="CA5" s="137">
        <v>76</v>
      </c>
      <c r="CD5" s="137" t="s">
        <v>2097</v>
      </c>
      <c r="CE5" s="137">
        <v>1</v>
      </c>
      <c r="CF5" s="137">
        <v>0</v>
      </c>
      <c r="CG5" s="404" t="s">
        <v>2177</v>
      </c>
      <c r="CH5" s="404" t="s">
        <v>2185</v>
      </c>
      <c r="CI5" s="404" t="s">
        <v>2192</v>
      </c>
      <c r="CJ5" s="404" t="s">
        <v>2197</v>
      </c>
      <c r="CK5" s="404" t="s">
        <v>2200</v>
      </c>
      <c r="CL5" s="404" t="s">
        <v>2210</v>
      </c>
      <c r="CM5" s="404" t="s">
        <v>2200</v>
      </c>
      <c r="CN5" s="404" t="s">
        <v>2210</v>
      </c>
      <c r="CO5" s="404" t="s">
        <v>2200</v>
      </c>
      <c r="CP5" s="404" t="s">
        <v>2210</v>
      </c>
      <c r="CQ5" s="404" t="s">
        <v>2221</v>
      </c>
      <c r="CR5" s="404" t="s">
        <v>2229</v>
      </c>
      <c r="CS5" s="404" t="s">
        <v>2221</v>
      </c>
      <c r="CT5" s="404" t="s">
        <v>2229</v>
      </c>
      <c r="CU5" s="404" t="s">
        <v>2200</v>
      </c>
      <c r="CV5" s="404" t="s">
        <v>2210</v>
      </c>
      <c r="CW5" s="404" t="s">
        <v>2221</v>
      </c>
      <c r="CX5" s="404" t="s">
        <v>2235</v>
      </c>
      <c r="CY5" s="404" t="s">
        <v>2200</v>
      </c>
      <c r="CZ5" s="404" t="s">
        <v>2210</v>
      </c>
      <c r="DA5" s="404" t="s">
        <v>2221</v>
      </c>
      <c r="DB5" s="404" t="s">
        <v>2235</v>
      </c>
      <c r="DC5" s="404" t="s">
        <v>2221</v>
      </c>
      <c r="DD5" s="404" t="s">
        <v>2235</v>
      </c>
      <c r="DE5" s="404" t="s">
        <v>2221</v>
      </c>
      <c r="DF5" s="404" t="s">
        <v>2235</v>
      </c>
      <c r="DG5" s="404" t="s">
        <v>2200</v>
      </c>
      <c r="DH5" s="404" t="s">
        <v>2210</v>
      </c>
      <c r="DI5" s="404" t="s">
        <v>2200</v>
      </c>
      <c r="DJ5" s="404" t="s">
        <v>2210</v>
      </c>
      <c r="DK5" s="404" t="s">
        <v>2221</v>
      </c>
      <c r="DL5" s="404" t="s">
        <v>2235</v>
      </c>
    </row>
    <row r="6" spans="1:121" x14ac:dyDescent="0.3">
      <c r="A6" s="446" t="str">
        <f>'Translate &amp; Prices'!B9</f>
        <v>BRW bílá lesk</v>
      </c>
      <c r="B6" s="137">
        <v>1</v>
      </c>
      <c r="C6" s="137" t="s">
        <v>1222</v>
      </c>
      <c r="D6" s="137">
        <v>0</v>
      </c>
      <c r="G6" s="137" t="s">
        <v>2084</v>
      </c>
      <c r="H6" s="137" t="s">
        <v>712</v>
      </c>
      <c r="I6" s="137">
        <v>0</v>
      </c>
      <c r="J6" s="137">
        <v>2</v>
      </c>
      <c r="K6" s="137" t="s">
        <v>1222</v>
      </c>
      <c r="N6" s="137" t="s">
        <v>1624</v>
      </c>
      <c r="Q6" s="446" t="str">
        <f>'Translate &amp; Prices'!$B$89</f>
        <v>Satinato hnědé</v>
      </c>
      <c r="R6" s="446" t="str">
        <f>'Translate &amp; Prices'!$B$98</f>
        <v>Zrcadlo</v>
      </c>
      <c r="S6" s="446" t="str">
        <f>'Translate &amp; Prices'!$B$89</f>
        <v>Satinato hnědé</v>
      </c>
      <c r="T6" s="446" t="str">
        <f>'Translate &amp; Prices'!$B$106</f>
        <v>Master  Point</v>
      </c>
      <c r="U6" s="446" t="str">
        <f>'Translate &amp; Prices'!$B$100</f>
        <v>Zrcadlo grafit</v>
      </c>
      <c r="V6" s="446" t="str">
        <f>'Translate &amp; Prices'!$B$100</f>
        <v>Zrcadlo grafit</v>
      </c>
      <c r="AA6" s="137" t="s">
        <v>2087</v>
      </c>
      <c r="AB6" s="137" t="s">
        <v>2276</v>
      </c>
      <c r="AC6" s="137">
        <v>0</v>
      </c>
      <c r="AD6" s="137">
        <v>0</v>
      </c>
      <c r="AF6" s="410" t="s">
        <v>246</v>
      </c>
      <c r="AG6" s="410" t="s">
        <v>2093</v>
      </c>
      <c r="AY6" s="137" t="s">
        <v>2117</v>
      </c>
      <c r="AZ6" s="137" t="s">
        <v>2156</v>
      </c>
      <c r="BK6" s="137" t="s">
        <v>2095</v>
      </c>
      <c r="BR6" s="137" t="s">
        <v>1021</v>
      </c>
      <c r="BV6" s="137" t="s">
        <v>2151</v>
      </c>
      <c r="BW6" s="137" t="s">
        <v>2146</v>
      </c>
      <c r="BY6" s="137" t="str">
        <f>'Translate &amp; Prices'!B208</f>
        <v>Dole</v>
      </c>
      <c r="BZ6" s="137">
        <v>4</v>
      </c>
      <c r="CA6" s="137">
        <v>96</v>
      </c>
      <c r="CD6" s="137" t="s">
        <v>2100</v>
      </c>
      <c r="CE6" s="137">
        <v>1</v>
      </c>
      <c r="CF6" s="137">
        <v>1</v>
      </c>
      <c r="CG6" s="404"/>
      <c r="CH6" s="404"/>
      <c r="CI6" s="404"/>
      <c r="CJ6" s="404"/>
      <c r="CK6" s="404" t="s">
        <v>2201</v>
      </c>
      <c r="CL6" s="404" t="s">
        <v>2211</v>
      </c>
      <c r="CM6" s="404" t="s">
        <v>2201</v>
      </c>
      <c r="CN6" s="404" t="s">
        <v>2211</v>
      </c>
      <c r="CO6" s="404" t="s">
        <v>2201</v>
      </c>
      <c r="CP6" s="404" t="s">
        <v>2211</v>
      </c>
      <c r="CQ6" s="404" t="s">
        <v>2222</v>
      </c>
      <c r="CR6" s="404" t="s">
        <v>2230</v>
      </c>
      <c r="CS6" s="404" t="s">
        <v>2222</v>
      </c>
      <c r="CT6" s="404" t="s">
        <v>2230</v>
      </c>
      <c r="CU6" s="404" t="s">
        <v>2201</v>
      </c>
      <c r="CV6" s="404" t="s">
        <v>2211</v>
      </c>
      <c r="CW6" s="404" t="s">
        <v>2223</v>
      </c>
      <c r="CX6" s="404" t="s">
        <v>2229</v>
      </c>
      <c r="CY6" s="404" t="s">
        <v>2201</v>
      </c>
      <c r="CZ6" s="404" t="s">
        <v>2211</v>
      </c>
      <c r="DA6" s="404" t="s">
        <v>2223</v>
      </c>
      <c r="DB6" s="404" t="s">
        <v>2229</v>
      </c>
      <c r="DC6" s="404" t="s">
        <v>2223</v>
      </c>
      <c r="DD6" s="404" t="s">
        <v>2229</v>
      </c>
      <c r="DE6" s="404" t="s">
        <v>2223</v>
      </c>
      <c r="DF6" s="404" t="s">
        <v>2229</v>
      </c>
      <c r="DG6" s="404" t="s">
        <v>2201</v>
      </c>
      <c r="DH6" s="404" t="s">
        <v>2211</v>
      </c>
      <c r="DI6" s="404" t="s">
        <v>2201</v>
      </c>
      <c r="DJ6" s="404" t="s">
        <v>2211</v>
      </c>
      <c r="DK6" s="404" t="s">
        <v>2223</v>
      </c>
      <c r="DL6" s="404" t="s">
        <v>2229</v>
      </c>
    </row>
    <row r="7" spans="1:121" x14ac:dyDescent="0.3">
      <c r="A7" s="446" t="str">
        <f>'Translate &amp; Prices'!B10</f>
        <v>BRW hnědá</v>
      </c>
      <c r="B7" s="137">
        <v>1</v>
      </c>
      <c r="C7" s="137" t="s">
        <v>1222</v>
      </c>
      <c r="D7" s="137">
        <v>0</v>
      </c>
      <c r="F7" s="137" t="s">
        <v>2096</v>
      </c>
      <c r="G7" s="137" t="s">
        <v>714</v>
      </c>
      <c r="H7" s="137" t="s">
        <v>2084</v>
      </c>
      <c r="I7" s="137">
        <v>1</v>
      </c>
      <c r="J7" s="137">
        <v>2</v>
      </c>
      <c r="K7" s="137" t="s">
        <v>1222</v>
      </c>
      <c r="Q7" s="446" t="str">
        <f>'Translate &amp; Prices'!$B$90</f>
        <v>Satinato grafit</v>
      </c>
      <c r="R7" s="446" t="str">
        <f>'Translate &amp; Prices'!$B$99</f>
        <v>Zrcadlo hnědé</v>
      </c>
      <c r="S7" s="446" t="str">
        <f>'Translate &amp; Prices'!$B$90</f>
        <v>Satinato grafit</v>
      </c>
      <c r="T7" s="446" t="str">
        <f>'Translate &amp; Prices'!$B$108</f>
        <v>Master  Shine</v>
      </c>
      <c r="U7" s="446" t="str">
        <f>'Translate &amp; Prices'!$B$109</f>
        <v>Lacobel RAL 1013</v>
      </c>
      <c r="V7" s="446" t="str">
        <f>'Translate &amp; Prices'!$B$109</f>
        <v>Lacobel RAL 1013</v>
      </c>
      <c r="AA7" s="137" t="s">
        <v>2087</v>
      </c>
      <c r="AB7" s="137" t="s">
        <v>2277</v>
      </c>
      <c r="AC7" s="137">
        <v>1</v>
      </c>
      <c r="AD7" s="137">
        <v>0</v>
      </c>
      <c r="AF7" s="407" t="s">
        <v>245</v>
      </c>
      <c r="AG7" s="407" t="s">
        <v>2097</v>
      </c>
      <c r="AY7" s="137" t="s">
        <v>2117</v>
      </c>
      <c r="AZ7" s="137" t="s">
        <v>2157</v>
      </c>
      <c r="BK7" s="137" t="s">
        <v>2098</v>
      </c>
      <c r="BR7" s="137" t="s">
        <v>2117</v>
      </c>
      <c r="BV7" s="137" t="s">
        <v>2169</v>
      </c>
      <c r="BW7" s="137" t="s">
        <v>2172</v>
      </c>
      <c r="CA7" s="137">
        <v>128</v>
      </c>
      <c r="CD7" s="137" t="s">
        <v>2102</v>
      </c>
      <c r="CE7" s="137">
        <v>1</v>
      </c>
      <c r="CF7" s="137">
        <v>0</v>
      </c>
      <c r="CG7" s="404"/>
      <c r="CH7" s="404"/>
      <c r="CI7" s="404"/>
      <c r="CJ7" s="404"/>
      <c r="CK7" s="404" t="s">
        <v>2202</v>
      </c>
      <c r="CL7" s="404" t="s">
        <v>2212</v>
      </c>
      <c r="CM7" s="404" t="s">
        <v>2202</v>
      </c>
      <c r="CN7" s="404" t="s">
        <v>2212</v>
      </c>
      <c r="CO7" s="404" t="s">
        <v>2202</v>
      </c>
      <c r="CP7" s="404" t="s">
        <v>2212</v>
      </c>
      <c r="CQ7" s="404" t="s">
        <v>2223</v>
      </c>
      <c r="CR7" s="404" t="s">
        <v>2231</v>
      </c>
      <c r="CS7" s="404" t="s">
        <v>2223</v>
      </c>
      <c r="CT7" s="404" t="s">
        <v>2231</v>
      </c>
      <c r="CU7" s="404" t="s">
        <v>2202</v>
      </c>
      <c r="CV7" s="404" t="s">
        <v>2212</v>
      </c>
      <c r="CW7" s="404" t="s">
        <v>2226</v>
      </c>
      <c r="CX7" s="404" t="s">
        <v>2231</v>
      </c>
      <c r="CY7" s="404" t="s">
        <v>2202</v>
      </c>
      <c r="CZ7" s="404" t="s">
        <v>2212</v>
      </c>
      <c r="DA7" s="404" t="s">
        <v>2226</v>
      </c>
      <c r="DB7" s="404" t="s">
        <v>2231</v>
      </c>
      <c r="DC7" s="404" t="s">
        <v>2226</v>
      </c>
      <c r="DD7" s="404" t="s">
        <v>2231</v>
      </c>
      <c r="DE7" s="404" t="s">
        <v>2226</v>
      </c>
      <c r="DF7" s="404" t="s">
        <v>2231</v>
      </c>
      <c r="DG7" s="404" t="s">
        <v>2202</v>
      </c>
      <c r="DH7" s="404" t="s">
        <v>2212</v>
      </c>
      <c r="DI7" s="404" t="s">
        <v>2202</v>
      </c>
      <c r="DJ7" s="404" t="s">
        <v>2212</v>
      </c>
      <c r="DK7" s="404" t="s">
        <v>2226</v>
      </c>
      <c r="DL7" s="404" t="s">
        <v>2231</v>
      </c>
      <c r="DN7" s="165" t="s">
        <v>125</v>
      </c>
      <c r="DO7" s="165" t="s">
        <v>125</v>
      </c>
    </row>
    <row r="8" spans="1:121" x14ac:dyDescent="0.3">
      <c r="A8" s="446" t="str">
        <f>'Translate &amp; Prices'!B11</f>
        <v>BRW broušené</v>
      </c>
      <c r="B8" s="137">
        <v>1</v>
      </c>
      <c r="C8" s="137" t="s">
        <v>1222</v>
      </c>
      <c r="D8" s="137">
        <v>0</v>
      </c>
      <c r="G8" s="137" t="s">
        <v>2084</v>
      </c>
      <c r="H8" s="137" t="s">
        <v>714</v>
      </c>
      <c r="I8" s="137">
        <v>0</v>
      </c>
      <c r="J8" s="137">
        <v>2</v>
      </c>
      <c r="K8" s="137" t="s">
        <v>1222</v>
      </c>
      <c r="Q8" s="446" t="str">
        <f>'Translate &amp; Prices'!$B$91</f>
        <v>Screen</v>
      </c>
      <c r="R8" s="446" t="str">
        <f>'Translate &amp; Prices'!$B$100</f>
        <v>Zrcadlo grafit</v>
      </c>
      <c r="S8" s="446" t="str">
        <f>'Translate &amp; Prices'!$B$91</f>
        <v>Screen</v>
      </c>
      <c r="U8" s="446" t="str">
        <f>'Translate &amp; Prices'!$B$110</f>
        <v>Lacobel RAL 1014</v>
      </c>
      <c r="V8" s="446" t="str">
        <f>'Translate &amp; Prices'!$B$110</f>
        <v>Lacobel RAL 1014</v>
      </c>
      <c r="AA8" s="137" t="s">
        <v>2087</v>
      </c>
      <c r="AB8" s="137" t="s">
        <v>2278</v>
      </c>
      <c r="AC8" s="137">
        <v>0</v>
      </c>
      <c r="AD8" s="137">
        <v>0</v>
      </c>
      <c r="AF8" s="407" t="s">
        <v>246</v>
      </c>
      <c r="AG8" s="407" t="s">
        <v>2097</v>
      </c>
      <c r="AY8" s="137" t="s">
        <v>2117</v>
      </c>
      <c r="AZ8" s="137" t="s">
        <v>2158</v>
      </c>
      <c r="BV8" s="137" t="s">
        <v>2170</v>
      </c>
      <c r="BW8" s="137" t="s">
        <v>2173</v>
      </c>
      <c r="BY8" s="137">
        <v>2</v>
      </c>
      <c r="CA8" s="137">
        <v>160</v>
      </c>
      <c r="CD8" s="137" t="s">
        <v>2274</v>
      </c>
      <c r="CE8" s="137">
        <v>1</v>
      </c>
      <c r="CF8" s="137">
        <v>0</v>
      </c>
      <c r="CG8" s="404"/>
      <c r="CH8" s="404"/>
      <c r="CI8" s="404"/>
      <c r="CJ8" s="404"/>
      <c r="CK8" s="404" t="s">
        <v>2203</v>
      </c>
      <c r="CL8" s="404" t="s">
        <v>2213</v>
      </c>
      <c r="CM8" s="404" t="s">
        <v>2203</v>
      </c>
      <c r="CN8" s="404" t="s">
        <v>2213</v>
      </c>
      <c r="CO8" s="404" t="s">
        <v>2203</v>
      </c>
      <c r="CP8" s="404" t="s">
        <v>2213</v>
      </c>
      <c r="CQ8" s="404" t="s">
        <v>2224</v>
      </c>
      <c r="CR8" s="404" t="s">
        <v>2232</v>
      </c>
      <c r="CS8" s="404" t="s">
        <v>2224</v>
      </c>
      <c r="CT8" s="404" t="s">
        <v>2232</v>
      </c>
      <c r="CU8" s="404" t="s">
        <v>2203</v>
      </c>
      <c r="CV8" s="404" t="s">
        <v>2213</v>
      </c>
      <c r="CW8" s="404"/>
      <c r="CX8" s="404" t="s">
        <v>2233</v>
      </c>
      <c r="CY8" s="404" t="s">
        <v>2203</v>
      </c>
      <c r="CZ8" s="404" t="s">
        <v>2213</v>
      </c>
      <c r="DA8" s="404"/>
      <c r="DB8" s="404" t="s">
        <v>2233</v>
      </c>
      <c r="DC8" s="404"/>
      <c r="DD8" s="404" t="s">
        <v>2233</v>
      </c>
      <c r="DE8" s="404"/>
      <c r="DF8" s="404" t="s">
        <v>2233</v>
      </c>
      <c r="DG8" s="404" t="s">
        <v>2203</v>
      </c>
      <c r="DH8" s="404" t="s">
        <v>2213</v>
      </c>
      <c r="DI8" s="404" t="s">
        <v>2203</v>
      </c>
      <c r="DJ8" s="404" t="s">
        <v>2213</v>
      </c>
      <c r="DK8" s="404"/>
      <c r="DL8" s="404" t="s">
        <v>2233</v>
      </c>
      <c r="DN8" s="165" t="s">
        <v>126</v>
      </c>
      <c r="DO8" s="165" t="s">
        <v>126</v>
      </c>
    </row>
    <row r="9" spans="1:121" x14ac:dyDescent="0.3">
      <c r="A9" s="446" t="str">
        <f>'Translate &amp; Prices'!B12</f>
        <v>BRW černá mat</v>
      </c>
      <c r="B9" s="137">
        <v>1</v>
      </c>
      <c r="C9" s="137" t="s">
        <v>1222</v>
      </c>
      <c r="D9" s="137">
        <v>1</v>
      </c>
      <c r="Q9" s="446" t="str">
        <f>'Translate &amp; Prices'!$B$92</f>
        <v>Venus VG10</v>
      </c>
      <c r="R9" s="446" t="str">
        <f>'Translate &amp; Prices'!$B$105</f>
        <v>Master  Ligne</v>
      </c>
      <c r="S9" s="446" t="str">
        <f>'Translate &amp; Prices'!$B$92</f>
        <v>Venus VG10</v>
      </c>
      <c r="U9" s="446" t="str">
        <f>'Translate &amp; Prices'!$B$111</f>
        <v>Lacobel RAL 1015</v>
      </c>
      <c r="V9" s="446" t="str">
        <f>'Translate &amp; Prices'!$B$111</f>
        <v>Lacobel RAL 1015</v>
      </c>
      <c r="AB9" s="137" t="s">
        <v>2279</v>
      </c>
      <c r="AC9" s="137">
        <v>0</v>
      </c>
      <c r="AD9" s="137">
        <v>0</v>
      </c>
      <c r="AF9" s="410" t="s">
        <v>245</v>
      </c>
      <c r="AG9" s="410" t="s">
        <v>2100</v>
      </c>
      <c r="AY9" s="137" t="s">
        <v>2087</v>
      </c>
      <c r="BV9" s="137" t="s">
        <v>2171</v>
      </c>
      <c r="BW9" s="137" t="s">
        <v>2174</v>
      </c>
      <c r="BY9" s="137">
        <v>3</v>
      </c>
      <c r="CA9" s="137">
        <v>192</v>
      </c>
      <c r="CD9" s="137" t="s">
        <v>2107</v>
      </c>
      <c r="CE9" s="137">
        <v>1</v>
      </c>
      <c r="CF9" s="137">
        <v>0</v>
      </c>
      <c r="CG9" s="404"/>
      <c r="CH9" s="404"/>
      <c r="CI9" s="404"/>
      <c r="CJ9" s="404"/>
      <c r="CK9" s="404" t="s">
        <v>2204</v>
      </c>
      <c r="CL9" s="404" t="s">
        <v>2214</v>
      </c>
      <c r="CM9" s="404" t="s">
        <v>2204</v>
      </c>
      <c r="CN9" s="404" t="s">
        <v>2214</v>
      </c>
      <c r="CO9" s="404" t="s">
        <v>2204</v>
      </c>
      <c r="CP9" s="404" t="s">
        <v>2214</v>
      </c>
      <c r="CQ9" s="404" t="s">
        <v>2225</v>
      </c>
      <c r="CR9" s="404" t="s">
        <v>2233</v>
      </c>
      <c r="CS9" s="404" t="s">
        <v>2225</v>
      </c>
      <c r="CT9" s="404" t="s">
        <v>2233</v>
      </c>
      <c r="CU9" s="404" t="s">
        <v>2204</v>
      </c>
      <c r="CV9" s="404" t="s">
        <v>2214</v>
      </c>
      <c r="CW9" s="404"/>
      <c r="CX9" s="404"/>
      <c r="CY9" s="404" t="s">
        <v>2204</v>
      </c>
      <c r="CZ9" s="404" t="s">
        <v>2214</v>
      </c>
      <c r="DA9" s="404"/>
      <c r="DB9" s="404"/>
      <c r="DC9" s="404"/>
      <c r="DD9" s="404"/>
      <c r="DE9" s="404"/>
      <c r="DF9" s="404"/>
      <c r="DG9" s="404" t="s">
        <v>2204</v>
      </c>
      <c r="DH9" s="404" t="s">
        <v>2214</v>
      </c>
      <c r="DI9" s="404" t="s">
        <v>2204</v>
      </c>
      <c r="DJ9" s="404" t="s">
        <v>2214</v>
      </c>
      <c r="DK9" s="404"/>
      <c r="DL9" s="404"/>
      <c r="DN9" s="165" t="s">
        <v>127</v>
      </c>
      <c r="DO9" s="165" t="s">
        <v>127</v>
      </c>
    </row>
    <row r="10" spans="1:121" x14ac:dyDescent="0.3">
      <c r="A10" s="446" t="str">
        <f>'Translate &amp; Prices'!B14</f>
        <v>BRW černá broušená</v>
      </c>
      <c r="B10" s="137">
        <v>1</v>
      </c>
      <c r="C10" s="137" t="s">
        <v>1222</v>
      </c>
      <c r="D10" s="137">
        <v>0</v>
      </c>
      <c r="Q10" s="446" t="str">
        <f>'Translate &amp; Prices'!$B$93</f>
        <v>Stopsol bronz</v>
      </c>
      <c r="R10" s="446" t="str">
        <f>'Translate &amp; Prices'!$B$106</f>
        <v>Master  Point</v>
      </c>
      <c r="S10" s="446" t="str">
        <f>'Translate &amp; Prices'!$B$93</f>
        <v>Stopsol bronz</v>
      </c>
      <c r="U10" s="446" t="str">
        <f>'Translate &amp; Prices'!$B$112</f>
        <v>Lacobel RAL 2001</v>
      </c>
      <c r="V10" s="446" t="str">
        <f>'Translate &amp; Prices'!$B$112</f>
        <v>Lacobel RAL 2001</v>
      </c>
      <c r="AF10" s="410" t="s">
        <v>246</v>
      </c>
      <c r="AG10" s="410" t="s">
        <v>2100</v>
      </c>
      <c r="AY10" s="137" t="s">
        <v>2087</v>
      </c>
      <c r="AZ10" s="137" t="s">
        <v>2159</v>
      </c>
      <c r="CA10" s="137">
        <v>224</v>
      </c>
      <c r="CD10" s="137" t="s">
        <v>2108</v>
      </c>
      <c r="CE10" s="137">
        <v>1</v>
      </c>
      <c r="CF10" s="137">
        <v>0</v>
      </c>
      <c r="CG10" s="404"/>
      <c r="CH10" s="404"/>
      <c r="CI10" s="404"/>
      <c r="CJ10" s="404"/>
      <c r="CK10" s="404" t="s">
        <v>2205</v>
      </c>
      <c r="CL10" s="404" t="s">
        <v>2215</v>
      </c>
      <c r="CM10" s="404" t="s">
        <v>2205</v>
      </c>
      <c r="CN10" s="404" t="s">
        <v>2215</v>
      </c>
      <c r="CO10" s="404" t="s">
        <v>2205</v>
      </c>
      <c r="CP10" s="404" t="s">
        <v>2215</v>
      </c>
      <c r="CQ10" s="404" t="s">
        <v>2226</v>
      </c>
      <c r="CR10" s="404" t="s">
        <v>2234</v>
      </c>
      <c r="CS10" s="404" t="s">
        <v>2226</v>
      </c>
      <c r="CT10" s="404" t="s">
        <v>2234</v>
      </c>
      <c r="CU10" s="404" t="s">
        <v>2205</v>
      </c>
      <c r="CV10" s="404" t="s">
        <v>2215</v>
      </c>
      <c r="CW10" s="404"/>
      <c r="CX10" s="404"/>
      <c r="CY10" s="404" t="s">
        <v>2205</v>
      </c>
      <c r="CZ10" s="404" t="s">
        <v>2215</v>
      </c>
      <c r="DA10" s="404"/>
      <c r="DB10" s="404"/>
      <c r="DC10" s="404"/>
      <c r="DD10" s="404"/>
      <c r="DE10" s="404"/>
      <c r="DF10" s="404"/>
      <c r="DG10" s="404" t="s">
        <v>2205</v>
      </c>
      <c r="DH10" s="404" t="s">
        <v>2215</v>
      </c>
      <c r="DI10" s="404" t="s">
        <v>2205</v>
      </c>
      <c r="DJ10" s="404" t="s">
        <v>2215</v>
      </c>
      <c r="DK10" s="404"/>
      <c r="DL10" s="404"/>
      <c r="DN10" s="166" t="s">
        <v>125</v>
      </c>
      <c r="DO10" s="165" t="s">
        <v>125</v>
      </c>
    </row>
    <row r="11" spans="1:121" x14ac:dyDescent="0.3">
      <c r="A11" s="446" t="str">
        <f>'Translate &amp; Prices'!B15</f>
        <v>BRW světlá nerez (ACIER GRATA)</v>
      </c>
      <c r="B11" s="137">
        <v>1</v>
      </c>
      <c r="C11" s="137" t="s">
        <v>1222</v>
      </c>
      <c r="D11" s="137">
        <v>0</v>
      </c>
      <c r="Q11" s="446" t="str">
        <f>'Translate &amp; Prices'!$B$94</f>
        <v>Lakomat</v>
      </c>
      <c r="R11" s="446" t="str">
        <f>'Translate &amp; Prices'!$B$108</f>
        <v>Master  Shine</v>
      </c>
      <c r="S11" s="446" t="str">
        <f>'Translate &amp; Prices'!$B$96</f>
        <v>Antisol bronz</v>
      </c>
      <c r="U11" s="446" t="str">
        <f>'Translate &amp; Prices'!$B$113</f>
        <v>Lacobel RAL 3004</v>
      </c>
      <c r="V11" s="446" t="str">
        <f>'Translate &amp; Prices'!$B$113</f>
        <v>Lacobel RAL 3004</v>
      </c>
      <c r="AF11" s="407" t="s">
        <v>245</v>
      </c>
      <c r="AG11" s="407" t="s">
        <v>2102</v>
      </c>
      <c r="AY11" s="137" t="s">
        <v>2087</v>
      </c>
      <c r="AZ11" s="137" t="s">
        <v>2160</v>
      </c>
      <c r="CA11" s="137">
        <v>240</v>
      </c>
      <c r="CD11" s="137" t="s">
        <v>2269</v>
      </c>
      <c r="CE11" s="137">
        <v>1</v>
      </c>
      <c r="CF11" s="137">
        <v>0</v>
      </c>
      <c r="CG11" s="404"/>
      <c r="CH11" s="404"/>
      <c r="CI11" s="404"/>
      <c r="CJ11" s="404"/>
      <c r="CK11" s="404" t="s">
        <v>2206</v>
      </c>
      <c r="CL11" s="404"/>
      <c r="CM11" s="404" t="s">
        <v>2206</v>
      </c>
      <c r="CN11" s="404"/>
      <c r="CO11" s="404" t="s">
        <v>2206</v>
      </c>
      <c r="CP11" s="404"/>
      <c r="CQ11" s="404" t="s">
        <v>2227</v>
      </c>
      <c r="CR11" s="404"/>
      <c r="CS11" s="404" t="s">
        <v>2227</v>
      </c>
      <c r="CT11" s="404"/>
      <c r="CU11" s="404" t="s">
        <v>2206</v>
      </c>
      <c r="CV11" s="404"/>
      <c r="CW11" s="404"/>
      <c r="CX11" s="404"/>
      <c r="CY11" s="404" t="s">
        <v>2206</v>
      </c>
      <c r="CZ11" s="404"/>
      <c r="DA11" s="404"/>
      <c r="DB11" s="404"/>
      <c r="DC11" s="404"/>
      <c r="DD11" s="404"/>
      <c r="DE11" s="404"/>
      <c r="DF11" s="404"/>
      <c r="DG11" s="404" t="s">
        <v>2206</v>
      </c>
      <c r="DH11" s="404"/>
      <c r="DI11" s="404" t="s">
        <v>2206</v>
      </c>
      <c r="DJ11" s="404"/>
      <c r="DK11" s="404"/>
      <c r="DL11" s="404"/>
      <c r="DN11" s="166" t="s">
        <v>126</v>
      </c>
      <c r="DO11" s="165" t="s">
        <v>126</v>
      </c>
    </row>
    <row r="12" spans="1:121" x14ac:dyDescent="0.3">
      <c r="A12" s="446" t="str">
        <f>'Translate &amp; Prices'!B16</f>
        <v>BRW champagne</v>
      </c>
      <c r="B12" s="137">
        <v>1</v>
      </c>
      <c r="C12" s="137" t="s">
        <v>1222</v>
      </c>
      <c r="D12" s="137">
        <v>0</v>
      </c>
      <c r="Q12" s="446" t="str">
        <f>'Translate &amp; Prices'!$B$95</f>
        <v>Pisek</v>
      </c>
      <c r="R12" s="446" t="str">
        <f>'Translate &amp; Prices'!$B$109</f>
        <v>Lacobel RAL 1013</v>
      </c>
      <c r="S12" s="446" t="str">
        <f>'Translate &amp; Prices'!$B$97</f>
        <v>Antisol grafit</v>
      </c>
      <c r="U12" s="446" t="str">
        <f>'Translate &amp; Prices'!$B$114</f>
        <v>Lacobel RAL 4006</v>
      </c>
      <c r="V12" s="446" t="str">
        <f>'Translate &amp; Prices'!$B$114</f>
        <v>Lacobel RAL 4006</v>
      </c>
      <c r="AF12" s="407" t="s">
        <v>246</v>
      </c>
      <c r="AG12" s="407" t="s">
        <v>2102</v>
      </c>
      <c r="AY12" s="137" t="s">
        <v>2087</v>
      </c>
      <c r="AZ12" s="137" t="s">
        <v>2161</v>
      </c>
      <c r="CA12" s="137">
        <v>256</v>
      </c>
      <c r="CD12" s="137" t="s">
        <v>2111</v>
      </c>
      <c r="CE12" s="137">
        <v>1</v>
      </c>
      <c r="CF12" s="137">
        <v>0</v>
      </c>
      <c r="CG12" s="404"/>
      <c r="CH12" s="404"/>
      <c r="CI12" s="404"/>
      <c r="CJ12" s="404"/>
      <c r="CK12" s="404" t="s">
        <v>2207</v>
      </c>
      <c r="CL12" s="404"/>
      <c r="CM12" s="404" t="s">
        <v>2207</v>
      </c>
      <c r="CN12" s="404"/>
      <c r="CO12" s="404" t="s">
        <v>2207</v>
      </c>
      <c r="CP12" s="404"/>
      <c r="CQ12" s="404" t="s">
        <v>2228</v>
      </c>
      <c r="CR12" s="404"/>
      <c r="CS12" s="404" t="s">
        <v>2228</v>
      </c>
      <c r="CT12" s="404"/>
      <c r="CU12" s="404" t="s">
        <v>2207</v>
      </c>
      <c r="CV12" s="404"/>
      <c r="CW12" s="404"/>
      <c r="CX12" s="404"/>
      <c r="CY12" s="404" t="s">
        <v>2207</v>
      </c>
      <c r="CZ12" s="404"/>
      <c r="DA12" s="404"/>
      <c r="DB12" s="404"/>
      <c r="DC12" s="404"/>
      <c r="DD12" s="404"/>
      <c r="DE12" s="404"/>
      <c r="DF12" s="404"/>
      <c r="DG12" s="404" t="s">
        <v>2207</v>
      </c>
      <c r="DH12" s="404"/>
      <c r="DI12" s="404" t="s">
        <v>2207</v>
      </c>
      <c r="DJ12" s="404"/>
      <c r="DK12" s="404"/>
      <c r="DL12" s="404"/>
      <c r="DN12" s="166" t="s">
        <v>127</v>
      </c>
      <c r="DO12" s="165" t="s">
        <v>127</v>
      </c>
    </row>
    <row r="13" spans="1:121" x14ac:dyDescent="0.3">
      <c r="A13" s="446" t="str">
        <f>'Translate &amp; Prices'!B17</f>
        <v>BRW tmavá nerez br. (Inox lija)</v>
      </c>
      <c r="B13" s="137">
        <v>1</v>
      </c>
      <c r="C13" s="137" t="s">
        <v>1222</v>
      </c>
      <c r="D13" s="137">
        <v>0</v>
      </c>
      <c r="Q13" s="446" t="str">
        <f>'Translate &amp; Prices'!$B$96</f>
        <v>Antisol bronz</v>
      </c>
      <c r="R13" s="446" t="str">
        <f>'Translate &amp; Prices'!$B$110</f>
        <v>Lacobel RAL 1014</v>
      </c>
      <c r="S13" s="446" t="str">
        <f>'Translate &amp; Prices'!$B$102</f>
        <v>Krizet</v>
      </c>
      <c r="U13" s="446" t="str">
        <f>'Translate &amp; Prices'!$B$115</f>
        <v>Lacobel RAL 5002</v>
      </c>
      <c r="V13" s="446" t="str">
        <f>'Translate &amp; Prices'!$B$115</f>
        <v>Lacobel RAL 5002</v>
      </c>
      <c r="AF13" s="410" t="s">
        <v>245</v>
      </c>
      <c r="AG13" s="410" t="s">
        <v>2105</v>
      </c>
      <c r="AY13" s="137" t="s">
        <v>2087</v>
      </c>
      <c r="AZ13" s="137" t="s">
        <v>2162</v>
      </c>
      <c r="BY13" s="137" t="str">
        <f>'Translate &amp; Prices'!B537</f>
        <v>Ne</v>
      </c>
      <c r="BZ13" s="137">
        <v>0</v>
      </c>
      <c r="CA13" s="137">
        <v>288</v>
      </c>
      <c r="CD13" s="137" t="s">
        <v>2268</v>
      </c>
      <c r="CE13" s="137">
        <v>1</v>
      </c>
      <c r="CF13" s="137">
        <v>0</v>
      </c>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N13" s="166" t="s">
        <v>492</v>
      </c>
      <c r="DO13" s="165" t="s">
        <v>125</v>
      </c>
    </row>
    <row r="14" spans="1:121" x14ac:dyDescent="0.3">
      <c r="A14" s="446" t="str">
        <f>'Translate &amp; Prices'!B18</f>
        <v>Corleone (elox.)</v>
      </c>
      <c r="B14" s="137">
        <v>2</v>
      </c>
      <c r="C14" s="137" t="s">
        <v>1222</v>
      </c>
      <c r="D14" s="137">
        <v>0</v>
      </c>
      <c r="F14" s="137" t="str">
        <f>'Translate &amp; Prices'!B60</f>
        <v>Varna (Vlevo a Vpravo) + Siena (Nahoře a dole)</v>
      </c>
      <c r="Q14" s="446" t="str">
        <f>'Translate &amp; Prices'!$B$97</f>
        <v>Antisol grafit</v>
      </c>
      <c r="R14" s="446" t="str">
        <f>'Translate &amp; Prices'!$B$111</f>
        <v>Lacobel RAL 1015</v>
      </c>
      <c r="S14" s="446" t="str">
        <f>'Translate &amp; Prices'!$B$103</f>
        <v>Master (Carre)</v>
      </c>
      <c r="U14" s="446" t="str">
        <f>'Translate &amp; Prices'!$B$116</f>
        <v>Lacobel RAL 7035</v>
      </c>
      <c r="V14" s="446" t="str">
        <f>'Translate &amp; Prices'!$B$116</f>
        <v>Lacobel RAL 7035</v>
      </c>
      <c r="AA14" s="137" t="s">
        <v>2099</v>
      </c>
      <c r="AB14" s="137" t="s">
        <v>2148</v>
      </c>
      <c r="AF14" s="410" t="s">
        <v>246</v>
      </c>
      <c r="AG14" s="410" t="s">
        <v>2105</v>
      </c>
      <c r="AY14" s="137" t="s">
        <v>2087</v>
      </c>
      <c r="AZ14" s="137" t="s">
        <v>2163</v>
      </c>
      <c r="BY14" s="137" t="str">
        <f>'Translate &amp; Prices'!B538</f>
        <v>Horizontálně</v>
      </c>
      <c r="BZ14" s="137">
        <v>1</v>
      </c>
      <c r="CA14" s="137">
        <v>320</v>
      </c>
      <c r="CD14" s="137" t="s">
        <v>2113</v>
      </c>
      <c r="CE14" s="137">
        <v>1</v>
      </c>
      <c r="CF14" s="137">
        <v>0</v>
      </c>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4"/>
      <c r="DF14" s="404"/>
      <c r="DG14" s="404"/>
      <c r="DH14" s="404"/>
      <c r="DI14" s="404"/>
      <c r="DJ14" s="404"/>
      <c r="DK14" s="404"/>
      <c r="DL14" s="404"/>
      <c r="DN14" s="166" t="s">
        <v>493</v>
      </c>
      <c r="DO14" s="165" t="s">
        <v>126</v>
      </c>
    </row>
    <row r="15" spans="1:121" x14ac:dyDescent="0.3">
      <c r="A15" s="446" t="str">
        <f>'Translate &amp; Prices'!B19</f>
        <v>Corleone černé mat</v>
      </c>
      <c r="B15" s="137">
        <v>2</v>
      </c>
      <c r="C15" s="137" t="s">
        <v>1222</v>
      </c>
      <c r="D15" s="137">
        <v>0</v>
      </c>
      <c r="F15" s="137" t="str">
        <f>'Translate &amp; Prices'!B61</f>
        <v>Siena (Vlevo a vpravo) + Varna (Nahoře a dole)</v>
      </c>
      <c r="Q15" s="446" t="str">
        <f>'Translate &amp; Prices'!$B$98</f>
        <v>Zrcadlo</v>
      </c>
      <c r="R15" s="446" t="str">
        <f>'Translate &amp; Prices'!$B$112</f>
        <v>Lacobel RAL 2001</v>
      </c>
      <c r="S15" s="446" t="str">
        <f>'Translate &amp; Prices'!$B$104</f>
        <v xml:space="preserve">Master  Lens </v>
      </c>
      <c r="U15" s="446" t="str">
        <f>'Translate &amp; Prices'!$B$117</f>
        <v>Lacobel RAL 8017</v>
      </c>
      <c r="V15" s="446" t="str">
        <f>'Translate &amp; Prices'!$B$117</f>
        <v>Lacobel RAL 8017</v>
      </c>
      <c r="AA15" s="137" t="s">
        <v>2099</v>
      </c>
      <c r="AB15" s="137" t="s">
        <v>2097</v>
      </c>
      <c r="AC15" s="137">
        <v>1</v>
      </c>
      <c r="AD15" s="137">
        <v>0</v>
      </c>
      <c r="AF15" s="407" t="s">
        <v>245</v>
      </c>
      <c r="AG15" s="407" t="s">
        <v>2107</v>
      </c>
      <c r="AY15" s="137" t="s">
        <v>1021</v>
      </c>
      <c r="BY15" s="137" t="str">
        <f>'Translate &amp; Prices'!B539</f>
        <v>Vertikálně</v>
      </c>
      <c r="BZ15" s="137">
        <v>2</v>
      </c>
      <c r="CD15" s="137" t="s">
        <v>2114</v>
      </c>
      <c r="CE15" s="137">
        <v>1</v>
      </c>
      <c r="CF15" s="137">
        <v>0</v>
      </c>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N15" s="166" t="s">
        <v>2348</v>
      </c>
      <c r="DO15" s="165" t="s">
        <v>127</v>
      </c>
    </row>
    <row r="16" spans="1:121" x14ac:dyDescent="0.3">
      <c r="A16" s="446" t="str">
        <f>'Translate &amp; Prices'!B20</f>
        <v>Corleone champagne</v>
      </c>
      <c r="B16" s="137">
        <v>2</v>
      </c>
      <c r="C16" s="137" t="s">
        <v>1222</v>
      </c>
      <c r="D16" s="137">
        <v>0</v>
      </c>
      <c r="F16" s="137" t="str">
        <f>'Translate &amp; Prices'!B62</f>
        <v>Varna černá (Vlevo a Vpravo) + Siena černá (Nahoře a dole)</v>
      </c>
      <c r="Q16" s="446" t="str">
        <f>'Translate &amp; Prices'!$B$99</f>
        <v>Zrcadlo hnědé</v>
      </c>
      <c r="R16" s="446" t="str">
        <f>'Translate &amp; Prices'!$B$113</f>
        <v>Lacobel RAL 3004</v>
      </c>
      <c r="S16" s="446" t="str">
        <f>'Translate &amp; Prices'!$B$105</f>
        <v>Master  Ligne</v>
      </c>
      <c r="U16" s="446" t="str">
        <f>'Translate &amp; Prices'!$B$118</f>
        <v>Lacobel RAL 9003</v>
      </c>
      <c r="V16" s="446" t="str">
        <f>'Translate &amp; Prices'!$B$118</f>
        <v>Lacobel RAL 9003</v>
      </c>
      <c r="AA16" s="137" t="s">
        <v>2099</v>
      </c>
      <c r="AB16" s="137" t="s">
        <v>2100</v>
      </c>
      <c r="AC16" s="137">
        <v>1</v>
      </c>
      <c r="AD16" s="137">
        <v>1</v>
      </c>
      <c r="AF16" s="407" t="s">
        <v>246</v>
      </c>
      <c r="AG16" s="407" t="s">
        <v>2107</v>
      </c>
      <c r="AY16" s="137" t="s">
        <v>1021</v>
      </c>
      <c r="AZ16" s="137" t="s">
        <v>2164</v>
      </c>
      <c r="BY16" s="137" t="str">
        <f>'Translate &amp; Prices'!B540</f>
        <v>Horizontálně i Vertikálně</v>
      </c>
      <c r="BZ16" s="137">
        <v>3</v>
      </c>
      <c r="CD16" s="137" t="s">
        <v>2638</v>
      </c>
      <c r="CE16" s="137">
        <v>1</v>
      </c>
      <c r="CF16" s="137">
        <v>1</v>
      </c>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4"/>
      <c r="DF16" s="404"/>
      <c r="DG16" s="404"/>
      <c r="DH16" s="404"/>
      <c r="DI16" s="404"/>
      <c r="DJ16" s="404"/>
      <c r="DK16" s="404"/>
      <c r="DL16" s="404"/>
      <c r="DN16" s="166" t="s">
        <v>568</v>
      </c>
      <c r="DO16" s="165" t="s">
        <v>125</v>
      </c>
    </row>
    <row r="17" spans="1:119" x14ac:dyDescent="0.3">
      <c r="A17" s="446" t="str">
        <f>'Translate &amp; Prices'!B21</f>
        <v>Imola (elox.)</v>
      </c>
      <c r="B17" s="137">
        <v>2</v>
      </c>
      <c r="C17" s="137" t="s">
        <v>2133</v>
      </c>
      <c r="D17" s="137">
        <v>0</v>
      </c>
      <c r="F17" s="137" t="str">
        <f>'Translate &amp; Prices'!B63</f>
        <v>Siena černá (Vlevo a vpravo) + Varna černá (Nahoře a dole)</v>
      </c>
      <c r="Q17" s="446" t="str">
        <f>'Translate &amp; Prices'!$B$100</f>
        <v>Zrcadlo grafit</v>
      </c>
      <c r="R17" s="446" t="str">
        <f>'Translate &amp; Prices'!$B$114</f>
        <v>Lacobel RAL 4006</v>
      </c>
      <c r="S17" s="446" t="str">
        <f>'Translate &amp; Prices'!$B$106</f>
        <v>Master  Point</v>
      </c>
      <c r="U17" s="446" t="str">
        <f>'Translate &amp; Prices'!$B$119</f>
        <v>Lacobel RAL 9005</v>
      </c>
      <c r="V17" s="446" t="str">
        <f>'Translate &amp; Prices'!$B$119</f>
        <v>Lacobel RAL 9005</v>
      </c>
      <c r="AA17" s="137" t="s">
        <v>2099</v>
      </c>
      <c r="AB17" s="137" t="s">
        <v>2101</v>
      </c>
      <c r="AC17" s="137">
        <v>0</v>
      </c>
      <c r="AD17" s="137">
        <v>0</v>
      </c>
      <c r="AF17" s="410" t="s">
        <v>245</v>
      </c>
      <c r="AG17" s="410" t="s">
        <v>2108</v>
      </c>
      <c r="AY17" s="137" t="s">
        <v>1021</v>
      </c>
      <c r="AZ17" s="137" t="s">
        <v>2165</v>
      </c>
      <c r="CD17" s="137" t="s">
        <v>2639</v>
      </c>
      <c r="CE17" s="137">
        <v>1</v>
      </c>
      <c r="CF17" s="137">
        <v>1</v>
      </c>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N17" s="166" t="s">
        <v>569</v>
      </c>
      <c r="DO17" s="165" t="s">
        <v>126</v>
      </c>
    </row>
    <row r="18" spans="1:119" x14ac:dyDescent="0.3">
      <c r="A18" s="446" t="str">
        <f>'Translate &amp; Prices'!B22</f>
        <v>Imola černá mat</v>
      </c>
      <c r="B18" s="137">
        <v>2</v>
      </c>
      <c r="C18" s="137" t="s">
        <v>2133</v>
      </c>
      <c r="D18" s="137">
        <v>0</v>
      </c>
      <c r="F18" s="137" t="str">
        <f>'Translate &amp; Prices'!B64</f>
        <v>Varna (Vlevo a Vpravo) + Palio (Nahoře a dole)</v>
      </c>
      <c r="Q18" s="446" t="str">
        <f>'Translate &amp; Prices'!$B$102</f>
        <v>Krizet</v>
      </c>
      <c r="R18" s="446" t="str">
        <f>'Translate &amp; Prices'!$B$115</f>
        <v>Lacobel RAL 5002</v>
      </c>
      <c r="S18" s="446" t="str">
        <f>'Translate &amp; Prices'!$B$107</f>
        <v xml:space="preserve">Master  Ray </v>
      </c>
      <c r="U18" s="446" t="str">
        <f>'Translate &amp; Prices'!$B$120</f>
        <v>Lacobel RAL 9006</v>
      </c>
      <c r="V18" s="446" t="str">
        <f>'Translate &amp; Prices'!$B$120</f>
        <v>Lacobel RAL 9006</v>
      </c>
      <c r="AA18" s="137" t="s">
        <v>2099</v>
      </c>
      <c r="AB18" s="137" t="s">
        <v>2103</v>
      </c>
      <c r="AC18" s="137">
        <v>0</v>
      </c>
      <c r="AD18" s="137">
        <v>0</v>
      </c>
      <c r="AF18" s="410" t="s">
        <v>246</v>
      </c>
      <c r="AG18" s="410" t="s">
        <v>2108</v>
      </c>
      <c r="AY18" s="137" t="s">
        <v>1021</v>
      </c>
      <c r="AZ18" s="137" t="s">
        <v>2166</v>
      </c>
      <c r="BY18" s="137">
        <v>1</v>
      </c>
      <c r="CD18" s="137" t="s">
        <v>2119</v>
      </c>
      <c r="CE18" s="137">
        <v>1</v>
      </c>
      <c r="CF18" s="137">
        <v>0</v>
      </c>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N18" s="166" t="s">
        <v>570</v>
      </c>
      <c r="DO18" s="165" t="s">
        <v>127</v>
      </c>
    </row>
    <row r="19" spans="1:119" x14ac:dyDescent="0.3">
      <c r="A19" s="446" t="str">
        <f>'Translate &amp; Prices'!B23</f>
        <v>Imola bílá mat</v>
      </c>
      <c r="B19" s="137">
        <v>2</v>
      </c>
      <c r="C19" s="137" t="s">
        <v>2133</v>
      </c>
      <c r="D19" s="137">
        <v>0</v>
      </c>
      <c r="F19" s="137" t="str">
        <f>'Translate &amp; Prices'!B65</f>
        <v>Palio (Vlevo a vpravo) + Varna (Nahoře a dole)</v>
      </c>
      <c r="Q19" s="446" t="str">
        <f>'Translate &amp; Prices'!$B$103</f>
        <v>Master (Carre)</v>
      </c>
      <c r="R19" s="446" t="str">
        <f>'Translate &amp; Prices'!$B$116</f>
        <v>Lacobel RAL 7035</v>
      </c>
      <c r="S19" s="446" t="str">
        <f>'Translate &amp; Prices'!$B$108</f>
        <v>Master  Shine</v>
      </c>
      <c r="U19" s="446" t="str">
        <f>'Translate &amp; Prices'!$B$121</f>
        <v>Lacobel RAL 9007</v>
      </c>
      <c r="V19" s="446" t="str">
        <f>'Translate &amp; Prices'!$B$121</f>
        <v>Lacobel RAL 9007</v>
      </c>
      <c r="AA19" s="137" t="s">
        <v>2099</v>
      </c>
      <c r="AB19" s="137" t="s">
        <v>2104</v>
      </c>
      <c r="AC19" s="137">
        <v>0</v>
      </c>
      <c r="AD19" s="137">
        <v>0</v>
      </c>
      <c r="AF19" s="407" t="s">
        <v>245</v>
      </c>
      <c r="AG19" s="407" t="s">
        <v>2110</v>
      </c>
      <c r="AY19" s="137" t="s">
        <v>1021</v>
      </c>
      <c r="AZ19" s="137" t="s">
        <v>2167</v>
      </c>
      <c r="BY19" s="137">
        <v>2</v>
      </c>
    </row>
    <row r="20" spans="1:119" x14ac:dyDescent="0.3">
      <c r="A20" s="446" t="str">
        <f>'Translate &amp; Prices'!B24</f>
        <v>Modena (elox.)</v>
      </c>
      <c r="B20" s="137">
        <v>2</v>
      </c>
      <c r="C20" s="137" t="s">
        <v>1222</v>
      </c>
      <c r="D20" s="137">
        <v>0</v>
      </c>
      <c r="F20" s="137" t="str">
        <f>'Translate &amp; Prices'!B66</f>
        <v>Varna (Vlevo a Vpravo) + Rocca (Nahoře a dole)</v>
      </c>
      <c r="Q20" s="446" t="str">
        <f>'Translate &amp; Prices'!$B$104</f>
        <v xml:space="preserve">Master  Lens </v>
      </c>
      <c r="R20" s="446" t="str">
        <f>'Translate &amp; Prices'!$B$117</f>
        <v>Lacobel RAL 8017</v>
      </c>
      <c r="U20" s="446" t="str">
        <f>'Translate &amp; Prices'!$B$122</f>
        <v>Lacobel RAL 9010</v>
      </c>
      <c r="V20" s="446" t="str">
        <f>'Translate &amp; Prices'!$B$122</f>
        <v>Lacobel RAL 9010</v>
      </c>
      <c r="AA20" s="137" t="s">
        <v>2099</v>
      </c>
      <c r="AB20" s="137" t="s">
        <v>2106</v>
      </c>
      <c r="AC20" s="137">
        <v>0</v>
      </c>
      <c r="AD20" s="137">
        <v>0</v>
      </c>
      <c r="AF20" s="407" t="s">
        <v>246</v>
      </c>
      <c r="AG20" s="407" t="s">
        <v>2110</v>
      </c>
      <c r="AY20" s="137" t="s">
        <v>1021</v>
      </c>
      <c r="AZ20" s="137" t="s">
        <v>2168</v>
      </c>
      <c r="BY20" s="137">
        <v>3</v>
      </c>
    </row>
    <row r="21" spans="1:119" x14ac:dyDescent="0.3">
      <c r="A21" s="446" t="str">
        <f>'Translate &amp; Prices'!B25</f>
        <v>Modena černá mat</v>
      </c>
      <c r="B21" s="137">
        <v>2</v>
      </c>
      <c r="C21" s="137" t="s">
        <v>1222</v>
      </c>
      <c r="D21" s="137">
        <v>0</v>
      </c>
      <c r="F21" s="137" t="str">
        <f>'Translate &amp; Prices'!B67</f>
        <v>Rocca (Vlevo a vpravo) + Varna (Nahoře a dole)</v>
      </c>
      <c r="Q21" s="446" t="str">
        <f>'Translate &amp; Prices'!$B$105</f>
        <v>Master  Ligne</v>
      </c>
      <c r="R21" s="446" t="str">
        <f>'Translate &amp; Prices'!$B$118</f>
        <v>Lacobel RAL 9003</v>
      </c>
      <c r="U21" s="446" t="str">
        <f>'Translate &amp; Prices'!$B$123</f>
        <v>Lacobel REF 0128</v>
      </c>
      <c r="V21" s="446" t="str">
        <f>'Translate &amp; Prices'!$B$123</f>
        <v>Lacobel REF 0128</v>
      </c>
      <c r="AA21" s="137" t="s">
        <v>2099</v>
      </c>
      <c r="AB21" s="137" t="s">
        <v>2102</v>
      </c>
      <c r="AC21" s="137">
        <v>1</v>
      </c>
      <c r="AD21" s="137">
        <v>0</v>
      </c>
      <c r="AF21" s="410" t="s">
        <v>245</v>
      </c>
      <c r="AG21" s="410" t="s">
        <v>2111</v>
      </c>
      <c r="BY21" s="137">
        <v>4</v>
      </c>
    </row>
    <row r="22" spans="1:119" x14ac:dyDescent="0.3">
      <c r="A22" s="446" t="str">
        <f>'Translate &amp; Prices'!B27</f>
        <v>Modena černá broušená</v>
      </c>
      <c r="B22" s="137">
        <v>2</v>
      </c>
      <c r="C22" s="137" t="s">
        <v>1222</v>
      </c>
      <c r="D22" s="137">
        <v>0</v>
      </c>
      <c r="F22" s="137" t="str">
        <f>'Translate &amp; Prices'!B68</f>
        <v>Varna černá (Vlevo a Vpravo) + Rocca černá (Nahoře a dole)</v>
      </c>
      <c r="Q22" s="446" t="str">
        <f>'Translate &amp; Prices'!$B$106</f>
        <v>Master  Point</v>
      </c>
      <c r="R22" s="446" t="str">
        <f>'Translate &amp; Prices'!$B$119</f>
        <v>Lacobel RAL 9005</v>
      </c>
      <c r="U22" s="446" t="str">
        <f>'Translate &amp; Prices'!$B$124</f>
        <v>Lacobel REF 0327</v>
      </c>
      <c r="V22" s="446" t="str">
        <f>'Translate &amp; Prices'!$B$124</f>
        <v>Lacobel REF 0327</v>
      </c>
      <c r="AA22" s="137" t="s">
        <v>2099</v>
      </c>
      <c r="AB22" s="137" t="s">
        <v>2274</v>
      </c>
      <c r="AC22" s="137">
        <v>1</v>
      </c>
      <c r="AD22" s="137">
        <v>0</v>
      </c>
      <c r="AF22" s="410" t="s">
        <v>246</v>
      </c>
      <c r="AG22" s="410" t="s">
        <v>2111</v>
      </c>
      <c r="BY22" s="137">
        <v>5</v>
      </c>
    </row>
    <row r="23" spans="1:119" x14ac:dyDescent="0.3">
      <c r="A23" s="446" t="str">
        <f>'Translate &amp; Prices'!B28</f>
        <v>Modena tmavá nerez br. (inox lija)</v>
      </c>
      <c r="B23" s="137">
        <v>2</v>
      </c>
      <c r="C23" s="137" t="s">
        <v>1222</v>
      </c>
      <c r="D23" s="137">
        <v>0</v>
      </c>
      <c r="F23" s="137" t="str">
        <f>'Translate &amp; Prices'!B69</f>
        <v>Rocca černá (Vlevo a vpravo) + Varna černá (Nahoře a dole)</v>
      </c>
      <c r="G23" s="11"/>
      <c r="H23" s="11"/>
      <c r="I23" s="11"/>
      <c r="Q23" s="446" t="str">
        <f>'Translate &amp; Prices'!$B$107</f>
        <v xml:space="preserve">Master  Ray </v>
      </c>
      <c r="R23" s="446" t="str">
        <f>'Translate &amp; Prices'!$B$120</f>
        <v>Lacobel RAL 9006</v>
      </c>
      <c r="U23" s="446" t="str">
        <f>'Translate &amp; Prices'!$B$125</f>
        <v>Lacobel REF 0337</v>
      </c>
      <c r="V23" s="446" t="str">
        <f>'Translate &amp; Prices'!$B$125</f>
        <v>Lacobel REF 0337</v>
      </c>
      <c r="AA23" s="137" t="s">
        <v>2099</v>
      </c>
      <c r="AB23" s="137" t="s">
        <v>2107</v>
      </c>
      <c r="AC23" s="137">
        <v>1</v>
      </c>
      <c r="AD23" s="137">
        <v>0</v>
      </c>
      <c r="AF23" s="407" t="s">
        <v>245</v>
      </c>
      <c r="AG23" s="407" t="s">
        <v>2112</v>
      </c>
      <c r="BY23" s="137">
        <v>6</v>
      </c>
    </row>
    <row r="24" spans="1:119" x14ac:dyDescent="0.3">
      <c r="A24" s="446" t="str">
        <f>'Translate &amp; Prices'!B29</f>
        <v>Palio (elox.)</v>
      </c>
      <c r="B24" s="137">
        <v>2</v>
      </c>
      <c r="C24" s="137" t="s">
        <v>1222</v>
      </c>
      <c r="D24" s="137">
        <v>0</v>
      </c>
      <c r="G24" s="11"/>
      <c r="H24" s="11"/>
      <c r="I24" s="11"/>
      <c r="Q24" s="446" t="str">
        <f>'Translate &amp; Prices'!$B$108</f>
        <v>Master  Shine</v>
      </c>
      <c r="R24" s="446" t="str">
        <f>'Translate &amp; Prices'!$B$121</f>
        <v>Lacobel RAL 9007</v>
      </c>
      <c r="U24" s="446" t="str">
        <f>'Translate &amp; Prices'!$B$126</f>
        <v>Lacobel REF 0627</v>
      </c>
      <c r="V24" s="446" t="str">
        <f>'Translate &amp; Prices'!$B$126</f>
        <v>Lacobel REF 0627</v>
      </c>
      <c r="AF24" s="407" t="s">
        <v>246</v>
      </c>
      <c r="AG24" s="407" t="s">
        <v>2112</v>
      </c>
      <c r="BY24" s="137">
        <v>7</v>
      </c>
    </row>
    <row r="25" spans="1:119" x14ac:dyDescent="0.3">
      <c r="A25" s="446" t="str">
        <f>'Translate &amp; Prices'!B30</f>
        <v>Palio černá mat</v>
      </c>
      <c r="B25" s="137">
        <v>2</v>
      </c>
      <c r="C25" s="137" t="s">
        <v>1222</v>
      </c>
      <c r="D25" s="137">
        <v>0</v>
      </c>
      <c r="G25" s="11"/>
      <c r="H25" s="11"/>
      <c r="I25" s="11"/>
      <c r="Q25" s="446" t="str">
        <f>'Translate &amp; Prices'!$B$109</f>
        <v>Lacobel RAL 1013</v>
      </c>
      <c r="R25" s="446" t="str">
        <f>'Translate &amp; Prices'!$B$122</f>
        <v>Lacobel RAL 9010</v>
      </c>
      <c r="U25" s="446" t="str">
        <f>'Translate &amp; Prices'!$B$127</f>
        <v>Lacobel REF 0667</v>
      </c>
      <c r="V25" s="446" t="str">
        <f>'Translate &amp; Prices'!$B$127</f>
        <v>Lacobel REF 0667</v>
      </c>
      <c r="AF25" s="410" t="s">
        <v>245</v>
      </c>
      <c r="AG25" s="410" t="s">
        <v>2113</v>
      </c>
      <c r="BY25" s="137">
        <v>8</v>
      </c>
    </row>
    <row r="26" spans="1:119" x14ac:dyDescent="0.3">
      <c r="A26" s="446" t="str">
        <f>'Translate &amp; Prices'!B31</f>
        <v>Pisa (elox.)</v>
      </c>
      <c r="B26" s="137">
        <v>2</v>
      </c>
      <c r="C26" s="137" t="s">
        <v>2133</v>
      </c>
      <c r="D26" s="137">
        <v>0</v>
      </c>
      <c r="G26" s="11"/>
      <c r="H26" s="11"/>
      <c r="I26" s="11"/>
      <c r="Q26" s="446" t="str">
        <f>'Translate &amp; Prices'!$B$110</f>
        <v>Lacobel RAL 1014</v>
      </c>
      <c r="R26" s="446" t="str">
        <f>'Translate &amp; Prices'!$B$123</f>
        <v>Lacobel REF 0128</v>
      </c>
      <c r="U26" s="446" t="str">
        <f>'Translate &amp; Prices'!$B$128</f>
        <v>Lacobel REF 1164</v>
      </c>
      <c r="V26" s="446" t="str">
        <f>'Translate &amp; Prices'!$B$128</f>
        <v>Lacobel REF 1164</v>
      </c>
      <c r="AF26" s="410" t="s">
        <v>246</v>
      </c>
      <c r="AG26" s="410" t="s">
        <v>2113</v>
      </c>
      <c r="BY26" s="137">
        <v>9</v>
      </c>
    </row>
    <row r="27" spans="1:119" x14ac:dyDescent="0.3">
      <c r="A27" s="446" t="str">
        <f>'Translate &amp; Prices'!B32</f>
        <v>Pisa černá mat</v>
      </c>
      <c r="B27" s="137">
        <v>2</v>
      </c>
      <c r="C27" s="137" t="s">
        <v>2133</v>
      </c>
      <c r="D27" s="137">
        <v>0</v>
      </c>
      <c r="G27" s="11"/>
      <c r="H27" s="11"/>
      <c r="I27" s="11"/>
      <c r="Q27" s="446" t="str">
        <f>'Translate &amp; Prices'!$B$111</f>
        <v>Lacobel RAL 1015</v>
      </c>
      <c r="R27" s="446" t="str">
        <f>'Translate &amp; Prices'!$B$124</f>
        <v>Lacobel REF 0327</v>
      </c>
      <c r="U27" s="446" t="str">
        <f>'Translate &amp; Prices'!$B$129</f>
        <v>Lacobel REF 1236</v>
      </c>
      <c r="V27" s="446" t="str">
        <f>'Translate &amp; Prices'!$B$129</f>
        <v>Lacobel REF 1236</v>
      </c>
      <c r="AF27" s="407" t="s">
        <v>245</v>
      </c>
      <c r="AG27" s="407" t="s">
        <v>2114</v>
      </c>
      <c r="BY27" s="137">
        <v>10</v>
      </c>
    </row>
    <row r="28" spans="1:119" x14ac:dyDescent="0.3">
      <c r="A28" s="446" t="str">
        <f>'Translate &amp; Prices'!B34</f>
        <v>Ravena (elox.)</v>
      </c>
      <c r="B28" s="137">
        <v>1</v>
      </c>
      <c r="C28" s="137" t="s">
        <v>1222</v>
      </c>
      <c r="D28" s="137">
        <v>0</v>
      </c>
      <c r="G28" s="11"/>
      <c r="H28" s="11"/>
      <c r="I28" s="11"/>
      <c r="Q28" s="446" t="str">
        <f>'Translate &amp; Prices'!$B$112</f>
        <v>Lacobel RAL 2001</v>
      </c>
      <c r="R28" s="446" t="str">
        <f>'Translate &amp; Prices'!$B$125</f>
        <v>Lacobel REF 0337</v>
      </c>
      <c r="U28" s="446" t="str">
        <f>'Translate &amp; Prices'!$B$130</f>
        <v>Lacobel REF 1435</v>
      </c>
      <c r="V28" s="446" t="str">
        <f>'Translate &amp; Prices'!$B$130</f>
        <v>Lacobel REF 1435</v>
      </c>
      <c r="AA28" s="137" t="s">
        <v>2109</v>
      </c>
      <c r="AB28" s="137" t="s">
        <v>2147</v>
      </c>
      <c r="AF28" s="407" t="s">
        <v>246</v>
      </c>
      <c r="AG28" s="407" t="s">
        <v>2114</v>
      </c>
    </row>
    <row r="29" spans="1:119" x14ac:dyDescent="0.3">
      <c r="A29" s="446" t="str">
        <f>'Translate &amp; Prices'!B35</f>
        <v>Siena (elox.)</v>
      </c>
      <c r="B29" s="137">
        <v>2</v>
      </c>
      <c r="C29" s="137" t="s">
        <v>1222</v>
      </c>
      <c r="D29" s="137">
        <v>0</v>
      </c>
      <c r="G29" s="11"/>
      <c r="H29" s="11"/>
      <c r="I29" s="11"/>
      <c r="Q29" s="446" t="str">
        <f>'Translate &amp; Prices'!$B$113</f>
        <v>Lacobel RAL 3004</v>
      </c>
      <c r="R29" s="446" t="str">
        <f>'Translate &amp; Prices'!$B$126</f>
        <v>Lacobel REF 0627</v>
      </c>
      <c r="U29" s="446" t="str">
        <f>'Translate &amp; Prices'!$B$131</f>
        <v>Lacobel REF 1586</v>
      </c>
      <c r="V29" s="446" t="str">
        <f>'Translate &amp; Prices'!$B$131</f>
        <v>Lacobel REF 1586</v>
      </c>
      <c r="AA29" s="137" t="s">
        <v>2109</v>
      </c>
      <c r="AB29" s="137" t="s">
        <v>2108</v>
      </c>
      <c r="AC29" s="137">
        <v>1</v>
      </c>
      <c r="AD29" s="137">
        <v>0</v>
      </c>
      <c r="AF29" s="410" t="s">
        <v>245</v>
      </c>
      <c r="AG29" s="410" t="s">
        <v>2115</v>
      </c>
    </row>
    <row r="30" spans="1:119" x14ac:dyDescent="0.3">
      <c r="A30" s="446" t="str">
        <f>'Translate &amp; Prices'!$B$36</f>
        <v>Siena černá mat</v>
      </c>
      <c r="B30" s="137">
        <v>2</v>
      </c>
      <c r="C30" s="137" t="s">
        <v>1222</v>
      </c>
      <c r="D30" s="137">
        <v>0</v>
      </c>
      <c r="Q30" s="446" t="str">
        <f>'Translate &amp; Prices'!$B$114</f>
        <v>Lacobel RAL 4006</v>
      </c>
      <c r="R30" s="446" t="str">
        <f>'Translate &amp; Prices'!$B$127</f>
        <v>Lacobel REF 0667</v>
      </c>
      <c r="U30" s="446" t="str">
        <f>'Translate &amp; Prices'!$B$132</f>
        <v>Lacobel REF 1603</v>
      </c>
      <c r="V30" s="446" t="str">
        <f>'Translate &amp; Prices'!$B$132</f>
        <v>Lacobel REF 1603</v>
      </c>
      <c r="AA30" s="137" t="s">
        <v>2109</v>
      </c>
      <c r="AB30" s="137" t="s">
        <v>2269</v>
      </c>
      <c r="AC30" s="137">
        <v>1</v>
      </c>
      <c r="AD30" s="137">
        <v>0</v>
      </c>
      <c r="AF30" s="410" t="s">
        <v>246</v>
      </c>
      <c r="AG30" s="410" t="s">
        <v>2115</v>
      </c>
    </row>
    <row r="31" spans="1:119" x14ac:dyDescent="0.3">
      <c r="A31" s="446" t="str">
        <f>'Translate &amp; Prices'!B37</f>
        <v>Verona (elox.)</v>
      </c>
      <c r="B31" s="137">
        <v>1</v>
      </c>
      <c r="C31" s="137" t="s">
        <v>1222</v>
      </c>
      <c r="D31" s="137">
        <v>0</v>
      </c>
      <c r="G31" s="11"/>
      <c r="H31" s="11"/>
      <c r="I31" s="11"/>
      <c r="Q31" s="446" t="str">
        <f>'Translate &amp; Prices'!$B$115</f>
        <v>Lacobel RAL 5002</v>
      </c>
      <c r="R31" s="446" t="str">
        <f>'Translate &amp; Prices'!$B$128</f>
        <v>Lacobel REF 1164</v>
      </c>
      <c r="U31" s="446" t="str">
        <f>'Translate &amp; Prices'!$B$133</f>
        <v>Lacobel REF 1604</v>
      </c>
      <c r="V31" s="446" t="str">
        <f>'Translate &amp; Prices'!$B$133</f>
        <v>Lacobel REF 1604</v>
      </c>
      <c r="AA31" s="137" t="s">
        <v>2109</v>
      </c>
      <c r="AB31" s="137" t="s">
        <v>2111</v>
      </c>
      <c r="AC31" s="137">
        <v>1</v>
      </c>
      <c r="AD31" s="137">
        <v>0</v>
      </c>
      <c r="AF31" s="407" t="s">
        <v>245</v>
      </c>
      <c r="AG31" s="407" t="s">
        <v>2116</v>
      </c>
    </row>
    <row r="32" spans="1:119" x14ac:dyDescent="0.3">
      <c r="A32" s="446" t="str">
        <f>'Translate &amp; Prices'!B38</f>
        <v>Verona broušený hliník</v>
      </c>
      <c r="B32" s="137">
        <v>1</v>
      </c>
      <c r="C32" s="137" t="s">
        <v>1222</v>
      </c>
      <c r="D32" s="137">
        <v>0</v>
      </c>
      <c r="G32" s="11"/>
      <c r="H32" s="11"/>
      <c r="I32" s="11"/>
      <c r="Q32" s="446" t="str">
        <f>'Translate &amp; Prices'!$B$116</f>
        <v>Lacobel RAL 7035</v>
      </c>
      <c r="R32" s="446" t="str">
        <f>'Translate &amp; Prices'!$B$129</f>
        <v>Lacobel REF 1236</v>
      </c>
      <c r="U32" s="446" t="str">
        <f>'Translate &amp; Prices'!$B$134</f>
        <v>Matelac RAL 2001</v>
      </c>
      <c r="V32" s="446" t="str">
        <f>'Translate &amp; Prices'!$B$134</f>
        <v>Matelac RAL 2001</v>
      </c>
      <c r="AA32" s="137" t="s">
        <v>2109</v>
      </c>
      <c r="AB32" s="137" t="s">
        <v>2268</v>
      </c>
      <c r="AC32" s="137">
        <v>1</v>
      </c>
      <c r="AD32" s="137">
        <v>0</v>
      </c>
      <c r="AF32" s="407" t="s">
        <v>246</v>
      </c>
      <c r="AG32" s="407" t="s">
        <v>2116</v>
      </c>
      <c r="CD32" s="137" t="str">
        <f>'Translate &amp; Prices'!$O$569</f>
        <v>(dolnej)</v>
      </c>
    </row>
    <row r="33" spans="1:82" x14ac:dyDescent="0.3">
      <c r="A33" s="446" t="str">
        <f>'Translate &amp; Prices'!B39</f>
        <v>Verona černá lesk</v>
      </c>
      <c r="B33" s="137">
        <v>1</v>
      </c>
      <c r="C33" s="137" t="s">
        <v>1222</v>
      </c>
      <c r="D33" s="137">
        <v>0</v>
      </c>
      <c r="G33" s="11"/>
      <c r="H33" s="11"/>
      <c r="I33" s="11"/>
      <c r="Q33" s="446" t="str">
        <f>'Translate &amp; Prices'!$B$117</f>
        <v>Lacobel RAL 8017</v>
      </c>
      <c r="R33" s="446" t="str">
        <f>'Translate &amp; Prices'!$B$130</f>
        <v>Lacobel REF 1435</v>
      </c>
      <c r="U33" s="446" t="str">
        <f>'Translate &amp; Prices'!$B$135</f>
        <v>Matelac RAL 3004</v>
      </c>
      <c r="V33" s="446" t="str">
        <f>'Translate &amp; Prices'!$B$135</f>
        <v>Matelac RAL 3004</v>
      </c>
      <c r="AA33" s="137" t="s">
        <v>2109</v>
      </c>
      <c r="AB33" s="137" t="s">
        <v>2113</v>
      </c>
      <c r="AC33" s="137">
        <v>1</v>
      </c>
      <c r="AD33" s="137">
        <v>0</v>
      </c>
      <c r="AF33" s="410" t="s">
        <v>245</v>
      </c>
      <c r="AG33" s="410" t="s">
        <v>2119</v>
      </c>
      <c r="CD33" s="137" t="str">
        <f>'Translate &amp; Prices'!$O$569</f>
        <v>(dolnej)</v>
      </c>
    </row>
    <row r="34" spans="1:82" x14ac:dyDescent="0.3">
      <c r="A34" s="446" t="str">
        <f>'Translate &amp; Prices'!B40</f>
        <v>Verona černá mat</v>
      </c>
      <c r="B34" s="137">
        <v>1</v>
      </c>
      <c r="C34" s="137" t="s">
        <v>1222</v>
      </c>
      <c r="D34" s="137">
        <v>0</v>
      </c>
      <c r="G34" s="11"/>
      <c r="H34" s="11"/>
      <c r="I34" s="11"/>
      <c r="Q34" s="446" t="str">
        <f>'Translate &amp; Prices'!$B$118</f>
        <v>Lacobel RAL 9003</v>
      </c>
      <c r="R34" s="446" t="str">
        <f>'Translate &amp; Prices'!$B$131</f>
        <v>Lacobel REF 1586</v>
      </c>
      <c r="U34" s="446" t="str">
        <f>'Translate &amp; Prices'!$B$136</f>
        <v>Matelac RAL 7021</v>
      </c>
      <c r="V34" s="446" t="str">
        <f>'Translate &amp; Prices'!$B$136</f>
        <v>Matelac RAL 7021</v>
      </c>
      <c r="AB34" s="137" t="s">
        <v>2114</v>
      </c>
      <c r="AC34" s="137">
        <v>1</v>
      </c>
      <c r="AD34" s="137">
        <v>0</v>
      </c>
      <c r="AF34" s="410" t="s">
        <v>246</v>
      </c>
      <c r="AG34" s="410" t="s">
        <v>2119</v>
      </c>
      <c r="CD34" s="137" t="str">
        <f>'Translate &amp; Prices'!$O$572</f>
        <v>(prawej)</v>
      </c>
    </row>
    <row r="35" spans="1:82" x14ac:dyDescent="0.3">
      <c r="A35" s="446" t="str">
        <f>'Translate &amp; Prices'!B41</f>
        <v>Verona hnědá</v>
      </c>
      <c r="B35" s="137">
        <v>1</v>
      </c>
      <c r="C35" s="137" t="s">
        <v>1222</v>
      </c>
      <c r="D35" s="137">
        <v>0</v>
      </c>
      <c r="G35" s="11"/>
      <c r="H35" s="11"/>
      <c r="I35" s="11"/>
      <c r="Q35" s="446" t="str">
        <f>'Translate &amp; Prices'!$B$119</f>
        <v>Lacobel RAL 9005</v>
      </c>
      <c r="R35" s="446" t="str">
        <f>'Translate &amp; Prices'!$B$132</f>
        <v>Lacobel REF 1603</v>
      </c>
      <c r="U35" s="446" t="str">
        <f>'Translate &amp; Prices'!$B$137</f>
        <v>Matelac RAL 9003</v>
      </c>
      <c r="V35" s="446" t="str">
        <f>'Translate &amp; Prices'!$B$137</f>
        <v>Matelac RAL 9003</v>
      </c>
      <c r="CD35" s="137" t="str">
        <f>'Translate &amp; Prices'!$O$572</f>
        <v>(prawej)</v>
      </c>
    </row>
    <row r="36" spans="1:82" x14ac:dyDescent="0.3">
      <c r="A36" s="446" t="str">
        <f>'Translate &amp; Prices'!B42</f>
        <v>Verona champagne</v>
      </c>
      <c r="B36" s="137">
        <v>1</v>
      </c>
      <c r="C36" s="137" t="s">
        <v>1222</v>
      </c>
      <c r="D36" s="137">
        <v>0</v>
      </c>
      <c r="G36" s="11"/>
      <c r="H36" s="11"/>
      <c r="I36" s="11"/>
      <c r="Q36" s="446" t="str">
        <f>'Translate &amp; Prices'!$B$120</f>
        <v>Lacobel RAL 9006</v>
      </c>
      <c r="R36" s="446" t="str">
        <f>'Translate &amp; Prices'!$B$133</f>
        <v>Lacobel REF 1604</v>
      </c>
      <c r="U36" s="446" t="str">
        <f>'Translate &amp; Prices'!$B$138</f>
        <v>Matelac RAL 9005</v>
      </c>
      <c r="V36" s="446" t="str">
        <f>'Translate &amp; Prices'!$B$138</f>
        <v>Matelac RAL 9005</v>
      </c>
    </row>
    <row r="37" spans="1:82" x14ac:dyDescent="0.3">
      <c r="A37" s="446" t="str">
        <f>'Translate &amp; Prices'!B43</f>
        <v>Verona tmavá nerez broušená</v>
      </c>
      <c r="B37" s="137">
        <v>1</v>
      </c>
      <c r="C37" s="137" t="s">
        <v>1222</v>
      </c>
      <c r="D37" s="137">
        <v>0</v>
      </c>
      <c r="G37" s="11"/>
      <c r="H37" s="11"/>
      <c r="I37" s="11"/>
      <c r="Q37" s="446" t="str">
        <f>'Translate &amp; Prices'!$B$121</f>
        <v>Lacobel RAL 9007</v>
      </c>
      <c r="R37" s="446" t="str">
        <f>'Translate &amp; Prices'!$B$134</f>
        <v>Matelac RAL 2001</v>
      </c>
      <c r="U37" s="446" t="str">
        <f>'Translate &amp; Prices'!$B$139</f>
        <v>Matelac RAL 9006</v>
      </c>
      <c r="V37" s="446" t="str">
        <f>'Translate &amp; Prices'!$B$139</f>
        <v>Matelac RAL 9006</v>
      </c>
    </row>
    <row r="38" spans="1:82" x14ac:dyDescent="0.3">
      <c r="A38" s="446" t="str">
        <f>'Translate &amp; Prices'!B44</f>
        <v>Verona světlá nerez (Acier grata)</v>
      </c>
      <c r="B38" s="137">
        <v>1</v>
      </c>
      <c r="C38" s="137" t="s">
        <v>1222</v>
      </c>
      <c r="D38" s="137">
        <v>0</v>
      </c>
      <c r="Q38" s="446" t="str">
        <f>'Translate &amp; Prices'!$B$122</f>
        <v>Lacobel RAL 9010</v>
      </c>
      <c r="R38" s="446" t="str">
        <f>'Translate &amp; Prices'!$B$135</f>
        <v>Matelac RAL 3004</v>
      </c>
      <c r="U38" s="446" t="str">
        <f>'Translate &amp; Prices'!$B$140</f>
        <v>Matelac RAL 9010</v>
      </c>
      <c r="V38" s="446" t="str">
        <f>'Translate &amp; Prices'!$B$140</f>
        <v>Matelac RAL 9010</v>
      </c>
    </row>
    <row r="39" spans="1:82" x14ac:dyDescent="0.3">
      <c r="A39" s="446" t="str">
        <f>'Translate &amp; Prices'!B45</f>
        <v>Vivaro (elox.)</v>
      </c>
      <c r="B39" s="137">
        <v>2</v>
      </c>
      <c r="C39" s="137" t="s">
        <v>1222</v>
      </c>
      <c r="D39" s="137">
        <v>1</v>
      </c>
      <c r="Q39" s="446" t="str">
        <f>'Translate &amp; Prices'!$B$123</f>
        <v>Lacobel REF 0128</v>
      </c>
      <c r="R39" s="446" t="str">
        <f>'Translate &amp; Prices'!$B$136</f>
        <v>Matelac RAL 7021</v>
      </c>
      <c r="U39" s="446" t="str">
        <f>'Translate &amp; Prices'!$B$141</f>
        <v>Matelac REF 1435</v>
      </c>
      <c r="V39" s="446" t="str">
        <f>'Translate &amp; Prices'!$B$141</f>
        <v>Matelac REF 1435</v>
      </c>
      <c r="AA39" s="137" t="s">
        <v>1021</v>
      </c>
      <c r="AB39" s="137" t="s">
        <v>2145</v>
      </c>
    </row>
    <row r="40" spans="1:82" x14ac:dyDescent="0.3">
      <c r="A40" s="446" t="str">
        <f>'Translate &amp; Prices'!B46</f>
        <v>Vivaro černá mat</v>
      </c>
      <c r="B40" s="137">
        <v>2</v>
      </c>
      <c r="C40" s="137" t="s">
        <v>1222</v>
      </c>
      <c r="D40" s="137">
        <v>1</v>
      </c>
      <c r="Q40" s="446" t="str">
        <f>'Translate &amp; Prices'!$B$124</f>
        <v>Lacobel REF 0327</v>
      </c>
      <c r="R40" s="446" t="str">
        <f>'Translate &amp; Prices'!$B$137</f>
        <v>Matelac RAL 9003</v>
      </c>
      <c r="U40" s="446" t="str">
        <f>'Translate &amp; Prices'!$B$142</f>
        <v>Matelac REF 1586</v>
      </c>
      <c r="V40" s="446" t="str">
        <f>'Translate &amp; Prices'!$B$142</f>
        <v>Matelac REF 1586</v>
      </c>
      <c r="AA40" s="137" t="s">
        <v>1021</v>
      </c>
      <c r="AB40" s="137" t="s">
        <v>2638</v>
      </c>
      <c r="AC40" s="137">
        <v>1</v>
      </c>
      <c r="AD40" s="137">
        <v>0</v>
      </c>
    </row>
    <row r="41" spans="1:82" x14ac:dyDescent="0.3">
      <c r="A41" s="446" t="str">
        <f>'Translate &amp; Prices'!B48</f>
        <v>Vivaro tmavá nerez br. (inox lija)</v>
      </c>
      <c r="B41" s="137">
        <v>2</v>
      </c>
      <c r="C41" s="137" t="s">
        <v>1222</v>
      </c>
      <c r="D41" s="137">
        <v>0</v>
      </c>
      <c r="Q41" s="446" t="str">
        <f>'Translate &amp; Prices'!$B$125</f>
        <v>Lacobel REF 0337</v>
      </c>
      <c r="R41" s="446" t="str">
        <f>'Translate &amp; Prices'!$B$138</f>
        <v>Matelac RAL 9005</v>
      </c>
      <c r="U41" s="446" t="str">
        <f>'Translate &amp; Prices'!$B$143</f>
        <v>Matelac zrcadlo bronz</v>
      </c>
      <c r="V41" s="446" t="str">
        <f>'Translate &amp; Prices'!$B$143</f>
        <v>Matelac zrcadlo bronz</v>
      </c>
      <c r="AB41" s="137" t="s">
        <v>2639</v>
      </c>
      <c r="AC41" s="137">
        <v>1</v>
      </c>
      <c r="AD41" s="137">
        <v>0</v>
      </c>
    </row>
    <row r="42" spans="1:82" x14ac:dyDescent="0.3">
      <c r="A42" s="446" t="str">
        <f>'Translate &amp; Prices'!B49</f>
        <v>Vivaro bílá mat</v>
      </c>
      <c r="B42" s="137">
        <v>2</v>
      </c>
      <c r="C42" s="137" t="s">
        <v>1222</v>
      </c>
      <c r="D42" s="137">
        <v>0</v>
      </c>
      <c r="Q42" s="446" t="str">
        <f>'Translate &amp; Prices'!$B$126</f>
        <v>Lacobel REF 0627</v>
      </c>
      <c r="R42" s="446" t="str">
        <f>'Translate &amp; Prices'!$B$139</f>
        <v>Matelac RAL 9006</v>
      </c>
      <c r="U42" s="446" t="str">
        <f>'Translate &amp; Prices'!$B$145</f>
        <v>Matelac zrcadlo grafit</v>
      </c>
      <c r="V42" s="446" t="str">
        <f>'Translate &amp; Prices'!$B$145</f>
        <v>Matelac zrcadlo grafit</v>
      </c>
      <c r="AA42" s="137" t="s">
        <v>2117</v>
      </c>
      <c r="AB42" s="137" t="s">
        <v>2146</v>
      </c>
    </row>
    <row r="43" spans="1:82" x14ac:dyDescent="0.3">
      <c r="A43" s="446" t="str">
        <f>'Translate &amp; Prices'!B50</f>
        <v>Vivaro bílá lesk</v>
      </c>
      <c r="B43" s="137">
        <v>2</v>
      </c>
      <c r="C43" s="137" t="s">
        <v>1222</v>
      </c>
      <c r="D43" s="137">
        <v>0</v>
      </c>
      <c r="Q43" s="446" t="str">
        <f>'Translate &amp; Prices'!$B$127</f>
        <v>Lacobel REF 0667</v>
      </c>
      <c r="R43" s="446" t="str">
        <f>'Translate &amp; Prices'!$B$140</f>
        <v>Matelac RAL 9010</v>
      </c>
      <c r="U43" s="446" t="str">
        <f>'Translate &amp; Prices'!$B$146</f>
        <v>Matelac zrcadlo stříbr.</v>
      </c>
      <c r="V43" s="446" t="str">
        <f>'Translate &amp; Prices'!$B$146</f>
        <v>Matelac zrcadlo stříbr.</v>
      </c>
      <c r="AA43" s="137" t="s">
        <v>2117</v>
      </c>
      <c r="AB43" s="137" t="s">
        <v>2280</v>
      </c>
      <c r="AC43" s="137">
        <v>0</v>
      </c>
      <c r="AD43" s="137">
        <v>0</v>
      </c>
    </row>
    <row r="44" spans="1:82" x14ac:dyDescent="0.3">
      <c r="A44" s="404" t="str">
        <f>'Translate &amp; Prices'!$B$61</f>
        <v>Siena (Vlevo a vpravo) + Varna (Nahoře a dole)</v>
      </c>
      <c r="B44" s="137">
        <v>2</v>
      </c>
      <c r="C44" s="137" t="s">
        <v>1222</v>
      </c>
      <c r="D44" s="137">
        <v>0</v>
      </c>
      <c r="Q44" s="446" t="str">
        <f>'Translate &amp; Prices'!$B$128</f>
        <v>Lacobel REF 1164</v>
      </c>
      <c r="R44" s="446" t="str">
        <f>'Translate &amp; Prices'!$B$141</f>
        <v>Matelac REF 1435</v>
      </c>
      <c r="AA44" s="137" t="s">
        <v>2117</v>
      </c>
      <c r="AB44" s="137" t="s">
        <v>2119</v>
      </c>
      <c r="AC44" s="137">
        <v>1</v>
      </c>
      <c r="AD44" s="137">
        <v>0</v>
      </c>
    </row>
    <row r="45" spans="1:82" x14ac:dyDescent="0.3">
      <c r="A45" s="404" t="str">
        <f>'Translate &amp; Prices'!$B$63</f>
        <v>Siena černá (Vlevo a vpravo) + Varna černá (Nahoře a dole)</v>
      </c>
      <c r="B45" s="137">
        <v>2</v>
      </c>
      <c r="C45" s="137" t="s">
        <v>1222</v>
      </c>
      <c r="D45" s="137">
        <v>0</v>
      </c>
      <c r="Q45" s="446" t="str">
        <f>'Translate &amp; Prices'!$B$129</f>
        <v>Lacobel REF 1236</v>
      </c>
      <c r="R45" s="446" t="str">
        <f>'Translate &amp; Prices'!$B$142</f>
        <v>Matelac REF 1586</v>
      </c>
      <c r="AB45" s="137" t="s">
        <v>2281</v>
      </c>
      <c r="AC45" s="137">
        <v>0</v>
      </c>
      <c r="AD45" s="137">
        <v>0</v>
      </c>
    </row>
    <row r="46" spans="1:82" x14ac:dyDescent="0.3">
      <c r="A46" s="404" t="str">
        <f>'Translate &amp; Prices'!$B$65</f>
        <v>Palio (Vlevo a vpravo) + Varna (Nahoře a dole)</v>
      </c>
      <c r="B46" s="137">
        <v>2</v>
      </c>
      <c r="C46" s="137" t="s">
        <v>1222</v>
      </c>
      <c r="D46" s="137">
        <v>0</v>
      </c>
      <c r="Q46" s="446" t="str">
        <f>'Translate &amp; Prices'!$B$130</f>
        <v>Lacobel REF 1435</v>
      </c>
      <c r="R46" s="446" t="str">
        <f>'Translate &amp; Prices'!$B$143</f>
        <v>Matelac zrcadlo bronz</v>
      </c>
    </row>
    <row r="47" spans="1:82" x14ac:dyDescent="0.3">
      <c r="A47" s="137" t="str">
        <f>'Translate &amp; Prices'!$B$70</f>
        <v>Palio černá (Vlevo a vpravo) + Varna černá (Nahoře a dole)</v>
      </c>
      <c r="B47" s="137">
        <v>2</v>
      </c>
      <c r="C47" s="137" t="s">
        <v>1222</v>
      </c>
      <c r="D47" s="137">
        <v>0</v>
      </c>
      <c r="Q47" s="446" t="str">
        <f>'Translate &amp; Prices'!$B$131</f>
        <v>Lacobel REF 1586</v>
      </c>
      <c r="R47" s="446" t="str">
        <f>'Translate &amp; Prices'!$B$145</f>
        <v>Matelac zrcadlo grafit</v>
      </c>
    </row>
    <row r="48" spans="1:82" x14ac:dyDescent="0.3">
      <c r="A48" s="404" t="str">
        <f>'Translate &amp; Prices'!$B$67</f>
        <v>Rocca (Vlevo a vpravo) + Varna (Nahoře a dole)</v>
      </c>
      <c r="B48" s="137">
        <v>1</v>
      </c>
      <c r="C48" s="137" t="s">
        <v>1222</v>
      </c>
      <c r="D48" s="137">
        <v>0</v>
      </c>
      <c r="Q48" s="446" t="str">
        <f>'Translate &amp; Prices'!$B$132</f>
        <v>Lacobel REF 1603</v>
      </c>
      <c r="R48" s="446" t="str">
        <f>'Translate &amp; Prices'!$B$146</f>
        <v>Matelac zrcadlo stříbr.</v>
      </c>
    </row>
    <row r="49" spans="1:17" x14ac:dyDescent="0.3">
      <c r="A49" s="404" t="str">
        <f>'Translate &amp; Prices'!$B$69</f>
        <v>Rocca černá (Vlevo a vpravo) + Varna černá (Nahoře a dole)</v>
      </c>
      <c r="B49" s="137">
        <v>1</v>
      </c>
      <c r="C49" s="137" t="s">
        <v>1222</v>
      </c>
      <c r="D49" s="137">
        <v>0</v>
      </c>
      <c r="Q49" s="446" t="str">
        <f>'Translate &amp; Prices'!$B$133</f>
        <v>Lacobel REF 1604</v>
      </c>
    </row>
    <row r="50" spans="1:17" x14ac:dyDescent="0.3">
      <c r="A50" s="137" t="str">
        <f>'Translate &amp; Prices'!$B$13</f>
        <v>BRW zlatá</v>
      </c>
      <c r="B50" s="137">
        <v>1</v>
      </c>
      <c r="C50" s="137" t="s">
        <v>1222</v>
      </c>
      <c r="D50" s="137">
        <v>0</v>
      </c>
      <c r="Q50" s="446" t="str">
        <f>'Translate &amp; Prices'!$B$134</f>
        <v>Matelac RAL 2001</v>
      </c>
    </row>
    <row r="51" spans="1:17" x14ac:dyDescent="0.3">
      <c r="A51" s="137" t="str">
        <f>'Translate &amp; Prices'!$B$26</f>
        <v>Verona zlatá</v>
      </c>
      <c r="B51" s="137">
        <v>1</v>
      </c>
      <c r="C51" s="137" t="s">
        <v>1222</v>
      </c>
      <c r="D51" s="137">
        <v>0</v>
      </c>
      <c r="Q51" s="446" t="str">
        <f>'Translate &amp; Prices'!$B$135</f>
        <v>Matelac RAL 3004</v>
      </c>
    </row>
    <row r="52" spans="1:17" x14ac:dyDescent="0.3">
      <c r="A52" s="404" t="str">
        <f>'Translate &amp; Prices'!$B$33</f>
        <v>Vivaro zlatá</v>
      </c>
      <c r="B52" s="137">
        <v>2</v>
      </c>
      <c r="C52" s="137" t="s">
        <v>1222</v>
      </c>
      <c r="D52" s="137">
        <v>0</v>
      </c>
      <c r="Q52" s="446" t="str">
        <f>'Translate &amp; Prices'!$B$136</f>
        <v>Matelac RAL 7021</v>
      </c>
    </row>
    <row r="53" spans="1:17" x14ac:dyDescent="0.3">
      <c r="A53" s="137" t="str">
        <f>'Translate &amp; Prices'!$B$47</f>
        <v>Imola zlatá</v>
      </c>
      <c r="B53" s="137">
        <v>2</v>
      </c>
      <c r="C53" s="137" t="s">
        <v>2133</v>
      </c>
      <c r="D53" s="137">
        <v>0</v>
      </c>
      <c r="Q53" s="446" t="str">
        <f>'Translate &amp; Prices'!$B$137</f>
        <v>Matelac RAL 9003</v>
      </c>
    </row>
    <row r="54" spans="1:17" x14ac:dyDescent="0.3">
      <c r="A54" s="137" t="str">
        <f>'Translate &amp; Prices'!$B$57</f>
        <v>Pisa zlatá</v>
      </c>
      <c r="B54" s="137">
        <v>2</v>
      </c>
      <c r="C54" s="137" t="s">
        <v>2133</v>
      </c>
      <c r="D54" s="137">
        <v>0</v>
      </c>
      <c r="Q54" s="446" t="str">
        <f>'Translate &amp; Prices'!$B$138</f>
        <v>Matelac RAL 9005</v>
      </c>
    </row>
    <row r="55" spans="1:17" x14ac:dyDescent="0.3">
      <c r="Q55" s="446" t="str">
        <f>'Translate &amp; Prices'!$B$139</f>
        <v>Matelac RAL 9006</v>
      </c>
    </row>
    <row r="56" spans="1:17" x14ac:dyDescent="0.3">
      <c r="Q56" s="446" t="str">
        <f>'Translate &amp; Prices'!$B$140</f>
        <v>Matelac RAL 9010</v>
      </c>
    </row>
    <row r="57" spans="1:17" x14ac:dyDescent="0.3">
      <c r="Q57" s="446" t="str">
        <f>'Translate &amp; Prices'!$B$141</f>
        <v>Matelac REF 1435</v>
      </c>
    </row>
    <row r="58" spans="1:17" x14ac:dyDescent="0.3">
      <c r="Q58" s="446" t="str">
        <f>'Translate &amp; Prices'!$B$142</f>
        <v>Matelac REF 1586</v>
      </c>
    </row>
    <row r="59" spans="1:17" x14ac:dyDescent="0.3">
      <c r="Q59" s="446" t="str">
        <f>'Translate &amp; Prices'!$B$143</f>
        <v>Matelac zrcadlo bronz</v>
      </c>
    </row>
    <row r="60" spans="1:17" x14ac:dyDescent="0.3">
      <c r="Q60" s="446" t="str">
        <f>'Translate &amp; Prices'!$B$145</f>
        <v>Matelac zrcadlo grafit</v>
      </c>
    </row>
    <row r="61" spans="1:17" x14ac:dyDescent="0.3">
      <c r="Q61" s="446" t="str">
        <f>'Translate &amp; Prices'!$B$146</f>
        <v>Matelac zrcadlo stříbr.</v>
      </c>
    </row>
  </sheetData>
  <conditionalFormatting sqref="AC4:AC9 AC15:AC23 AC29:AC34 AC40:AC41 AC43:AC45">
    <cfRule type="cellIs" dxfId="515" priority="30" operator="equal">
      <formula>1</formula>
    </cfRule>
  </conditionalFormatting>
  <conditionalFormatting sqref="R5">
    <cfRule type="duplicateValues" dxfId="514" priority="25"/>
  </conditionalFormatting>
  <conditionalFormatting sqref="S20:S48">
    <cfRule type="duplicateValues" dxfId="513" priority="29"/>
  </conditionalFormatting>
  <conditionalFormatting sqref="R49:R55">
    <cfRule type="duplicateValues" dxfId="512" priority="27"/>
  </conditionalFormatting>
  <conditionalFormatting sqref="R56:R57">
    <cfRule type="duplicateValues" dxfId="511" priority="28"/>
  </conditionalFormatting>
  <conditionalFormatting sqref="Q2 Q63:Q1048576 Q4:Q61">
    <cfRule type="duplicateValues" dxfId="510" priority="31"/>
  </conditionalFormatting>
  <conditionalFormatting sqref="R2 R63:R1048576 R49:R61">
    <cfRule type="duplicateValues" dxfId="509" priority="32"/>
  </conditionalFormatting>
  <conditionalFormatting sqref="P63:P1048576 P2:P61">
    <cfRule type="duplicateValues" dxfId="508" priority="33"/>
  </conditionalFormatting>
  <conditionalFormatting sqref="R63 R58:R61">
    <cfRule type="duplicateValues" dxfId="507" priority="34"/>
  </conditionalFormatting>
  <conditionalFormatting sqref="R4">
    <cfRule type="duplicateValues" dxfId="506" priority="26"/>
  </conditionalFormatting>
  <conditionalFormatting sqref="R6:R8">
    <cfRule type="duplicateValues" dxfId="505" priority="24"/>
  </conditionalFormatting>
  <conditionalFormatting sqref="R9:R10">
    <cfRule type="duplicateValues" dxfId="504" priority="23"/>
  </conditionalFormatting>
  <conditionalFormatting sqref="R11">
    <cfRule type="duplicateValues" dxfId="503" priority="22"/>
  </conditionalFormatting>
  <conditionalFormatting sqref="R12:R36">
    <cfRule type="duplicateValues" dxfId="502" priority="21"/>
  </conditionalFormatting>
  <conditionalFormatting sqref="R37:R45">
    <cfRule type="duplicateValues" dxfId="501" priority="20"/>
  </conditionalFormatting>
  <conditionalFormatting sqref="R46:R48">
    <cfRule type="duplicateValues" dxfId="500" priority="19"/>
  </conditionalFormatting>
  <conditionalFormatting sqref="S4">
    <cfRule type="duplicateValues" dxfId="499" priority="18"/>
  </conditionalFormatting>
  <conditionalFormatting sqref="S5:S10">
    <cfRule type="duplicateValues" dxfId="498" priority="17"/>
  </conditionalFormatting>
  <conditionalFormatting sqref="S11:S12">
    <cfRule type="duplicateValues" dxfId="497" priority="16"/>
  </conditionalFormatting>
  <conditionalFormatting sqref="S13:S19">
    <cfRule type="duplicateValues" dxfId="496" priority="15"/>
  </conditionalFormatting>
  <conditionalFormatting sqref="T4">
    <cfRule type="duplicateValues" dxfId="495" priority="14"/>
  </conditionalFormatting>
  <conditionalFormatting sqref="T5:T6">
    <cfRule type="duplicateValues" dxfId="494" priority="13"/>
  </conditionalFormatting>
  <conditionalFormatting sqref="T7">
    <cfRule type="duplicateValues" dxfId="493" priority="12"/>
  </conditionalFormatting>
  <conditionalFormatting sqref="U4:U6">
    <cfRule type="duplicateValues" dxfId="492" priority="11"/>
  </conditionalFormatting>
  <conditionalFormatting sqref="U7:U31">
    <cfRule type="duplicateValues" dxfId="491" priority="10"/>
  </conditionalFormatting>
  <conditionalFormatting sqref="U32:U40">
    <cfRule type="duplicateValues" dxfId="490" priority="9"/>
  </conditionalFormatting>
  <conditionalFormatting sqref="U41:U43">
    <cfRule type="duplicateValues" dxfId="489" priority="8"/>
  </conditionalFormatting>
  <conditionalFormatting sqref="V4:V6">
    <cfRule type="duplicateValues" dxfId="488" priority="7"/>
  </conditionalFormatting>
  <conditionalFormatting sqref="V7:V31">
    <cfRule type="duplicateValues" dxfId="487" priority="6"/>
  </conditionalFormatting>
  <conditionalFormatting sqref="V32:V40">
    <cfRule type="duplicateValues" dxfId="486" priority="5"/>
  </conditionalFormatting>
  <conditionalFormatting sqref="V41:V43">
    <cfRule type="duplicateValues" dxfId="485" priority="4"/>
  </conditionalFormatting>
  <conditionalFormatting sqref="A55:A56 A58:A59">
    <cfRule type="duplicateValues" dxfId="484" priority="3"/>
  </conditionalFormatting>
  <conditionalFormatting sqref="A54 A52 A44:A49">
    <cfRule type="duplicateValues" dxfId="483" priority="2"/>
  </conditionalFormatting>
  <conditionalFormatting sqref="A3:A54">
    <cfRule type="duplicateValues" dxfId="482" priority="1"/>
  </conditionalFormatting>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B2651-FBD7-41D2-85D7-5071B5B99FD1}">
  <sheetPr codeName="List15">
    <tabColor rgb="FF00B0F0"/>
    <pageSetUpPr fitToPage="1"/>
  </sheetPr>
  <dimension ref="A1:BM138"/>
  <sheetViews>
    <sheetView showGridLines="0" showRowColHeaders="0" zoomScale="80" zoomScaleNormal="80" workbookViewId="0">
      <selection activeCell="AT17" sqref="AT1:XFD1048576"/>
    </sheetView>
  </sheetViews>
  <sheetFormatPr defaultColWidth="0" defaultRowHeight="14.4" customHeight="1" zeroHeight="1" x14ac:dyDescent="0.3"/>
  <cols>
    <col min="1" max="1" width="3.33203125" style="1244" customWidth="1"/>
    <col min="2" max="2" width="5.33203125" style="1245" customWidth="1"/>
    <col min="3" max="3" width="5.33203125" style="1252" customWidth="1"/>
    <col min="4" max="7" width="5.5546875" style="1250" customWidth="1"/>
    <col min="8" max="13" width="5.33203125" style="1250" customWidth="1"/>
    <col min="14" max="17" width="4.44140625" style="1250" customWidth="1"/>
    <col min="18" max="18" width="5.33203125" style="1250" customWidth="1"/>
    <col min="19" max="19" width="4.21875" style="1250" customWidth="1"/>
    <col min="20" max="21" width="5.33203125" style="1250" customWidth="1"/>
    <col min="22" max="22" width="3.33203125" style="1250" customWidth="1"/>
    <col min="23" max="25" width="5.33203125" style="1250" customWidth="1"/>
    <col min="26" max="26" width="5.33203125" style="1252" customWidth="1"/>
    <col min="27" max="27" width="3.88671875" style="1252" customWidth="1"/>
    <col min="28" max="28" width="5.33203125" style="1252" customWidth="1"/>
    <col min="29" max="29" width="3.5546875" style="1252" customWidth="1"/>
    <col min="30" max="30" width="5.33203125" style="1256" customWidth="1"/>
    <col min="31" max="31" width="5.33203125" style="1245" customWidth="1"/>
    <col min="32" max="33" width="5.33203125" style="1252" customWidth="1"/>
    <col min="34" max="34" width="4.21875" style="1252" customWidth="1"/>
    <col min="35" max="36" width="5.33203125" style="1252" customWidth="1"/>
    <col min="37" max="37" width="3.33203125" style="1252" customWidth="1"/>
    <col min="38" max="38" width="5.33203125" style="1252" customWidth="1"/>
    <col min="39" max="39" width="3.5546875" style="1252" customWidth="1"/>
    <col min="40" max="40" width="5.33203125" style="1252" customWidth="1"/>
    <col min="41" max="41" width="2.88671875" style="1252" customWidth="1"/>
    <col min="42" max="42" width="3.88671875" style="1252" customWidth="1"/>
    <col min="43" max="43" width="5.44140625" style="1252" customWidth="1"/>
    <col min="44" max="44" width="4.44140625" style="1252" customWidth="1"/>
    <col min="45" max="45" width="8.88671875" style="1252" customWidth="1"/>
    <col min="46" max="46" width="8.88671875" style="1252" hidden="1"/>
    <col min="47" max="48" width="8.88671875" style="1226" hidden="1"/>
    <col min="49" max="55" width="8.88671875" style="1250" hidden="1"/>
    <col min="56" max="16384" width="8.88671875" style="1251" hidden="1"/>
  </cols>
  <sheetData>
    <row r="1" spans="1:65" s="1228" customFormat="1" ht="8.4" customHeight="1" x14ac:dyDescent="0.3">
      <c r="A1" s="557"/>
      <c r="B1" s="557"/>
      <c r="C1" s="506"/>
      <c r="D1" s="506"/>
      <c r="E1" s="506"/>
      <c r="F1" s="506"/>
      <c r="G1" s="506"/>
      <c r="H1" s="506"/>
      <c r="I1" s="506"/>
      <c r="J1" s="506"/>
      <c r="K1" s="506"/>
      <c r="L1" s="506"/>
      <c r="M1" s="506"/>
      <c r="N1" s="506"/>
      <c r="O1" s="506"/>
      <c r="P1" s="506"/>
      <c r="Q1" s="506"/>
      <c r="R1" s="506"/>
      <c r="S1" s="506"/>
      <c r="T1" s="506"/>
      <c r="U1" s="506"/>
      <c r="V1" s="507"/>
      <c r="W1" s="507"/>
      <c r="X1" s="507"/>
      <c r="Y1" s="507"/>
      <c r="Z1" s="400"/>
      <c r="AA1" s="400"/>
      <c r="AB1" s="400"/>
      <c r="AC1" s="400"/>
      <c r="AD1" s="508"/>
      <c r="AE1" s="509"/>
      <c r="AF1" s="400"/>
      <c r="AG1" s="400"/>
      <c r="AH1" s="400"/>
      <c r="AI1" s="400"/>
      <c r="AJ1" s="400"/>
      <c r="AK1" s="400"/>
      <c r="AL1" s="400"/>
      <c r="AM1" s="400"/>
      <c r="AN1" s="400"/>
      <c r="AO1" s="400"/>
      <c r="AP1" s="400"/>
      <c r="AQ1" s="400"/>
      <c r="AR1" s="400"/>
      <c r="AS1" s="400"/>
      <c r="AT1" s="1225"/>
      <c r="AU1" s="1226"/>
      <c r="AV1" s="1226"/>
      <c r="AW1" s="1227"/>
      <c r="AX1" s="1227"/>
      <c r="AY1" s="1227"/>
      <c r="AZ1" s="1227"/>
      <c r="BA1" s="1227"/>
      <c r="BB1" s="1227"/>
      <c r="BC1" s="1227"/>
    </row>
    <row r="2" spans="1:65" s="1228" customFormat="1" ht="11.4" customHeight="1" x14ac:dyDescent="0.3">
      <c r="A2" s="860" t="str">
        <f>'Translate &amp; Prices'!$B$149&amp;" "&amp;" "&amp;4</f>
        <v>Rámeček  4</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560"/>
      <c r="AL2" s="560"/>
      <c r="AM2" s="560"/>
      <c r="AN2" s="560"/>
      <c r="AO2" s="511"/>
      <c r="AP2" s="745" t="str">
        <f>'Translate &amp; Prices'!$B$520</f>
        <v>Úvod</v>
      </c>
      <c r="AQ2" s="746"/>
      <c r="AR2" s="746"/>
      <c r="AS2" s="746"/>
      <c r="AT2" s="1225"/>
      <c r="AU2" s="1226"/>
      <c r="AV2" s="1226"/>
      <c r="AW2" s="1227"/>
      <c r="AX2" s="1229" t="e">
        <f>VLOOKUP(VLOOKUP(H8,'Translate &amp; Prices'!B60:D69,3,0),'Translate &amp; Prices'!B6:D57,2,0)</f>
        <v>#N/A</v>
      </c>
      <c r="AY2" s="1230" t="e">
        <f>((AR14/1000)*2)*AT8</f>
        <v>#N/A</v>
      </c>
      <c r="AZ2" s="1231" t="e">
        <f>((AI30/1000)*2)*AX2</f>
        <v>#N/A</v>
      </c>
      <c r="BA2" s="1231" t="e">
        <f>AY2+AZ2</f>
        <v>#N/A</v>
      </c>
      <c r="BB2" s="1229"/>
      <c r="BC2" s="1229"/>
      <c r="BD2" s="1232"/>
      <c r="BE2" s="1232"/>
      <c r="BF2" s="1232"/>
      <c r="BG2" s="1232"/>
      <c r="BH2" s="1233"/>
      <c r="BI2" s="1233"/>
      <c r="BJ2" s="1233"/>
      <c r="BK2" s="1233"/>
      <c r="BL2" s="1233"/>
      <c r="BM2" s="1233"/>
    </row>
    <row r="3" spans="1:65" s="1228" customFormat="1" ht="11.4" customHeight="1" x14ac:dyDescent="0.3">
      <c r="A3" s="860"/>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560"/>
      <c r="AL3" s="560"/>
      <c r="AM3" s="560"/>
      <c r="AN3" s="560"/>
      <c r="AO3" s="511"/>
      <c r="AP3" s="745"/>
      <c r="AQ3" s="746"/>
      <c r="AR3" s="746"/>
      <c r="AS3" s="746"/>
      <c r="AT3" s="1225"/>
      <c r="AU3" s="1226"/>
      <c r="AV3" s="1226"/>
      <c r="AW3" s="1227"/>
      <c r="AX3" s="1229" t="e">
        <f>VLOOKUP(VLOOKUP(H8,'Translate &amp; Prices'!B60:D69,3,0),'Translate &amp; Prices'!B:D,3,0)</f>
        <v>#N/A</v>
      </c>
      <c r="AY3" s="1234" t="e">
        <f>AT9+AX3</f>
        <v>#N/A</v>
      </c>
      <c r="AZ3" s="1231"/>
      <c r="BA3" s="1230"/>
      <c r="BB3" s="1229"/>
      <c r="BC3" s="1229"/>
      <c r="BD3" s="1235">
        <f>(AI30/1000)*H11</f>
        <v>0</v>
      </c>
      <c r="BE3" s="1235"/>
      <c r="BF3" s="1235"/>
      <c r="BG3" s="1235"/>
      <c r="BH3" s="1235"/>
      <c r="BI3" s="1235">
        <f>(AR14/1000)*M11</f>
        <v>0</v>
      </c>
      <c r="BJ3" s="1235"/>
      <c r="BK3" s="1235"/>
      <c r="BL3" s="1235"/>
      <c r="BM3" s="1235"/>
    </row>
    <row r="4" spans="1:65" s="1239" customFormat="1" ht="6.6" customHeight="1" x14ac:dyDescent="0.3">
      <c r="A4" s="552"/>
      <c r="B4" s="552"/>
      <c r="C4" s="553"/>
      <c r="D4" s="553"/>
      <c r="E4" s="553"/>
      <c r="F4" s="553"/>
      <c r="G4" s="553"/>
      <c r="H4" s="553"/>
      <c r="I4" s="553"/>
      <c r="J4" s="554"/>
      <c r="K4" s="554"/>
      <c r="L4" s="554"/>
      <c r="M4" s="554"/>
      <c r="N4" s="554"/>
      <c r="O4" s="554"/>
      <c r="P4" s="555"/>
      <c r="Q4" s="555"/>
      <c r="R4" s="555"/>
      <c r="S4" s="555"/>
      <c r="T4" s="555"/>
      <c r="U4" s="555"/>
      <c r="V4" s="555"/>
      <c r="W4" s="555"/>
      <c r="X4" s="555"/>
      <c r="Y4" s="555"/>
      <c r="Z4" s="555"/>
      <c r="AA4" s="555"/>
      <c r="AB4" s="555"/>
      <c r="AC4" s="555"/>
      <c r="AD4" s="508"/>
      <c r="AE4" s="509"/>
      <c r="AF4" s="529"/>
      <c r="AG4" s="529"/>
      <c r="AH4" s="529"/>
      <c r="AI4" s="529"/>
      <c r="AJ4" s="529"/>
      <c r="AK4" s="529"/>
      <c r="AL4" s="529"/>
      <c r="AM4" s="529"/>
      <c r="AN4" s="529"/>
      <c r="AO4" s="529"/>
      <c r="AP4" s="529"/>
      <c r="AQ4" s="529"/>
      <c r="AR4" s="529"/>
      <c r="AS4" s="558"/>
      <c r="AT4" s="1236"/>
      <c r="AU4" s="1237"/>
      <c r="AV4" s="1237"/>
      <c r="AW4" s="1238"/>
      <c r="AX4" s="1238"/>
      <c r="AY4" s="1238"/>
      <c r="AZ4" s="1238"/>
      <c r="BA4" s="1238"/>
      <c r="BB4" s="1238"/>
      <c r="BC4" s="1238"/>
    </row>
    <row r="5" spans="1:65" s="1228" customFormat="1" ht="14.4" customHeight="1" thickBot="1" x14ac:dyDescent="0.35">
      <c r="A5" s="510"/>
      <c r="B5" s="845" t="str">
        <f>'Translate &amp; Prices'!$B$149&amp;" "&amp;" "&amp;1</f>
        <v>Rámeček  1</v>
      </c>
      <c r="C5" s="845"/>
      <c r="D5" s="845"/>
      <c r="E5" s="561"/>
      <c r="F5" s="845" t="str">
        <f>'Translate &amp; Prices'!$B$149&amp;" "&amp;" "&amp;2</f>
        <v>Rámeček  2</v>
      </c>
      <c r="G5" s="845"/>
      <c r="H5" s="845"/>
      <c r="I5" s="512"/>
      <c r="J5" s="845" t="str">
        <f>'Translate &amp; Prices'!$B$149&amp;" "&amp;" "&amp;3</f>
        <v>Rámeček  3</v>
      </c>
      <c r="K5" s="845"/>
      <c r="L5" s="845"/>
      <c r="M5" s="512"/>
      <c r="N5" s="845" t="str">
        <f>'Translate &amp; Prices'!$B$149&amp;" "&amp;" "&amp;4</f>
        <v>Rámeček  4</v>
      </c>
      <c r="O5" s="845"/>
      <c r="P5" s="845"/>
      <c r="Q5" s="512"/>
      <c r="R5" s="845" t="str">
        <f>'Translate &amp; Prices'!$B$149&amp;" "&amp;" "&amp;5</f>
        <v>Rámeček  5</v>
      </c>
      <c r="S5" s="845"/>
      <c r="T5" s="845"/>
      <c r="U5" s="512"/>
      <c r="V5" s="845" t="str">
        <f>'Translate &amp; Prices'!$B$149&amp;" "&amp;" "&amp;6</f>
        <v>Rámeček  6</v>
      </c>
      <c r="W5" s="845"/>
      <c r="X5" s="845"/>
      <c r="Y5" s="510"/>
      <c r="Z5" s="510"/>
      <c r="AA5" s="400"/>
      <c r="AB5" s="400"/>
      <c r="AC5" s="400"/>
      <c r="AD5" s="508"/>
      <c r="AE5" s="509"/>
      <c r="AF5" s="400"/>
      <c r="AG5" s="400"/>
      <c r="AH5" s="400"/>
      <c r="AI5" s="400"/>
      <c r="AJ5" s="400"/>
      <c r="AK5" s="400"/>
      <c r="AL5" s="400"/>
      <c r="AM5" s="400"/>
      <c r="AN5" s="400"/>
      <c r="AO5" s="400"/>
      <c r="AP5" s="400"/>
      <c r="AQ5" s="400"/>
      <c r="AR5" s="400"/>
      <c r="AS5" s="557"/>
      <c r="AT5" s="1229"/>
      <c r="AU5" s="1226"/>
      <c r="AV5" s="1226"/>
      <c r="AW5" s="1227"/>
      <c r="AX5" s="1227"/>
      <c r="AY5" s="1227"/>
      <c r="AZ5" s="1227"/>
      <c r="BA5" s="1227"/>
      <c r="BB5" s="1227"/>
      <c r="BC5" s="1227"/>
    </row>
    <row r="6" spans="1:65" s="1228" customFormat="1" ht="16.8" customHeight="1" thickTop="1" thickBot="1" x14ac:dyDescent="0.35">
      <c r="A6" s="510"/>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3"/>
      <c r="AB6" s="514"/>
      <c r="AC6" s="515"/>
      <c r="AD6" s="515"/>
      <c r="AE6" s="514"/>
      <c r="AF6" s="514"/>
      <c r="AG6" s="514"/>
      <c r="AH6" s="514"/>
      <c r="AI6" s="516"/>
      <c r="AJ6" s="517"/>
      <c r="AK6" s="514"/>
      <c r="AL6" s="514"/>
      <c r="AM6" s="515"/>
      <c r="AN6" s="515"/>
      <c r="AO6" s="514"/>
      <c r="AP6" s="518"/>
      <c r="AQ6" s="400"/>
      <c r="AR6" s="400"/>
      <c r="AS6" s="400"/>
      <c r="AT6" s="1240"/>
      <c r="AU6" s="1226"/>
      <c r="AV6" s="1226"/>
      <c r="AW6" s="1227"/>
      <c r="AX6" s="1227"/>
      <c r="AY6" s="1227"/>
      <c r="AZ6" s="1227"/>
      <c r="BA6" s="1227"/>
      <c r="BB6" s="1227"/>
      <c r="BC6" s="1227"/>
    </row>
    <row r="7" spans="1:65" s="1228" customFormat="1" ht="14.4" customHeight="1" thickBot="1" x14ac:dyDescent="0.35">
      <c r="A7" s="510"/>
      <c r="B7" s="849" t="str">
        <f>'Translate &amp; Prices'!$B$522</f>
        <v>Kombinace 2 profilů</v>
      </c>
      <c r="C7" s="850"/>
      <c r="D7" s="850"/>
      <c r="E7" s="850"/>
      <c r="F7" s="850"/>
      <c r="G7" s="855">
        <f>IF(H8='Translate &amp; Prices'!B18,'Translate &amp; Prices'!B567,IF(H8='Translate &amp; Prices'!B19,'Translate &amp; Prices'!B567,IF(H8='Translate &amp; Prices'!B20,'Translate &amp; Prices'!B567,0)))</f>
        <v>0</v>
      </c>
      <c r="H7" s="855"/>
      <c r="I7" s="855"/>
      <c r="J7" s="855"/>
      <c r="K7" s="855"/>
      <c r="L7" s="855"/>
      <c r="M7" s="855"/>
      <c r="N7" s="855"/>
      <c r="O7" s="855"/>
      <c r="P7" s="855"/>
      <c r="Q7" s="855"/>
      <c r="R7" s="856"/>
      <c r="S7" s="798" t="str">
        <f>'Translate &amp; Prices'!$B$552</f>
        <v>Upozornění</v>
      </c>
      <c r="T7" s="798"/>
      <c r="U7" s="798"/>
      <c r="V7" s="400"/>
      <c r="W7" s="510"/>
      <c r="X7" s="400"/>
      <c r="Y7" s="400"/>
      <c r="Z7" s="400"/>
      <c r="AA7" s="519"/>
      <c r="AB7" s="520"/>
      <c r="AC7" s="521"/>
      <c r="AD7" s="521"/>
      <c r="AE7" s="521"/>
      <c r="AF7" s="521"/>
      <c r="AG7" s="522"/>
      <c r="AH7" s="522"/>
      <c r="AI7" s="523"/>
      <c r="AJ7" s="800">
        <v>0</v>
      </c>
      <c r="AK7" s="521"/>
      <c r="AL7" s="521"/>
      <c r="AM7" s="521"/>
      <c r="AN7" s="521"/>
      <c r="AO7" s="524"/>
      <c r="AP7" s="525"/>
      <c r="AQ7" s="858">
        <f>IFERROR(IF($AU$17&gt;2,'Translate &amp; Prices'!$B$557,0),0)</f>
        <v>0</v>
      </c>
      <c r="AR7" s="400"/>
      <c r="AS7" s="400"/>
      <c r="AT7" s="1229"/>
      <c r="AU7" s="1241" t="e">
        <f>VLOOKUP(H8,kombinace_4!$A:$B,2,0)</f>
        <v>#N/A</v>
      </c>
      <c r="AV7" s="1230" t="e">
        <f>IF(AU7=2,"Široký","Úzký")</f>
        <v>#N/A</v>
      </c>
      <c r="AW7" s="1227"/>
      <c r="AX7" s="1227"/>
      <c r="AY7" s="1227"/>
      <c r="AZ7" s="1227"/>
      <c r="BA7" s="1227"/>
      <c r="BB7" s="1227"/>
      <c r="BC7" s="1227"/>
    </row>
    <row r="8" spans="1:65" s="1228" customFormat="1" ht="30" customHeight="1" x14ac:dyDescent="0.3">
      <c r="A8" s="559"/>
      <c r="B8" s="823" t="str">
        <f>'Translate &amp; Prices'!$B$152</f>
        <v>Typ profilu</v>
      </c>
      <c r="C8" s="824"/>
      <c r="D8" s="824"/>
      <c r="E8" s="824"/>
      <c r="F8" s="824"/>
      <c r="G8" s="550"/>
      <c r="H8" s="852"/>
      <c r="I8" s="852"/>
      <c r="J8" s="852"/>
      <c r="K8" s="852"/>
      <c r="L8" s="852"/>
      <c r="M8" s="852"/>
      <c r="N8" s="852"/>
      <c r="O8" s="852"/>
      <c r="P8" s="852"/>
      <c r="Q8" s="853"/>
      <c r="R8" s="598"/>
      <c r="S8" s="868">
        <f>IF(AU10&gt;0,'Translate &amp; Prices'!B283,IF(H8=kombinace_1!A51,'Translate &amp; Prices'!B558,IF(H8=kombinace_1!A53,'Translate &amp; Prices'!B559,IF(H8=kombinace_1!A55,'Translate &amp; Prices'!B560,0))))</f>
        <v>0</v>
      </c>
      <c r="T8" s="869"/>
      <c r="U8" s="869"/>
      <c r="V8" s="869"/>
      <c r="W8" s="869"/>
      <c r="X8" s="869"/>
      <c r="Y8" s="870"/>
      <c r="Z8" s="400"/>
      <c r="AA8" s="527"/>
      <c r="AB8" s="507"/>
      <c r="AC8" s="806" t="str">
        <f>'Translate &amp; Prices'!$B$222</f>
        <v>Vzdálenost od kraje</v>
      </c>
      <c r="AD8" s="806"/>
      <c r="AE8" s="806"/>
      <c r="AF8" s="806"/>
      <c r="AG8" s="806"/>
      <c r="AH8" s="400"/>
      <c r="AI8" s="508"/>
      <c r="AJ8" s="800"/>
      <c r="AK8" s="400"/>
      <c r="AL8" s="400"/>
      <c r="AM8" s="400"/>
      <c r="AN8" s="400"/>
      <c r="AO8" s="400"/>
      <c r="AP8" s="527"/>
      <c r="AQ8" s="858"/>
      <c r="AR8" s="400"/>
      <c r="AS8" s="400"/>
      <c r="AT8" s="1232" t="e">
        <f>VLOOKUP(VLOOKUP(H8,'Translate &amp; Prices'!B60:C69,2,0),'Translate &amp; Prices'!B6:C570,2,0)</f>
        <v>#N/A</v>
      </c>
      <c r="AU8" s="1230"/>
      <c r="AV8" s="1230"/>
      <c r="AW8" s="1227"/>
    </row>
    <row r="9" spans="1:65" s="1228" customFormat="1" ht="15.6" customHeight="1" x14ac:dyDescent="0.3">
      <c r="A9" s="559"/>
      <c r="B9" s="823">
        <f>IFERROR(IF(VLOOKUP(H8,kombinace_4!$A:$D,4,0)=1,'Translate &amp; Prices'!$B$523,0),0)</f>
        <v>0</v>
      </c>
      <c r="C9" s="824"/>
      <c r="D9" s="824"/>
      <c r="E9" s="824"/>
      <c r="F9" s="824"/>
      <c r="G9" s="550"/>
      <c r="H9" s="756"/>
      <c r="I9" s="756"/>
      <c r="J9" s="756"/>
      <c r="K9" s="756"/>
      <c r="L9" s="756"/>
      <c r="M9" s="756"/>
      <c r="N9" s="756"/>
      <c r="O9" s="756"/>
      <c r="P9" s="756"/>
      <c r="Q9" s="825"/>
      <c r="R9" s="510"/>
      <c r="S9" s="846"/>
      <c r="T9" s="847"/>
      <c r="U9" s="847"/>
      <c r="V9" s="847"/>
      <c r="W9" s="847"/>
      <c r="X9" s="847"/>
      <c r="Y9" s="848"/>
      <c r="Z9" s="510"/>
      <c r="AA9" s="528"/>
      <c r="AB9" s="507"/>
      <c r="AC9" s="821">
        <v>0</v>
      </c>
      <c r="AD9" s="821"/>
      <c r="AE9" s="526"/>
      <c r="AF9" s="830" t="str">
        <f>('Translate &amp; Prices'!$B$528)&amp;" "&amp;H26&amp;" "&amp;"mm"</f>
        <v>Rozteč  mm</v>
      </c>
      <c r="AG9" s="830"/>
      <c r="AH9" s="830"/>
      <c r="AI9" s="830"/>
      <c r="AJ9" s="830"/>
      <c r="AK9" s="830"/>
      <c r="AL9" s="400"/>
      <c r="AM9" s="400"/>
      <c r="AN9" s="400"/>
      <c r="AO9" s="400"/>
      <c r="AP9" s="528"/>
      <c r="AQ9" s="858"/>
      <c r="AR9" s="400"/>
      <c r="AS9" s="400"/>
      <c r="AT9" s="1229">
        <f>VLOOKUP(VLOOKUP(H8,'Translate &amp; Prices'!B60:C651,2,0),'Translate &amp; Prices'!B3:D567,3,0)</f>
        <v>0</v>
      </c>
      <c r="AU9" s="1241" t="e">
        <f>VLOOKUP(H12,kombinace_4!$DP:$DQ,2,0)</f>
        <v>#N/A</v>
      </c>
      <c r="AV9" s="1230"/>
      <c r="AW9" s="1227"/>
    </row>
    <row r="10" spans="1:65" s="1228" customFormat="1" ht="18" customHeight="1" x14ac:dyDescent="0.3">
      <c r="A10" s="559"/>
      <c r="B10" s="562"/>
      <c r="C10" s="551"/>
      <c r="D10" s="551"/>
      <c r="E10" s="551"/>
      <c r="F10" s="551"/>
      <c r="G10" s="551"/>
      <c r="H10" s="871" t="str">
        <f>'Translate &amp; Prices'!$B$538</f>
        <v>Horizontálně</v>
      </c>
      <c r="I10" s="871"/>
      <c r="J10" s="871"/>
      <c r="K10" s="871"/>
      <c r="L10" s="873"/>
      <c r="M10" s="871" t="str">
        <f>'Translate &amp; Prices'!$B$539</f>
        <v>Vertikálně</v>
      </c>
      <c r="N10" s="871"/>
      <c r="O10" s="871"/>
      <c r="P10" s="871"/>
      <c r="Q10" s="872"/>
      <c r="R10" s="559"/>
      <c r="S10" s="846">
        <f>IF(AU10&gt;0,'Translate &amp; Prices'!B551,0)</f>
        <v>0</v>
      </c>
      <c r="T10" s="847"/>
      <c r="U10" s="847"/>
      <c r="V10" s="847"/>
      <c r="W10" s="847"/>
      <c r="X10" s="847"/>
      <c r="Y10" s="848"/>
      <c r="Z10" s="510"/>
      <c r="AA10" s="528"/>
      <c r="AB10" s="507"/>
      <c r="AC10" s="507"/>
      <c r="AD10" s="802">
        <v>0</v>
      </c>
      <c r="AE10" s="804" t="str">
        <f>'Translate &amp; Prices'!$B$222</f>
        <v>Vzdálenost od kraje</v>
      </c>
      <c r="AF10" s="400"/>
      <c r="AG10" s="400"/>
      <c r="AH10" s="400"/>
      <c r="AI10" s="508"/>
      <c r="AJ10" s="509"/>
      <c r="AK10" s="400"/>
      <c r="AL10" s="400"/>
      <c r="AM10" s="400"/>
      <c r="AN10" s="400"/>
      <c r="AO10" s="400"/>
      <c r="AP10" s="528"/>
      <c r="AQ10" s="858"/>
      <c r="AR10" s="400"/>
      <c r="AS10" s="400"/>
      <c r="AT10" s="1232" t="s">
        <v>2429</v>
      </c>
      <c r="AU10" s="1230">
        <f>IFERROR(VLOOKUP(H9,kombinace_4!$BY$13:$BZ$16,2,0),0)</f>
        <v>0</v>
      </c>
      <c r="AV10" s="1230"/>
      <c r="AW10" s="1227"/>
    </row>
    <row r="11" spans="1:65" s="1228" customFormat="1" ht="18" customHeight="1" x14ac:dyDescent="0.3">
      <c r="A11" s="559"/>
      <c r="B11" s="823" t="str">
        <f>('Translate &amp; Prices'!$B$523)&amp;" "&amp;"("&amp;'Translate &amp; Prices'!$B$154&amp;")"</f>
        <v>Dělící lišty (Počet kusů)</v>
      </c>
      <c r="C11" s="824"/>
      <c r="D11" s="824"/>
      <c r="E11" s="824"/>
      <c r="F11" s="824"/>
      <c r="G11" s="550"/>
      <c r="H11" s="756"/>
      <c r="I11" s="756"/>
      <c r="J11" s="756"/>
      <c r="K11" s="756"/>
      <c r="L11" s="863"/>
      <c r="M11" s="756"/>
      <c r="N11" s="756"/>
      <c r="O11" s="756"/>
      <c r="P11" s="756"/>
      <c r="Q11" s="825"/>
      <c r="R11" s="559"/>
      <c r="S11" s="846"/>
      <c r="T11" s="847"/>
      <c r="U11" s="847"/>
      <c r="V11" s="847"/>
      <c r="W11" s="847"/>
      <c r="X11" s="847"/>
      <c r="Y11" s="848"/>
      <c r="Z11" s="510"/>
      <c r="AA11" s="530"/>
      <c r="AB11" s="531"/>
      <c r="AC11" s="400"/>
      <c r="AD11" s="802"/>
      <c r="AE11" s="804"/>
      <c r="AF11" s="400"/>
      <c r="AG11" s="400"/>
      <c r="AH11" s="400"/>
      <c r="AI11" s="508"/>
      <c r="AJ11" s="509"/>
      <c r="AK11" s="400"/>
      <c r="AL11" s="400"/>
      <c r="AM11" s="400"/>
      <c r="AN11" s="400"/>
      <c r="AO11" s="532"/>
      <c r="AP11" s="525"/>
      <c r="AQ11" s="858"/>
      <c r="AR11" s="400"/>
      <c r="AS11" s="400"/>
      <c r="AT11" s="1242">
        <f>IFERROR(IF(kombinace_4!$H$1=TRUE,BA2+AY3,0),0)</f>
        <v>0</v>
      </c>
      <c r="AU11" s="1241"/>
      <c r="AV11" s="1230"/>
      <c r="AW11" s="1227"/>
    </row>
    <row r="12" spans="1:65" s="1228" customFormat="1" ht="18" customHeight="1" x14ac:dyDescent="0.3">
      <c r="A12" s="559"/>
      <c r="B12" s="823" t="str">
        <f>'Translate &amp; Prices'!$B$238</f>
        <v>Typ kování</v>
      </c>
      <c r="C12" s="824"/>
      <c r="D12" s="824"/>
      <c r="E12" s="824"/>
      <c r="F12" s="824"/>
      <c r="G12" s="550"/>
      <c r="H12" s="756"/>
      <c r="I12" s="756"/>
      <c r="J12" s="756"/>
      <c r="K12" s="756"/>
      <c r="L12" s="756"/>
      <c r="M12" s="756"/>
      <c r="N12" s="756"/>
      <c r="O12" s="756"/>
      <c r="P12" s="756"/>
      <c r="Q12" s="825"/>
      <c r="R12" s="559"/>
      <c r="S12" s="846"/>
      <c r="T12" s="847"/>
      <c r="U12" s="847"/>
      <c r="V12" s="847"/>
      <c r="W12" s="847"/>
      <c r="X12" s="847"/>
      <c r="Y12" s="848"/>
      <c r="Z12" s="510"/>
      <c r="AA12" s="530"/>
      <c r="AB12" s="531"/>
      <c r="AC12" s="400"/>
      <c r="AD12" s="802"/>
      <c r="AE12" s="804"/>
      <c r="AF12" s="400"/>
      <c r="AG12" s="400"/>
      <c r="AH12" s="400"/>
      <c r="AI12" s="508"/>
      <c r="AJ12" s="509"/>
      <c r="AK12" s="400"/>
      <c r="AL12" s="400"/>
      <c r="AM12" s="400"/>
      <c r="AN12" s="400"/>
      <c r="AO12" s="532"/>
      <c r="AP12" s="525"/>
      <c r="AQ12" s="858"/>
      <c r="AR12" s="400"/>
      <c r="AS12" s="400"/>
      <c r="AT12" s="1233"/>
      <c r="AU12" s="1230"/>
      <c r="AV12" s="1230"/>
      <c r="AW12" s="1227"/>
    </row>
    <row r="13" spans="1:65" s="1228" customFormat="1" ht="18" customHeight="1" x14ac:dyDescent="0.3">
      <c r="A13" s="559"/>
      <c r="B13" s="823" t="str">
        <f>'Translate &amp; Prices'!$B$524</f>
        <v>Značka kování</v>
      </c>
      <c r="C13" s="824"/>
      <c r="D13" s="824"/>
      <c r="E13" s="824"/>
      <c r="F13" s="824"/>
      <c r="G13" s="550"/>
      <c r="H13" s="756"/>
      <c r="I13" s="756"/>
      <c r="J13" s="756"/>
      <c r="K13" s="756"/>
      <c r="L13" s="756"/>
      <c r="M13" s="756"/>
      <c r="N13" s="756"/>
      <c r="O13" s="756"/>
      <c r="P13" s="756"/>
      <c r="Q13" s="825"/>
      <c r="R13" s="559"/>
      <c r="S13" s="846">
        <f>IF(H19&gt;=2,'Translate &amp; Prices'!B555,0)</f>
        <v>0</v>
      </c>
      <c r="T13" s="847"/>
      <c r="U13" s="847"/>
      <c r="V13" s="847"/>
      <c r="W13" s="847"/>
      <c r="X13" s="847"/>
      <c r="Y13" s="848"/>
      <c r="Z13" s="510"/>
      <c r="AA13" s="530"/>
      <c r="AB13" s="531"/>
      <c r="AC13" s="507"/>
      <c r="AD13" s="526"/>
      <c r="AE13" s="804"/>
      <c r="AF13" s="400"/>
      <c r="AG13" s="400"/>
      <c r="AH13" s="400"/>
      <c r="AI13" s="508"/>
      <c r="AJ13" s="509"/>
      <c r="AK13" s="400"/>
      <c r="AL13" s="400"/>
      <c r="AM13" s="400"/>
      <c r="AN13" s="400"/>
      <c r="AO13" s="532"/>
      <c r="AP13" s="525"/>
      <c r="AQ13" s="858"/>
      <c r="AR13" s="529"/>
      <c r="AS13" s="400"/>
      <c r="AT13" s="1243">
        <f>IFERROR((((AI30/1000)+(AR14/1000))*2)*(VLOOKUP(H8,'Translate &amp; Prices'!B6:C67,2,0))+(VLOOKUP(H8,'Translate &amp; Prices'!B6:D67,3,0)),0)</f>
        <v>0</v>
      </c>
      <c r="AU13" s="1241"/>
      <c r="AV13" s="1230"/>
      <c r="AW13" s="1227"/>
    </row>
    <row r="14" spans="1:65" s="1228" customFormat="1" ht="18" customHeight="1" x14ac:dyDescent="0.3">
      <c r="A14" s="559"/>
      <c r="B14" s="823">
        <f>IFERROR(IF(H12='Translate &amp; Prices'!B531,'Translate &amp; Prices'!$B$526,0),0)</f>
        <v>0</v>
      </c>
      <c r="C14" s="824"/>
      <c r="D14" s="824"/>
      <c r="E14" s="824"/>
      <c r="F14" s="824"/>
      <c r="G14" s="550"/>
      <c r="H14" s="756"/>
      <c r="I14" s="756"/>
      <c r="J14" s="756"/>
      <c r="K14" s="756"/>
      <c r="L14" s="756"/>
      <c r="M14" s="756"/>
      <c r="N14" s="756"/>
      <c r="O14" s="756"/>
      <c r="P14" s="756"/>
      <c r="Q14" s="825"/>
      <c r="R14" s="559"/>
      <c r="S14" s="846"/>
      <c r="T14" s="847"/>
      <c r="U14" s="847"/>
      <c r="V14" s="847"/>
      <c r="W14" s="847"/>
      <c r="X14" s="847"/>
      <c r="Y14" s="848"/>
      <c r="Z14" s="510"/>
      <c r="AA14" s="530"/>
      <c r="AB14" s="531"/>
      <c r="AC14" s="507"/>
      <c r="AD14" s="851" t="str">
        <f>('Translate &amp; Prices'!$B$528)&amp;" "&amp;H26&amp;" "&amp;"mm"</f>
        <v>Rozteč  mm</v>
      </c>
      <c r="AE14" s="804"/>
      <c r="AF14" s="400"/>
      <c r="AG14" s="400"/>
      <c r="AH14" s="400"/>
      <c r="AI14" s="508"/>
      <c r="AJ14" s="509"/>
      <c r="AK14" s="400"/>
      <c r="AL14" s="400"/>
      <c r="AM14" s="799" t="str">
        <f>('Translate &amp; Prices'!$B$528)&amp;" "&amp;H26&amp;" "&amp;"mm"</f>
        <v>Rozteč  mm</v>
      </c>
      <c r="AN14" s="400"/>
      <c r="AO14" s="533"/>
      <c r="AP14" s="525"/>
      <c r="AQ14" s="858"/>
      <c r="AR14" s="859"/>
      <c r="AS14" s="400"/>
      <c r="AT14" s="1242"/>
      <c r="AU14" s="1244"/>
      <c r="AV14" s="1230"/>
      <c r="AW14" s="1227"/>
    </row>
    <row r="15" spans="1:65" s="1228" customFormat="1" ht="18" customHeight="1" x14ac:dyDescent="0.3">
      <c r="A15" s="559"/>
      <c r="B15" s="823" t="str">
        <f>'Translate &amp; Prices'!$B$525</f>
        <v>Varianta kování</v>
      </c>
      <c r="C15" s="824"/>
      <c r="D15" s="824"/>
      <c r="E15" s="824"/>
      <c r="F15" s="824"/>
      <c r="G15" s="550"/>
      <c r="H15" s="837"/>
      <c r="I15" s="837"/>
      <c r="J15" s="837"/>
      <c r="K15" s="837"/>
      <c r="L15" s="837"/>
      <c r="M15" s="837"/>
      <c r="N15" s="837"/>
      <c r="O15" s="837"/>
      <c r="P15" s="837"/>
      <c r="Q15" s="838"/>
      <c r="R15" s="559"/>
      <c r="S15" s="846"/>
      <c r="T15" s="847"/>
      <c r="U15" s="847"/>
      <c r="V15" s="847"/>
      <c r="W15" s="847"/>
      <c r="X15" s="847"/>
      <c r="Y15" s="848"/>
      <c r="Z15" s="510"/>
      <c r="AA15" s="530"/>
      <c r="AB15" s="534"/>
      <c r="AC15" s="400"/>
      <c r="AD15" s="851"/>
      <c r="AE15" s="804"/>
      <c r="AF15" s="400"/>
      <c r="AG15" s="400"/>
      <c r="AH15" s="400"/>
      <c r="AI15" s="508"/>
      <c r="AJ15" s="509"/>
      <c r="AK15" s="400"/>
      <c r="AL15" s="400"/>
      <c r="AM15" s="799"/>
      <c r="AN15" s="400"/>
      <c r="AO15" s="533"/>
      <c r="AP15" s="525"/>
      <c r="AQ15" s="858"/>
      <c r="AR15" s="859"/>
      <c r="AS15" s="400"/>
      <c r="AT15" s="1242">
        <f>((BD3+BI3)*2)*'Translate &amp; Prices'!C80</f>
        <v>0</v>
      </c>
      <c r="AU15" s="1244"/>
      <c r="AV15" s="1230"/>
      <c r="AW15" s="1227"/>
    </row>
    <row r="16" spans="1:65" s="1228" customFormat="1" ht="18" customHeight="1" x14ac:dyDescent="0.3">
      <c r="A16" s="559"/>
      <c r="B16" s="843" t="str">
        <f>IF(H15=kombinace_1!AB40,'Translate &amp; Prices'!$B$204,IF(H15=kombinace_1!AB41,'Translate &amp; Prices'!$B$204,'Translate &amp; Prices'!$B$198))</f>
        <v>Výběr pozice rámečku</v>
      </c>
      <c r="C16" s="835"/>
      <c r="D16" s="835"/>
      <c r="E16" s="835"/>
      <c r="F16" s="854"/>
      <c r="G16" s="854"/>
      <c r="H16" s="854"/>
      <c r="I16" s="854"/>
      <c r="J16" s="835" t="str">
        <f>IF(H15=kombinace_1!AB40,'Translate &amp; Prices'!$B$206,IF(H15=kombinace_1!AB41,'Translate &amp; Prices'!$B$206,'Translate &amp; Prices'!$B$212))</f>
        <v>Provedení druhého dvířka</v>
      </c>
      <c r="K16" s="835"/>
      <c r="L16" s="835"/>
      <c r="M16" s="835"/>
      <c r="N16" s="833"/>
      <c r="O16" s="833"/>
      <c r="P16" s="833"/>
      <c r="Q16" s="834"/>
      <c r="R16" s="559"/>
      <c r="S16" s="846"/>
      <c r="T16" s="847"/>
      <c r="U16" s="847"/>
      <c r="V16" s="847"/>
      <c r="W16" s="847"/>
      <c r="X16" s="847"/>
      <c r="Y16" s="848"/>
      <c r="Z16" s="510"/>
      <c r="AA16" s="530"/>
      <c r="AB16" s="534"/>
      <c r="AC16" s="507"/>
      <c r="AD16" s="851"/>
      <c r="AE16" s="804"/>
      <c r="AF16" s="400"/>
      <c r="AG16" s="400"/>
      <c r="AH16" s="400"/>
      <c r="AI16" s="508"/>
      <c r="AJ16" s="509"/>
      <c r="AK16" s="400"/>
      <c r="AL16" s="400"/>
      <c r="AM16" s="799"/>
      <c r="AN16" s="400"/>
      <c r="AO16" s="533"/>
      <c r="AP16" s="525"/>
      <c r="AQ16" s="858"/>
      <c r="AR16" s="859"/>
      <c r="AS16" s="400"/>
      <c r="AT16" s="1242"/>
      <c r="AU16" s="1244"/>
      <c r="AV16" s="1230"/>
      <c r="AW16" s="1227"/>
    </row>
    <row r="17" spans="1:49" s="1228" customFormat="1" ht="18" customHeight="1" x14ac:dyDescent="0.3">
      <c r="A17" s="559"/>
      <c r="B17" s="823">
        <f>IF(H12='Translate &amp; Prices'!B531,"Umístění závěsů",IF(H15=kombinace_1!AB8,'Translate &amp; Prices'!B264,0))</f>
        <v>0</v>
      </c>
      <c r="C17" s="824"/>
      <c r="D17" s="824"/>
      <c r="E17" s="824"/>
      <c r="F17" s="824"/>
      <c r="G17" s="550"/>
      <c r="H17" s="756"/>
      <c r="I17" s="756"/>
      <c r="J17" s="756"/>
      <c r="K17" s="756"/>
      <c r="L17" s="756"/>
      <c r="M17" s="756"/>
      <c r="N17" s="756"/>
      <c r="O17" s="756"/>
      <c r="P17" s="756"/>
      <c r="Q17" s="825"/>
      <c r="R17" s="559"/>
      <c r="S17" s="846"/>
      <c r="T17" s="847"/>
      <c r="U17" s="847"/>
      <c r="V17" s="847"/>
      <c r="W17" s="847"/>
      <c r="X17" s="847"/>
      <c r="Y17" s="848"/>
      <c r="Z17" s="510"/>
      <c r="AA17" s="530"/>
      <c r="AB17" s="534"/>
      <c r="AC17" s="507"/>
      <c r="AD17" s="851"/>
      <c r="AE17" s="400"/>
      <c r="AF17" s="400"/>
      <c r="AG17" s="400"/>
      <c r="AH17" s="400"/>
      <c r="AI17" s="508"/>
      <c r="AJ17" s="509"/>
      <c r="AK17" s="400"/>
      <c r="AL17" s="400"/>
      <c r="AM17" s="799"/>
      <c r="AN17" s="400"/>
      <c r="AO17" s="533"/>
      <c r="AP17" s="525"/>
      <c r="AQ17" s="858"/>
      <c r="AR17" s="859"/>
      <c r="AS17" s="400"/>
      <c r="AT17" s="1242">
        <f>IF(AU10=1,BD3*'Translate &amp; Prices'!C53,IF(AU10=2,BI3*'Translate &amp; Prices'!C53,IF(AU10=3,(BD3+BI3)*'Translate &amp; Prices'!C53,IF(AU10=0,0))))</f>
        <v>0</v>
      </c>
      <c r="AU17" s="1245" t="e">
        <f>VLOOKUP(H17,kombinace_4!$BY:$BZ,2,0)</f>
        <v>#N/A</v>
      </c>
      <c r="AV17" s="1230"/>
      <c r="AW17" s="1227"/>
    </row>
    <row r="18" spans="1:49" s="1228" customFormat="1" ht="18" customHeight="1" x14ac:dyDescent="0.3">
      <c r="A18" s="559"/>
      <c r="B18" s="823">
        <f>IFERROR(IF(VLOOKUP(H15,kombinace_4!CD:CE,2,0)=1,'Translate &amp; Prices'!$B$527,0),0)</f>
        <v>0</v>
      </c>
      <c r="C18" s="824"/>
      <c r="D18" s="824"/>
      <c r="E18" s="824"/>
      <c r="F18" s="824"/>
      <c r="G18" s="550"/>
      <c r="H18" s="756"/>
      <c r="I18" s="756"/>
      <c r="J18" s="756"/>
      <c r="K18" s="756"/>
      <c r="L18" s="756"/>
      <c r="M18" s="756"/>
      <c r="N18" s="756"/>
      <c r="O18" s="756"/>
      <c r="P18" s="756"/>
      <c r="Q18" s="825"/>
      <c r="R18" s="559"/>
      <c r="S18" s="846">
        <f>IF(H27&gt;"",'Translate &amp; Prices'!B556,0)</f>
        <v>0</v>
      </c>
      <c r="T18" s="847"/>
      <c r="U18" s="847"/>
      <c r="V18" s="847"/>
      <c r="W18" s="847"/>
      <c r="X18" s="847"/>
      <c r="Y18" s="848"/>
      <c r="Z18" s="510"/>
      <c r="AA18" s="530"/>
      <c r="AB18" s="534"/>
      <c r="AC18" s="507"/>
      <c r="AD18" s="851"/>
      <c r="AE18" s="400"/>
      <c r="AF18" s="400"/>
      <c r="AG18" s="400"/>
      <c r="AH18" s="400"/>
      <c r="AI18" s="508"/>
      <c r="AJ18" s="509"/>
      <c r="AK18" s="400"/>
      <c r="AL18" s="400"/>
      <c r="AM18" s="799"/>
      <c r="AN18" s="400"/>
      <c r="AO18" s="533"/>
      <c r="AP18" s="525"/>
      <c r="AQ18" s="858"/>
      <c r="AR18" s="859"/>
      <c r="AS18" s="400"/>
      <c r="AT18" s="1242"/>
      <c r="AU18" s="1244"/>
      <c r="AV18" s="1230"/>
      <c r="AW18" s="1227"/>
    </row>
    <row r="19" spans="1:49" s="1228" customFormat="1" ht="18" customHeight="1" x14ac:dyDescent="0.3">
      <c r="A19" s="559"/>
      <c r="B19" s="823">
        <f>IFERROR(IF(H12='Translate &amp; Prices'!B531,'Translate &amp; Prices'!$B$203,IF(VLOOKUP(H15,kombinace_4!CD:CE,2,0)=1,'Translate &amp; Prices'!$B$203,)),0)</f>
        <v>0</v>
      </c>
      <c r="C19" s="824"/>
      <c r="D19" s="824"/>
      <c r="E19" s="824"/>
      <c r="F19" s="824"/>
      <c r="G19" s="550"/>
      <c r="H19" s="756"/>
      <c r="I19" s="756"/>
      <c r="J19" s="756"/>
      <c r="K19" s="756"/>
      <c r="L19" s="756"/>
      <c r="M19" s="756"/>
      <c r="N19" s="756"/>
      <c r="O19" s="756"/>
      <c r="P19" s="756"/>
      <c r="Q19" s="825"/>
      <c r="R19" s="559"/>
      <c r="S19" s="846"/>
      <c r="T19" s="847"/>
      <c r="U19" s="847"/>
      <c r="V19" s="847"/>
      <c r="W19" s="847"/>
      <c r="X19" s="847"/>
      <c r="Y19" s="848"/>
      <c r="Z19" s="510"/>
      <c r="AA19" s="528"/>
      <c r="AB19" s="803">
        <v>0</v>
      </c>
      <c r="AC19" s="803"/>
      <c r="AD19" s="851"/>
      <c r="AE19" s="400"/>
      <c r="AF19" s="400"/>
      <c r="AG19" s="400"/>
      <c r="AH19" s="400"/>
      <c r="AI19" s="508"/>
      <c r="AJ19" s="509"/>
      <c r="AK19" s="400"/>
      <c r="AL19" s="807" t="str">
        <f>'Translate &amp; Prices'!$B$222</f>
        <v>Vzdálenost od kraje</v>
      </c>
      <c r="AM19" s="799"/>
      <c r="AN19" s="803">
        <v>0</v>
      </c>
      <c r="AO19" s="803"/>
      <c r="AP19" s="527"/>
      <c r="AQ19" s="858"/>
      <c r="AR19" s="805" t="str">
        <f>'Translate &amp; Prices'!$B$156</f>
        <v>Výška</v>
      </c>
      <c r="AS19" s="400"/>
      <c r="AT19" s="1242"/>
      <c r="AU19" s="1244">
        <f>IFERROR(VLOOKUP(H15,kombinace_4!$CD:$CF,3,0),0)</f>
        <v>0</v>
      </c>
      <c r="AV19" s="1230"/>
      <c r="AW19" s="1227"/>
    </row>
    <row r="20" spans="1:49" s="1228" customFormat="1" ht="18" customHeight="1" x14ac:dyDescent="0.3">
      <c r="A20" s="559"/>
      <c r="B20" s="827">
        <f>IFERROR('Translate &amp; Prices'!$B$222&amp;" "&amp;(VLOOKUP(H17,kombinace_1!$BY$32:$CA$35,2,0)),0)</f>
        <v>0</v>
      </c>
      <c r="C20" s="828"/>
      <c r="D20" s="828"/>
      <c r="E20" s="828"/>
      <c r="F20" s="829">
        <v>100</v>
      </c>
      <c r="G20" s="829"/>
      <c r="H20" s="829"/>
      <c r="I20" s="829"/>
      <c r="J20" s="828">
        <f>IFERROR('Translate &amp; Prices'!$B$222&amp;" "&amp;(VLOOKUP(H17,kombinace_1!$BY$32:$CA$35,3,0)),0)</f>
        <v>0</v>
      </c>
      <c r="K20" s="828"/>
      <c r="L20" s="828"/>
      <c r="M20" s="828"/>
      <c r="N20" s="829">
        <v>100</v>
      </c>
      <c r="O20" s="829"/>
      <c r="P20" s="829"/>
      <c r="Q20" s="839"/>
      <c r="R20" s="559"/>
      <c r="S20" s="846"/>
      <c r="T20" s="847"/>
      <c r="U20" s="847"/>
      <c r="V20" s="847"/>
      <c r="W20" s="847"/>
      <c r="X20" s="847"/>
      <c r="Y20" s="848"/>
      <c r="Z20" s="510"/>
      <c r="AA20" s="530"/>
      <c r="AB20" s="531"/>
      <c r="AC20" s="507"/>
      <c r="AD20" s="851"/>
      <c r="AE20" s="400"/>
      <c r="AF20" s="400"/>
      <c r="AG20" s="400"/>
      <c r="AH20" s="400"/>
      <c r="AI20" s="508"/>
      <c r="AJ20" s="509"/>
      <c r="AK20" s="400"/>
      <c r="AL20" s="807"/>
      <c r="AM20" s="799"/>
      <c r="AN20" s="400"/>
      <c r="AO20" s="533"/>
      <c r="AP20" s="525"/>
      <c r="AQ20" s="858"/>
      <c r="AR20" s="805"/>
      <c r="AS20" s="400"/>
      <c r="AT20" s="1242"/>
      <c r="AU20" s="1244"/>
      <c r="AV20" s="1230"/>
      <c r="AW20" s="1227"/>
    </row>
    <row r="21" spans="1:49" s="1228" customFormat="1" ht="18" customHeight="1" x14ac:dyDescent="0.3">
      <c r="A21" s="559"/>
      <c r="B21" s="823" t="str">
        <f>'Translate &amp; Prices'!$B$153</f>
        <v>Typ skla</v>
      </c>
      <c r="C21" s="824"/>
      <c r="D21" s="824"/>
      <c r="E21" s="824"/>
      <c r="F21" s="824"/>
      <c r="G21" s="550"/>
      <c r="H21" s="775" t="str">
        <f>'Translate &amp; Prices'!$B$85</f>
        <v>Bez úprav</v>
      </c>
      <c r="I21" s="776"/>
      <c r="J21" s="776"/>
      <c r="K21" s="770" t="str">
        <f>'Translate &amp; Prices'!$B$83</f>
        <v>Kalené</v>
      </c>
      <c r="L21" s="770"/>
      <c r="M21" s="770"/>
      <c r="N21" s="770" t="str">
        <f>'Translate &amp; Prices'!$B$84</f>
        <v>Folie</v>
      </c>
      <c r="O21" s="770"/>
      <c r="P21" s="770"/>
      <c r="Q21" s="840"/>
      <c r="R21" s="559"/>
      <c r="S21" s="846"/>
      <c r="T21" s="847"/>
      <c r="U21" s="847"/>
      <c r="V21" s="847"/>
      <c r="W21" s="847"/>
      <c r="X21" s="847"/>
      <c r="Y21" s="848"/>
      <c r="Z21" s="510"/>
      <c r="AA21" s="530"/>
      <c r="AB21" s="531"/>
      <c r="AC21" s="400"/>
      <c r="AD21" s="851"/>
      <c r="AE21" s="400"/>
      <c r="AF21" s="400"/>
      <c r="AG21" s="400"/>
      <c r="AH21" s="400"/>
      <c r="AI21" s="508"/>
      <c r="AJ21" s="509"/>
      <c r="AK21" s="400"/>
      <c r="AL21" s="807"/>
      <c r="AM21" s="799"/>
      <c r="AN21" s="400"/>
      <c r="AO21" s="532"/>
      <c r="AP21" s="525"/>
      <c r="AQ21" s="858"/>
      <c r="AR21" s="805"/>
      <c r="AS21" s="400"/>
      <c r="AT21" s="1242"/>
      <c r="AU21" s="1244"/>
      <c r="AV21" s="1230"/>
      <c r="AW21" s="1227"/>
    </row>
    <row r="22" spans="1:49" s="1228" customFormat="1" ht="18" customHeight="1" x14ac:dyDescent="0.3">
      <c r="A22" s="559"/>
      <c r="B22" s="562"/>
      <c r="C22" s="551"/>
      <c r="D22" s="551"/>
      <c r="E22" s="551"/>
      <c r="F22" s="551"/>
      <c r="G22" s="551"/>
      <c r="H22" s="775"/>
      <c r="I22" s="776"/>
      <c r="J22" s="776"/>
      <c r="K22" s="770"/>
      <c r="L22" s="770"/>
      <c r="M22" s="770"/>
      <c r="N22" s="770"/>
      <c r="O22" s="770"/>
      <c r="P22" s="770"/>
      <c r="Q22" s="840"/>
      <c r="R22" s="559"/>
      <c r="S22" s="846"/>
      <c r="T22" s="847"/>
      <c r="U22" s="847"/>
      <c r="V22" s="847"/>
      <c r="W22" s="847"/>
      <c r="X22" s="847"/>
      <c r="Y22" s="848"/>
      <c r="Z22" s="510"/>
      <c r="AA22" s="530"/>
      <c r="AB22" s="531"/>
      <c r="AC22" s="400"/>
      <c r="AD22" s="400"/>
      <c r="AE22" s="400"/>
      <c r="AF22" s="400"/>
      <c r="AG22" s="400"/>
      <c r="AH22" s="400"/>
      <c r="AI22" s="508"/>
      <c r="AJ22" s="509"/>
      <c r="AK22" s="400"/>
      <c r="AL22" s="807"/>
      <c r="AM22" s="526"/>
      <c r="AN22" s="400"/>
      <c r="AO22" s="532"/>
      <c r="AP22" s="525"/>
      <c r="AQ22" s="858"/>
      <c r="AR22" s="805"/>
      <c r="AS22" s="400"/>
      <c r="AT22" s="1242"/>
      <c r="AU22" s="1244"/>
      <c r="AV22" s="1230"/>
      <c r="AW22" s="1227"/>
    </row>
    <row r="23" spans="1:49" s="1228" customFormat="1" ht="18" customHeight="1" x14ac:dyDescent="0.3">
      <c r="A23" s="559"/>
      <c r="B23" s="562"/>
      <c r="C23" s="551"/>
      <c r="D23" s="551"/>
      <c r="E23" s="551"/>
      <c r="F23" s="551"/>
      <c r="G23" s="551"/>
      <c r="H23" s="771" t="str">
        <f>"↥↥"&amp;"   "&amp;'Translate &amp; Prices'!$B$553&amp;" "&amp;B25&amp;"   "&amp;"↥↥"</f>
        <v>↥↥   Již neměnit po tom co vyberete Typ skla   ↥↥</v>
      </c>
      <c r="I23" s="771"/>
      <c r="J23" s="771"/>
      <c r="K23" s="771"/>
      <c r="L23" s="771"/>
      <c r="M23" s="771"/>
      <c r="N23" s="771"/>
      <c r="O23" s="771"/>
      <c r="P23" s="771"/>
      <c r="Q23" s="844"/>
      <c r="R23" s="559"/>
      <c r="S23" s="865"/>
      <c r="T23" s="866"/>
      <c r="U23" s="866"/>
      <c r="V23" s="866"/>
      <c r="W23" s="866"/>
      <c r="X23" s="866"/>
      <c r="Y23" s="867"/>
      <c r="Z23" s="510"/>
      <c r="AA23" s="530"/>
      <c r="AB23" s="531"/>
      <c r="AC23" s="507"/>
      <c r="AD23" s="400"/>
      <c r="AE23" s="400"/>
      <c r="AF23" s="400"/>
      <c r="AG23" s="400"/>
      <c r="AH23" s="400"/>
      <c r="AI23" s="508"/>
      <c r="AJ23" s="509"/>
      <c r="AK23" s="400"/>
      <c r="AL23" s="807"/>
      <c r="AM23" s="800">
        <v>0</v>
      </c>
      <c r="AN23" s="400"/>
      <c r="AO23" s="532"/>
      <c r="AP23" s="525"/>
      <c r="AQ23" s="858"/>
      <c r="AR23" s="805"/>
      <c r="AS23" s="400"/>
      <c r="AT23" s="1242"/>
      <c r="AU23" s="1244" t="e">
        <f>VLOOKUP(H17,kombinace_4!$BY:$BZ,2,0)</f>
        <v>#N/A</v>
      </c>
      <c r="AV23" s="1230"/>
      <c r="AW23" s="1227"/>
    </row>
    <row r="24" spans="1:49" s="1228" customFormat="1" ht="18" customHeight="1" x14ac:dyDescent="0.3">
      <c r="A24" s="559"/>
      <c r="B24" s="823" t="str">
        <f>'Translate &amp; Prices'!$B$542</f>
        <v>Typ folie</v>
      </c>
      <c r="C24" s="824"/>
      <c r="D24" s="824"/>
      <c r="E24" s="824"/>
      <c r="F24" s="824"/>
      <c r="G24" s="550"/>
      <c r="H24" s="756"/>
      <c r="I24" s="756"/>
      <c r="J24" s="756"/>
      <c r="K24" s="756"/>
      <c r="L24" s="756"/>
      <c r="M24" s="756"/>
      <c r="N24" s="756"/>
      <c r="O24" s="756"/>
      <c r="P24" s="756"/>
      <c r="Q24" s="825"/>
      <c r="R24" s="559"/>
      <c r="S24" s="798" t="str">
        <f>'Translate &amp; Prices'!$B$157</f>
        <v>Poznámky</v>
      </c>
      <c r="T24" s="798"/>
      <c r="U24" s="798"/>
      <c r="V24" s="570"/>
      <c r="W24" s="570"/>
      <c r="X24" s="570"/>
      <c r="Y24" s="570"/>
      <c r="Z24" s="510"/>
      <c r="AA24" s="530"/>
      <c r="AB24" s="531"/>
      <c r="AC24" s="822" t="str">
        <f>'Translate &amp; Prices'!$B$222</f>
        <v>Vzdálenost od kraje</v>
      </c>
      <c r="AD24" s="822"/>
      <c r="AE24" s="822"/>
      <c r="AF24" s="822"/>
      <c r="AG24" s="822"/>
      <c r="AH24" s="400"/>
      <c r="AI24" s="508"/>
      <c r="AJ24" s="509"/>
      <c r="AK24" s="400"/>
      <c r="AL24" s="807"/>
      <c r="AM24" s="800"/>
      <c r="AN24" s="400"/>
      <c r="AO24" s="532"/>
      <c r="AP24" s="535"/>
      <c r="AQ24" s="858"/>
      <c r="AR24" s="529"/>
      <c r="AS24" s="400"/>
      <c r="AT24" s="1242"/>
      <c r="AU24" s="1244" t="e">
        <f>CONCATENATE(AU23,"_",H19)</f>
        <v>#N/A</v>
      </c>
      <c r="AV24" s="1230"/>
      <c r="AW24" s="1227"/>
    </row>
    <row r="25" spans="1:49" s="1228" customFormat="1" ht="18" customHeight="1" x14ac:dyDescent="0.3">
      <c r="A25" s="559"/>
      <c r="B25" s="823" t="str">
        <f>'Translate &amp; Prices'!$B$153</f>
        <v>Typ skla</v>
      </c>
      <c r="C25" s="824"/>
      <c r="D25" s="824"/>
      <c r="E25" s="824"/>
      <c r="F25" s="824"/>
      <c r="G25" s="550"/>
      <c r="H25" s="756"/>
      <c r="I25" s="756"/>
      <c r="J25" s="756"/>
      <c r="K25" s="756"/>
      <c r="L25" s="756"/>
      <c r="M25" s="756"/>
      <c r="N25" s="756"/>
      <c r="O25" s="756"/>
      <c r="P25" s="756"/>
      <c r="Q25" s="825"/>
      <c r="R25" s="559"/>
      <c r="S25" s="808"/>
      <c r="T25" s="809"/>
      <c r="U25" s="809"/>
      <c r="V25" s="809"/>
      <c r="W25" s="809"/>
      <c r="X25" s="809"/>
      <c r="Y25" s="810"/>
      <c r="Z25" s="510"/>
      <c r="AA25" s="530"/>
      <c r="AB25" s="531"/>
      <c r="AC25" s="803">
        <v>0</v>
      </c>
      <c r="AD25" s="803"/>
      <c r="AE25" s="526"/>
      <c r="AF25" s="830" t="str">
        <f>('Translate &amp; Prices'!$B$528)&amp;" "&amp;H26&amp;" "&amp;"mm"</f>
        <v>Rozteč  mm</v>
      </c>
      <c r="AG25" s="830"/>
      <c r="AH25" s="830"/>
      <c r="AI25" s="830"/>
      <c r="AJ25" s="830"/>
      <c r="AK25" s="830"/>
      <c r="AL25" s="807"/>
      <c r="AM25" s="800"/>
      <c r="AN25" s="400"/>
      <c r="AO25" s="532"/>
      <c r="AP25" s="535"/>
      <c r="AQ25" s="858"/>
      <c r="AR25" s="400"/>
      <c r="AS25" s="400"/>
      <c r="AT25" s="1242"/>
      <c r="AU25" s="1245" t="e">
        <f>VLOOKUP(H27,kombinace_4!$BY:$BZ,2,0)</f>
        <v>#N/A</v>
      </c>
      <c r="AV25" s="1230"/>
      <c r="AW25" s="1227"/>
    </row>
    <row r="26" spans="1:49" s="1228" customFormat="1" ht="18" customHeight="1" x14ac:dyDescent="0.3">
      <c r="A26" s="559"/>
      <c r="B26" s="823" t="str">
        <f>'Translate &amp; Prices'!$B$529</f>
        <v>Rozteč úchytky (mm)</v>
      </c>
      <c r="C26" s="824"/>
      <c r="D26" s="824"/>
      <c r="E26" s="824"/>
      <c r="F26" s="824"/>
      <c r="G26" s="550"/>
      <c r="H26" s="773"/>
      <c r="I26" s="773"/>
      <c r="J26" s="773"/>
      <c r="K26" s="773"/>
      <c r="L26" s="773"/>
      <c r="M26" s="773"/>
      <c r="N26" s="773"/>
      <c r="O26" s="773"/>
      <c r="P26" s="773"/>
      <c r="Q26" s="836"/>
      <c r="R26" s="559"/>
      <c r="S26" s="811"/>
      <c r="T26" s="812"/>
      <c r="U26" s="812"/>
      <c r="V26" s="812"/>
      <c r="W26" s="812"/>
      <c r="X26" s="812"/>
      <c r="Y26" s="813"/>
      <c r="Z26" s="510"/>
      <c r="AA26" s="530"/>
      <c r="AB26" s="531"/>
      <c r="AC26" s="400"/>
      <c r="AD26" s="400"/>
      <c r="AE26" s="400"/>
      <c r="AF26" s="400"/>
      <c r="AG26" s="400"/>
      <c r="AH26" s="400"/>
      <c r="AI26" s="508"/>
      <c r="AJ26" s="802">
        <v>0</v>
      </c>
      <c r="AK26" s="400"/>
      <c r="AL26" s="400"/>
      <c r="AM26" s="400"/>
      <c r="AN26" s="400"/>
      <c r="AO26" s="532"/>
      <c r="AP26" s="525"/>
      <c r="AQ26" s="858"/>
      <c r="AR26" s="400"/>
      <c r="AS26" s="400"/>
      <c r="AT26" s="1242"/>
      <c r="AU26" s="1226"/>
      <c r="AV26" s="1226"/>
      <c r="AW26" s="1227"/>
    </row>
    <row r="27" spans="1:49" s="1228" customFormat="1" ht="18" customHeight="1" x14ac:dyDescent="0.3">
      <c r="A27" s="559"/>
      <c r="B27" s="823" t="str">
        <f>'Translate &amp; Prices'!$B$530</f>
        <v>Umístění úchytky</v>
      </c>
      <c r="C27" s="824"/>
      <c r="D27" s="824"/>
      <c r="E27" s="824"/>
      <c r="F27" s="824"/>
      <c r="G27" s="550"/>
      <c r="H27" s="756"/>
      <c r="I27" s="756"/>
      <c r="J27" s="756"/>
      <c r="K27" s="756"/>
      <c r="L27" s="756"/>
      <c r="M27" s="756"/>
      <c r="N27" s="756"/>
      <c r="O27" s="756"/>
      <c r="P27" s="756"/>
      <c r="Q27" s="825"/>
      <c r="R27" s="559"/>
      <c r="S27" s="811"/>
      <c r="T27" s="812"/>
      <c r="U27" s="812"/>
      <c r="V27" s="812"/>
      <c r="W27" s="812"/>
      <c r="X27" s="812"/>
      <c r="Y27" s="813"/>
      <c r="Z27" s="510"/>
      <c r="AA27" s="519"/>
      <c r="AB27" s="536"/>
      <c r="AC27" s="537"/>
      <c r="AD27" s="537"/>
      <c r="AE27" s="537"/>
      <c r="AF27" s="537"/>
      <c r="AG27" s="537"/>
      <c r="AH27" s="538"/>
      <c r="AI27" s="539"/>
      <c r="AJ27" s="802"/>
      <c r="AK27" s="537"/>
      <c r="AL27" s="537"/>
      <c r="AM27" s="537"/>
      <c r="AN27" s="537"/>
      <c r="AO27" s="540"/>
      <c r="AP27" s="525"/>
      <c r="AQ27" s="858"/>
      <c r="AR27" s="400"/>
      <c r="AS27" s="400"/>
      <c r="AT27" s="1242"/>
      <c r="AU27" s="1226"/>
      <c r="AV27" s="1226"/>
      <c r="AW27" s="1227"/>
    </row>
    <row r="28" spans="1:49" s="1228" customFormat="1" ht="18" customHeight="1" x14ac:dyDescent="0.3">
      <c r="A28" s="559"/>
      <c r="B28" s="823" t="str">
        <f>('Translate &amp; Prices'!$B$154)&amp;" "&amp;"-"&amp;" "&amp;('Translate &amp; Prices'!$B$149)&amp;" "&amp;" "&amp;4</f>
        <v>Počet kusů - Rámeček  4</v>
      </c>
      <c r="C28" s="824"/>
      <c r="D28" s="824"/>
      <c r="E28" s="824"/>
      <c r="F28" s="824"/>
      <c r="G28" s="550"/>
      <c r="H28" s="756"/>
      <c r="I28" s="756"/>
      <c r="J28" s="756"/>
      <c r="K28" s="756"/>
      <c r="L28" s="756"/>
      <c r="M28" s="756"/>
      <c r="N28" s="756"/>
      <c r="O28" s="756"/>
      <c r="P28" s="756"/>
      <c r="Q28" s="825"/>
      <c r="R28" s="559"/>
      <c r="S28" s="811"/>
      <c r="T28" s="812"/>
      <c r="U28" s="812"/>
      <c r="V28" s="812"/>
      <c r="W28" s="812"/>
      <c r="X28" s="812"/>
      <c r="Y28" s="813"/>
      <c r="Z28" s="510"/>
      <c r="AA28" s="541"/>
      <c r="AB28" s="542"/>
      <c r="AC28" s="543"/>
      <c r="AD28" s="543"/>
      <c r="AE28" s="542"/>
      <c r="AF28" s="542"/>
      <c r="AG28" s="542"/>
      <c r="AH28" s="542"/>
      <c r="AI28" s="544"/>
      <c r="AJ28" s="517"/>
      <c r="AK28" s="542"/>
      <c r="AL28" s="542"/>
      <c r="AM28" s="543"/>
      <c r="AN28" s="543"/>
      <c r="AO28" s="542"/>
      <c r="AP28" s="545"/>
      <c r="AQ28" s="529"/>
      <c r="AR28" s="400"/>
      <c r="AS28" s="507"/>
      <c r="AT28" s="1242"/>
      <c r="AU28" s="1226"/>
      <c r="AV28" s="1226"/>
      <c r="AW28" s="1227"/>
    </row>
    <row r="29" spans="1:49" s="1228" customFormat="1" ht="18" customHeight="1" x14ac:dyDescent="0.3">
      <c r="A29" s="559"/>
      <c r="B29" s="563"/>
      <c r="C29" s="549"/>
      <c r="D29" s="549"/>
      <c r="E29" s="549"/>
      <c r="F29" s="549"/>
      <c r="G29" s="549"/>
      <c r="H29" s="831"/>
      <c r="I29" s="831"/>
      <c r="J29" s="841" t="str">
        <f>S44&amp;" "&amp;'Translate &amp; Prices'!$B$205</f>
        <v xml:space="preserve"> Dodat včetně uvedeného kování</v>
      </c>
      <c r="K29" s="841"/>
      <c r="L29" s="841"/>
      <c r="M29" s="841"/>
      <c r="N29" s="841"/>
      <c r="O29" s="841"/>
      <c r="P29" s="841"/>
      <c r="Q29" s="842"/>
      <c r="R29" s="559"/>
      <c r="S29" s="811"/>
      <c r="T29" s="812"/>
      <c r="U29" s="812"/>
      <c r="V29" s="812"/>
      <c r="W29" s="812"/>
      <c r="X29" s="812"/>
      <c r="Y29" s="813"/>
      <c r="Z29" s="510"/>
      <c r="AA29" s="572" t="e">
        <f>VLOOKUP(H14,kombinace_1!$DN$7:$DO$21,2,0)</f>
        <v>#N/A</v>
      </c>
      <c r="AB29" s="857">
        <f>IFERROR(IF(AND($AU$17&lt;=2,H12=kombinace_1!BQ2),'Translate &amp; Prices'!$B$557,0),0)</f>
        <v>0</v>
      </c>
      <c r="AC29" s="857"/>
      <c r="AD29" s="857"/>
      <c r="AE29" s="857"/>
      <c r="AF29" s="857"/>
      <c r="AG29" s="857"/>
      <c r="AH29" s="857"/>
      <c r="AI29" s="857"/>
      <c r="AJ29" s="857"/>
      <c r="AK29" s="857"/>
      <c r="AL29" s="857"/>
      <c r="AM29" s="857"/>
      <c r="AN29" s="857"/>
      <c r="AO29" s="857"/>
      <c r="AP29" s="400"/>
      <c r="AQ29" s="400"/>
      <c r="AR29" s="400"/>
      <c r="AS29" s="400"/>
      <c r="AT29" s="1242"/>
      <c r="AU29" s="1226"/>
      <c r="AV29" s="1226"/>
      <c r="AW29" s="1227"/>
    </row>
    <row r="30" spans="1:49" s="1228" customFormat="1" ht="13.8" customHeight="1" x14ac:dyDescent="0.3">
      <c r="A30" s="559"/>
      <c r="B30" s="817" t="str">
        <f>'Translate &amp; Prices'!$B$158</f>
        <v>Cena rámečků celkem</v>
      </c>
      <c r="C30" s="761"/>
      <c r="D30" s="761"/>
      <c r="E30" s="761"/>
      <c r="F30" s="761"/>
      <c r="G30" s="761"/>
      <c r="H30" s="761"/>
      <c r="I30" s="761"/>
      <c r="J30" s="761"/>
      <c r="K30" s="764"/>
      <c r="L30" s="766">
        <f>((AT11+AT13+AT15+AT17+AT33+AT35+AT37)*AT43)*(1-Zakaznik!K23)</f>
        <v>0</v>
      </c>
      <c r="M30" s="766"/>
      <c r="N30" s="766"/>
      <c r="O30" s="766"/>
      <c r="P30" s="766"/>
      <c r="Q30" s="819"/>
      <c r="R30" s="559"/>
      <c r="S30" s="811"/>
      <c r="T30" s="812"/>
      <c r="U30" s="812"/>
      <c r="V30" s="812"/>
      <c r="W30" s="812"/>
      <c r="X30" s="812"/>
      <c r="Y30" s="813"/>
      <c r="Z30" s="510"/>
      <c r="AA30" s="507"/>
      <c r="AB30" s="507"/>
      <c r="AC30" s="507"/>
      <c r="AD30" s="507"/>
      <c r="AE30" s="529"/>
      <c r="AF30" s="826" t="str">
        <f>'Translate &amp; Prices'!$B$155</f>
        <v xml:space="preserve">Šířka </v>
      </c>
      <c r="AG30" s="826"/>
      <c r="AH30" s="826"/>
      <c r="AI30" s="801"/>
      <c r="AJ30" s="801"/>
      <c r="AK30" s="801"/>
      <c r="AL30" s="529"/>
      <c r="AM30" s="529"/>
      <c r="AN30" s="400"/>
      <c r="AO30" s="400"/>
      <c r="AP30" s="510"/>
      <c r="AQ30" s="510"/>
      <c r="AR30" s="510"/>
      <c r="AS30" s="510"/>
      <c r="AT30" s="1242"/>
      <c r="AU30" s="1226"/>
      <c r="AV30" s="1226"/>
      <c r="AW30" s="1227"/>
    </row>
    <row r="31" spans="1:49" s="1228" customFormat="1" ht="13.8" customHeight="1" thickBot="1" x14ac:dyDescent="0.35">
      <c r="A31" s="559"/>
      <c r="B31" s="818"/>
      <c r="C31" s="763"/>
      <c r="D31" s="763"/>
      <c r="E31" s="763"/>
      <c r="F31" s="763"/>
      <c r="G31" s="763"/>
      <c r="H31" s="763"/>
      <c r="I31" s="763"/>
      <c r="J31" s="763"/>
      <c r="K31" s="765"/>
      <c r="L31" s="768"/>
      <c r="M31" s="768"/>
      <c r="N31" s="768"/>
      <c r="O31" s="768"/>
      <c r="P31" s="768"/>
      <c r="Q31" s="820"/>
      <c r="R31" s="559"/>
      <c r="S31" s="814"/>
      <c r="T31" s="815"/>
      <c r="U31" s="815"/>
      <c r="V31" s="815"/>
      <c r="W31" s="815"/>
      <c r="X31" s="815"/>
      <c r="Y31" s="816"/>
      <c r="Z31" s="510"/>
      <c r="AA31" s="556"/>
      <c r="AB31" s="556"/>
      <c r="AC31" s="556"/>
      <c r="AD31" s="556"/>
      <c r="AE31" s="556"/>
      <c r="AF31" s="556"/>
      <c r="AG31" s="556"/>
      <c r="AH31" s="556"/>
      <c r="AI31" s="556"/>
      <c r="AJ31" s="556"/>
      <c r="AK31" s="556"/>
      <c r="AL31" s="556"/>
      <c r="AM31" s="556"/>
      <c r="AN31" s="556"/>
      <c r="AO31" s="797" t="str">
        <f>'Translate &amp; Prices'!$B$547</f>
        <v>Souhrn</v>
      </c>
      <c r="AP31" s="797"/>
      <c r="AQ31" s="797"/>
      <c r="AR31" s="797"/>
      <c r="AS31" s="510"/>
      <c r="AT31" s="1242"/>
      <c r="AU31" s="1226"/>
      <c r="AV31" s="1226"/>
      <c r="AW31" s="1227"/>
    </row>
    <row r="32" spans="1:49" s="1228" customFormat="1" ht="18.600000000000001" customHeight="1" x14ac:dyDescent="0.3">
      <c r="A32" s="559"/>
      <c r="B32" s="832" t="str">
        <f>'Translate &amp; Prices'!$B$151</f>
        <v>Uvedené ceny jsou bez DPH a nezahrnují cenu požadovaného kování!</v>
      </c>
      <c r="C32" s="832"/>
      <c r="D32" s="832"/>
      <c r="E32" s="832"/>
      <c r="F32" s="832"/>
      <c r="G32" s="832"/>
      <c r="H32" s="832"/>
      <c r="I32" s="832"/>
      <c r="J32" s="832"/>
      <c r="K32" s="832"/>
      <c r="L32" s="832"/>
      <c r="M32" s="832"/>
      <c r="N32" s="832"/>
      <c r="O32" s="832"/>
      <c r="P32" s="832"/>
      <c r="Q32" s="832"/>
      <c r="R32" s="559"/>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797"/>
      <c r="AP32" s="797"/>
      <c r="AQ32" s="797"/>
      <c r="AR32" s="797"/>
      <c r="AS32" s="559"/>
      <c r="AT32" s="1242"/>
      <c r="AU32" s="1226"/>
      <c r="AV32" s="1226"/>
      <c r="AW32" s="1227"/>
    </row>
    <row r="33" spans="1:55" s="1228" customFormat="1" ht="15" customHeight="1" x14ac:dyDescent="0.3">
      <c r="A33" s="559"/>
      <c r="B33" s="510"/>
      <c r="C33" s="510"/>
      <c r="D33" s="510"/>
      <c r="E33" s="510"/>
      <c r="F33" s="510"/>
      <c r="G33" s="510"/>
      <c r="H33" s="510"/>
      <c r="I33" s="510"/>
      <c r="J33" s="510"/>
      <c r="K33" s="510"/>
      <c r="L33" s="510"/>
      <c r="M33" s="510"/>
      <c r="N33" s="510"/>
      <c r="O33" s="510"/>
      <c r="P33" s="510"/>
      <c r="Q33" s="510"/>
      <c r="R33" s="559"/>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400"/>
      <c r="AS33" s="559"/>
      <c r="AT33" s="1242">
        <f>IF(kombinace_4!V1=2,((AR14/1000)*(AI30/1000))*'Translate &amp; Prices'!C77,0)</f>
        <v>0</v>
      </c>
      <c r="AU33" s="1226"/>
      <c r="AV33" s="1226"/>
      <c r="AW33" s="1227"/>
    </row>
    <row r="34" spans="1:55" s="1247" customFormat="1" ht="18.600000000000001" hidden="1" customHeight="1" x14ac:dyDescent="0.3">
      <c r="A34" s="1253"/>
      <c r="R34" s="1253"/>
      <c r="AS34" s="1246"/>
      <c r="AT34" s="1246"/>
    </row>
    <row r="35" spans="1:55" s="1228" customFormat="1" ht="15" hidden="1" customHeight="1" x14ac:dyDescent="0.3">
      <c r="A35" s="1230"/>
      <c r="R35" s="1230"/>
      <c r="S35" s="1244"/>
      <c r="T35" s="1248"/>
      <c r="AN35" s="1247"/>
      <c r="AO35" s="1247"/>
      <c r="AP35" s="1247"/>
      <c r="AQ35" s="1247"/>
      <c r="AR35" s="1225"/>
      <c r="AS35" s="1242"/>
      <c r="AT35" s="1242">
        <f>IF(kombinace_4!$V$1=3,IFERROR(((VLOOKUP(H24,'Translate &amp; Prices'!B74:C76,2,0))*(AR14/1000)),0),0)</f>
        <v>0</v>
      </c>
      <c r="AU35" s="1226"/>
      <c r="AV35" s="1226"/>
      <c r="AW35" s="1227"/>
      <c r="AX35" s="1227"/>
      <c r="AY35" s="1227"/>
      <c r="AZ35" s="1227"/>
      <c r="BA35" s="1227"/>
      <c r="BB35" s="1227"/>
      <c r="BC35" s="1227"/>
    </row>
    <row r="36" spans="1:55" s="1249" customFormat="1" ht="18.600000000000001" hidden="1" customHeight="1" x14ac:dyDescent="0.3">
      <c r="A36" s="1254"/>
      <c r="R36" s="1254"/>
      <c r="S36" s="1254"/>
      <c r="T36" s="1248"/>
      <c r="AK36" s="1255"/>
      <c r="AL36" s="1255"/>
      <c r="AN36" s="1247"/>
      <c r="AO36" s="1247"/>
      <c r="AP36" s="1247"/>
      <c r="AQ36" s="1247"/>
      <c r="AS36" s="1248"/>
      <c r="AT36" s="1248"/>
    </row>
    <row r="37" spans="1:55" ht="15" hidden="1" customHeight="1" x14ac:dyDescent="0.3">
      <c r="R37" s="1244"/>
      <c r="S37" s="1244"/>
      <c r="T37" s="1248"/>
      <c r="AK37" s="1255"/>
      <c r="AL37" s="1255"/>
      <c r="AN37" s="1247"/>
      <c r="AO37" s="1247"/>
      <c r="AP37" s="1247"/>
      <c r="AQ37" s="1247"/>
      <c r="AS37" s="1245" t="s">
        <v>18</v>
      </c>
      <c r="AT37" s="1245">
        <f>IFERROR((VLOOKUP(H25,'Translate &amp; Prices'!B82:D146,2,0))*((AI30/1000)*(AR14/1000)),0)</f>
        <v>0</v>
      </c>
    </row>
    <row r="38" spans="1:55" ht="18.600000000000001" hidden="1" customHeight="1" x14ac:dyDescent="0.3">
      <c r="R38" s="1244"/>
      <c r="S38" s="1244"/>
      <c r="T38" s="1248"/>
      <c r="AK38" s="1255"/>
      <c r="AL38" s="1255"/>
      <c r="AN38" s="1247"/>
      <c r="AO38" s="1247"/>
      <c r="AP38" s="1247"/>
      <c r="AQ38" s="1247"/>
      <c r="AS38" s="1245"/>
      <c r="AT38" s="1245"/>
    </row>
    <row r="39" spans="1:55" ht="15" hidden="1" customHeight="1" x14ac:dyDescent="0.3">
      <c r="R39" s="1244"/>
      <c r="S39" s="1244"/>
      <c r="T39" s="1248"/>
      <c r="AK39" s="1255"/>
      <c r="AL39" s="1255"/>
      <c r="AN39" s="1247"/>
      <c r="AO39" s="1247"/>
      <c r="AP39" s="1247"/>
      <c r="AQ39" s="1247"/>
      <c r="AS39" s="1245" t="s">
        <v>2438</v>
      </c>
      <c r="AT39" s="1245"/>
    </row>
    <row r="40" spans="1:55" ht="18.600000000000001" hidden="1" customHeight="1" x14ac:dyDescent="0.3">
      <c r="R40" s="1244"/>
      <c r="S40" s="1244"/>
      <c r="T40" s="1248"/>
      <c r="U40" s="1248"/>
      <c r="V40" s="1248"/>
      <c r="W40" s="1248"/>
      <c r="X40" s="1248"/>
      <c r="Y40" s="1255"/>
      <c r="Z40" s="1255"/>
      <c r="AA40" s="1255"/>
      <c r="AB40" s="1255"/>
      <c r="AC40" s="1255"/>
      <c r="AD40" s="1255"/>
      <c r="AE40" s="1255"/>
      <c r="AF40" s="1255"/>
      <c r="AG40" s="1255"/>
      <c r="AH40" s="1255"/>
      <c r="AI40" s="1255"/>
      <c r="AJ40" s="1255"/>
      <c r="AK40" s="1255"/>
      <c r="AL40" s="1255"/>
      <c r="AS40" s="1245"/>
      <c r="AT40" s="1245"/>
    </row>
    <row r="41" spans="1:55" ht="15" hidden="1" customHeight="1" x14ac:dyDescent="0.3">
      <c r="R41" s="1244"/>
      <c r="S41" s="1244"/>
      <c r="T41" s="1248"/>
      <c r="U41" s="1248"/>
      <c r="V41" s="1248"/>
      <c r="W41" s="1248"/>
      <c r="X41" s="1248"/>
      <c r="Y41" s="1255"/>
      <c r="Z41" s="1255"/>
      <c r="AA41" s="1255"/>
      <c r="AB41" s="1255"/>
      <c r="AC41" s="1255"/>
      <c r="AD41" s="1255"/>
      <c r="AE41" s="1255"/>
      <c r="AF41" s="1255"/>
      <c r="AG41" s="1255"/>
      <c r="AH41" s="1255"/>
      <c r="AI41" s="1255"/>
      <c r="AJ41" s="1255"/>
      <c r="AK41" s="1255"/>
      <c r="AL41" s="1255"/>
      <c r="AS41" s="1245" t="s">
        <v>2439</v>
      </c>
      <c r="AT41" s="1245"/>
    </row>
    <row r="42" spans="1:55" ht="18.600000000000001" hidden="1" customHeight="1" x14ac:dyDescent="0.3">
      <c r="R42" s="1244"/>
      <c r="S42" s="1244"/>
      <c r="T42" s="1248"/>
      <c r="U42" s="1248"/>
      <c r="V42" s="1248"/>
      <c r="W42" s="1248"/>
      <c r="X42" s="1248"/>
      <c r="Y42" s="1255"/>
      <c r="Z42" s="1255"/>
      <c r="AA42" s="1255"/>
      <c r="AB42" s="1255"/>
      <c r="AC42" s="1255"/>
      <c r="AD42" s="1255"/>
      <c r="AE42" s="1255"/>
      <c r="AF42" s="1255"/>
      <c r="AG42" s="1255"/>
      <c r="AH42" s="1255"/>
      <c r="AI42" s="1255"/>
      <c r="AJ42" s="1255"/>
      <c r="AK42" s="1255"/>
      <c r="AL42" s="1255"/>
      <c r="AS42" s="1245"/>
      <c r="AT42" s="1245"/>
    </row>
    <row r="43" spans="1:55" ht="15" hidden="1" customHeight="1" x14ac:dyDescent="0.3">
      <c r="R43" s="1244"/>
      <c r="S43" s="1244"/>
      <c r="T43" s="1248"/>
      <c r="U43" s="1248"/>
      <c r="V43" s="1248"/>
      <c r="W43" s="1248"/>
      <c r="X43" s="1248"/>
      <c r="Y43" s="1255"/>
      <c r="Z43" s="1255"/>
      <c r="AA43" s="1255"/>
      <c r="AB43" s="1255"/>
      <c r="AC43" s="1255"/>
      <c r="AD43" s="1255"/>
      <c r="AE43" s="1255"/>
      <c r="AF43" s="1255"/>
      <c r="AG43" s="1255"/>
      <c r="AH43" s="1255"/>
      <c r="AI43" s="1255"/>
      <c r="AJ43" s="1255"/>
      <c r="AK43" s="1255"/>
      <c r="AL43" s="1255"/>
      <c r="AS43" s="1245" t="s">
        <v>2440</v>
      </c>
      <c r="AT43" s="1245">
        <f>H28</f>
        <v>0</v>
      </c>
    </row>
    <row r="44" spans="1:55" ht="18.600000000000001" hidden="1" customHeight="1" x14ac:dyDescent="0.3">
      <c r="A44" s="1245"/>
      <c r="R44" s="1244"/>
      <c r="S44" s="1244"/>
      <c r="T44" s="1248"/>
      <c r="U44" s="1248"/>
      <c r="V44" s="1248"/>
      <c r="W44" s="1248"/>
      <c r="X44" s="1248"/>
      <c r="Y44" s="1255"/>
      <c r="Z44" s="1255"/>
      <c r="AA44" s="1255"/>
      <c r="AB44" s="1255"/>
      <c r="AC44" s="1255"/>
      <c r="AD44" s="1255"/>
      <c r="AE44" s="1255"/>
      <c r="AF44" s="1255"/>
      <c r="AG44" s="1255"/>
      <c r="AH44" s="1255"/>
      <c r="AI44" s="1255"/>
      <c r="AJ44" s="1255"/>
      <c r="AK44" s="1255"/>
      <c r="AL44" s="1255"/>
    </row>
    <row r="45" spans="1:55" ht="14.4" hidden="1" customHeight="1" x14ac:dyDescent="0.3">
      <c r="A45" s="1245"/>
      <c r="R45" s="1244"/>
      <c r="S45" s="1244"/>
      <c r="T45" s="1248"/>
      <c r="U45" s="1248"/>
      <c r="V45" s="1248"/>
      <c r="W45" s="1248"/>
      <c r="X45" s="1248"/>
      <c r="Y45" s="1255"/>
      <c r="Z45" s="1255"/>
      <c r="AA45" s="1255"/>
      <c r="AB45" s="1255"/>
      <c r="AC45" s="1255"/>
      <c r="AD45" s="1255"/>
      <c r="AE45" s="1255"/>
      <c r="AF45" s="1255"/>
      <c r="AG45" s="1255"/>
      <c r="AH45" s="1255"/>
      <c r="AI45" s="1255"/>
      <c r="AJ45" s="1255"/>
      <c r="AK45" s="1255"/>
      <c r="AL45" s="1255"/>
      <c r="AM45" s="1251"/>
    </row>
    <row r="46" spans="1:55" ht="14.4" hidden="1" customHeight="1" x14ac:dyDescent="0.3">
      <c r="R46" s="1244"/>
      <c r="S46" s="1244"/>
      <c r="T46" s="1248"/>
      <c r="U46" s="1248"/>
      <c r="V46" s="1248"/>
      <c r="W46" s="1248"/>
      <c r="X46" s="1248"/>
      <c r="Y46" s="1255"/>
      <c r="Z46" s="1255"/>
      <c r="AA46" s="1255"/>
      <c r="AB46" s="1255"/>
      <c r="AC46" s="1255"/>
      <c r="AD46" s="1255"/>
      <c r="AE46" s="1255"/>
      <c r="AF46" s="1255"/>
      <c r="AG46" s="1255"/>
      <c r="AH46" s="1255"/>
      <c r="AI46" s="1255"/>
      <c r="AJ46" s="1255"/>
      <c r="AK46" s="1255"/>
      <c r="AL46" s="1255"/>
      <c r="AM46" s="1251"/>
    </row>
    <row r="47" spans="1:55" ht="14.4" hidden="1" customHeight="1" x14ac:dyDescent="0.3">
      <c r="C47" s="1245"/>
      <c r="D47" s="1244"/>
      <c r="E47" s="1244"/>
      <c r="F47" s="1244"/>
      <c r="G47" s="1244"/>
      <c r="H47" s="1244"/>
      <c r="I47" s="1244"/>
      <c r="J47" s="1244"/>
      <c r="K47" s="1244"/>
      <c r="L47" s="1244"/>
      <c r="M47" s="1244"/>
      <c r="N47" s="1244"/>
      <c r="O47" s="1244"/>
      <c r="P47" s="1244"/>
      <c r="Q47" s="1244"/>
      <c r="R47" s="1244"/>
      <c r="S47" s="1244"/>
      <c r="T47" s="1248"/>
      <c r="U47" s="1248"/>
      <c r="V47" s="1248"/>
      <c r="W47" s="1248"/>
      <c r="X47" s="1248"/>
      <c r="Y47" s="1255"/>
      <c r="Z47" s="1255"/>
      <c r="AA47" s="1255"/>
      <c r="AB47" s="1255"/>
      <c r="AC47" s="1255"/>
      <c r="AD47" s="1255"/>
      <c r="AE47" s="1255"/>
      <c r="AF47" s="1255"/>
      <c r="AG47" s="1255"/>
      <c r="AH47" s="1255"/>
      <c r="AI47" s="1255"/>
      <c r="AJ47" s="1255"/>
      <c r="AK47" s="1255"/>
      <c r="AL47" s="1255"/>
    </row>
    <row r="48" spans="1:55" ht="14.4" hidden="1" customHeight="1" x14ac:dyDescent="0.3">
      <c r="R48" s="1244"/>
      <c r="S48" s="1244"/>
      <c r="T48" s="1248"/>
      <c r="U48" s="1248"/>
      <c r="V48" s="1248"/>
      <c r="W48" s="1248"/>
      <c r="X48" s="1248"/>
      <c r="Y48" s="1255"/>
      <c r="Z48" s="1255"/>
      <c r="AA48" s="1255"/>
      <c r="AB48" s="1255"/>
      <c r="AC48" s="1255"/>
      <c r="AD48" s="1255"/>
      <c r="AE48" s="1255"/>
      <c r="AF48" s="1255"/>
      <c r="AG48" s="1255"/>
      <c r="AH48" s="1255"/>
      <c r="AI48" s="1255"/>
      <c r="AJ48" s="1255"/>
      <c r="AK48" s="1255"/>
      <c r="AL48" s="1255"/>
    </row>
    <row r="49" spans="3:38" ht="14.4" hidden="1" customHeight="1" x14ac:dyDescent="0.3">
      <c r="R49" s="1244"/>
      <c r="S49" s="1244"/>
      <c r="T49" s="1248"/>
      <c r="U49" s="1248"/>
      <c r="V49" s="1248"/>
      <c r="W49" s="1248"/>
      <c r="X49" s="1248"/>
      <c r="Y49" s="1255"/>
      <c r="Z49" s="1255"/>
      <c r="AA49" s="1255"/>
      <c r="AB49" s="1255"/>
      <c r="AC49" s="1255"/>
      <c r="AD49" s="1255"/>
      <c r="AE49" s="1255"/>
      <c r="AF49" s="1255"/>
      <c r="AG49" s="1255"/>
      <c r="AH49" s="1255"/>
      <c r="AI49" s="1255"/>
      <c r="AJ49" s="1255"/>
      <c r="AK49" s="1255"/>
      <c r="AL49" s="1255"/>
    </row>
    <row r="50" spans="3:38" ht="14.4" hidden="1" customHeight="1" x14ac:dyDescent="0.3">
      <c r="R50" s="1244"/>
      <c r="S50" s="1244"/>
      <c r="T50" s="1248"/>
      <c r="U50" s="1248"/>
      <c r="V50" s="1248"/>
      <c r="W50" s="1248"/>
      <c r="X50" s="1248"/>
      <c r="Y50" s="1255"/>
      <c r="Z50" s="1255"/>
      <c r="AA50" s="1255"/>
      <c r="AB50" s="1255"/>
      <c r="AC50" s="1255"/>
      <c r="AD50" s="1255"/>
      <c r="AE50" s="1255"/>
      <c r="AF50" s="1255"/>
      <c r="AG50" s="1255"/>
      <c r="AH50" s="1255"/>
      <c r="AI50" s="1255"/>
      <c r="AJ50" s="1255"/>
      <c r="AK50" s="1255"/>
      <c r="AL50" s="1255"/>
    </row>
    <row r="51" spans="3:38" ht="14.4" hidden="1" customHeight="1" x14ac:dyDescent="0.3">
      <c r="R51" s="1244"/>
      <c r="S51" s="1244"/>
      <c r="T51" s="1248"/>
      <c r="U51" s="1248"/>
      <c r="V51" s="1248"/>
      <c r="W51" s="1248"/>
      <c r="X51" s="1248"/>
      <c r="Y51" s="1255"/>
      <c r="Z51" s="1255"/>
      <c r="AA51" s="1255"/>
      <c r="AB51" s="1255"/>
      <c r="AC51" s="1255"/>
      <c r="AD51" s="1255"/>
      <c r="AE51" s="1255"/>
      <c r="AF51" s="1255"/>
      <c r="AG51" s="1255"/>
      <c r="AH51" s="1255"/>
      <c r="AI51" s="1255"/>
      <c r="AJ51" s="1255"/>
      <c r="AK51" s="1255"/>
      <c r="AL51" s="1255"/>
    </row>
    <row r="52" spans="3:38" ht="14.4" hidden="1" customHeight="1" x14ac:dyDescent="0.3">
      <c r="R52" s="1244"/>
      <c r="S52" s="1244"/>
      <c r="T52" s="1248"/>
      <c r="U52" s="1248"/>
      <c r="V52" s="1248"/>
      <c r="W52" s="1248"/>
      <c r="X52" s="1248"/>
      <c r="Y52" s="1255"/>
      <c r="Z52" s="1255"/>
      <c r="AA52" s="1255"/>
      <c r="AB52" s="1255"/>
      <c r="AC52" s="1255"/>
      <c r="AD52" s="1255"/>
      <c r="AE52" s="1255"/>
      <c r="AF52" s="1255"/>
      <c r="AG52" s="1255"/>
      <c r="AH52" s="1255"/>
      <c r="AI52" s="1255"/>
      <c r="AJ52" s="1255"/>
      <c r="AK52" s="1255"/>
      <c r="AL52" s="1255"/>
    </row>
    <row r="53" spans="3:38" ht="14.4" hidden="1" customHeight="1" x14ac:dyDescent="0.3">
      <c r="R53" s="1244"/>
      <c r="S53" s="1244"/>
      <c r="T53" s="1248"/>
      <c r="U53" s="1248"/>
      <c r="V53" s="1248"/>
      <c r="W53" s="1248"/>
      <c r="X53" s="1248"/>
      <c r="Y53" s="1255"/>
      <c r="Z53" s="1255"/>
      <c r="AA53" s="1255"/>
      <c r="AB53" s="1255"/>
      <c r="AC53" s="1255"/>
      <c r="AD53" s="1255"/>
      <c r="AE53" s="1255"/>
      <c r="AF53" s="1255"/>
      <c r="AG53" s="1255"/>
      <c r="AH53" s="1255"/>
      <c r="AI53" s="1255"/>
      <c r="AJ53" s="1255"/>
      <c r="AK53" s="1255"/>
      <c r="AL53" s="1255"/>
    </row>
    <row r="54" spans="3:38" ht="14.4" hidden="1" customHeight="1" x14ac:dyDescent="0.3">
      <c r="R54" s="1244"/>
      <c r="S54" s="1244"/>
      <c r="T54" s="1248"/>
      <c r="U54" s="1248"/>
      <c r="V54" s="1248"/>
      <c r="W54" s="1248"/>
      <c r="X54" s="1248"/>
      <c r="Y54" s="1255"/>
      <c r="Z54" s="1255"/>
      <c r="AA54" s="1255"/>
      <c r="AB54" s="1255"/>
      <c r="AC54" s="1255"/>
      <c r="AD54" s="1255"/>
      <c r="AE54" s="1255"/>
      <c r="AF54" s="1255"/>
      <c r="AG54" s="1255"/>
      <c r="AH54" s="1255"/>
      <c r="AI54" s="1255"/>
      <c r="AJ54" s="1255"/>
      <c r="AK54" s="1255"/>
      <c r="AL54" s="1255"/>
    </row>
    <row r="55" spans="3:38" ht="14.4" hidden="1" customHeight="1" x14ac:dyDescent="0.3">
      <c r="R55" s="1244"/>
      <c r="S55" s="1244"/>
      <c r="T55" s="1248"/>
      <c r="U55" s="1248"/>
      <c r="V55" s="1248"/>
      <c r="W55" s="1248"/>
      <c r="X55" s="1248"/>
      <c r="Y55" s="1255"/>
      <c r="Z55" s="1255"/>
      <c r="AA55" s="1255"/>
      <c r="AB55" s="1255"/>
      <c r="AC55" s="1255"/>
      <c r="AD55" s="1255"/>
      <c r="AE55" s="1255"/>
      <c r="AF55" s="1255"/>
      <c r="AG55" s="1255"/>
      <c r="AH55" s="1255"/>
      <c r="AI55" s="1255"/>
      <c r="AJ55" s="1255"/>
      <c r="AK55" s="1255"/>
      <c r="AL55" s="1255"/>
    </row>
    <row r="56" spans="3:38" ht="14.4" hidden="1" customHeight="1" x14ac:dyDescent="0.3">
      <c r="R56" s="1244"/>
      <c r="S56" s="1244"/>
      <c r="T56" s="1248"/>
      <c r="U56" s="1248"/>
      <c r="V56" s="1248"/>
      <c r="W56" s="1248"/>
      <c r="X56" s="1248"/>
      <c r="Y56" s="1255"/>
      <c r="Z56" s="1255"/>
      <c r="AA56" s="1255"/>
      <c r="AB56" s="1255"/>
      <c r="AC56" s="1255"/>
      <c r="AD56" s="1255"/>
      <c r="AE56" s="1255"/>
      <c r="AF56" s="1255"/>
      <c r="AG56" s="1255"/>
      <c r="AH56" s="1255"/>
      <c r="AI56" s="1255"/>
      <c r="AJ56" s="1255"/>
      <c r="AK56" s="1255"/>
      <c r="AL56" s="1255"/>
    </row>
    <row r="57" spans="3:38" ht="14.4" hidden="1" customHeight="1" x14ac:dyDescent="0.3">
      <c r="R57" s="1244"/>
      <c r="S57" s="1244"/>
      <c r="T57" s="1248"/>
      <c r="U57" s="1248"/>
      <c r="V57" s="1248"/>
      <c r="W57" s="1248"/>
      <c r="X57" s="1248"/>
      <c r="Y57" s="1255"/>
      <c r="Z57" s="1255"/>
      <c r="AA57" s="1255"/>
      <c r="AB57" s="1255"/>
      <c r="AC57" s="1255"/>
      <c r="AD57" s="1255"/>
      <c r="AE57" s="1255"/>
      <c r="AF57" s="1255"/>
      <c r="AG57" s="1255"/>
      <c r="AH57" s="1255"/>
      <c r="AI57" s="1255"/>
      <c r="AJ57" s="1255"/>
      <c r="AK57" s="1255"/>
      <c r="AL57" s="1255"/>
    </row>
    <row r="58" spans="3:38" ht="14.4" hidden="1" customHeight="1" x14ac:dyDescent="0.3">
      <c r="R58" s="1244"/>
      <c r="S58" s="1244"/>
      <c r="T58" s="1248"/>
      <c r="U58" s="1248"/>
      <c r="V58" s="1248"/>
      <c r="W58" s="1248"/>
      <c r="X58" s="1248"/>
      <c r="Y58" s="1255"/>
      <c r="Z58" s="1255"/>
      <c r="AA58" s="1255"/>
      <c r="AB58" s="1255"/>
      <c r="AC58" s="1255"/>
      <c r="AD58" s="1255"/>
      <c r="AE58" s="1255"/>
      <c r="AF58" s="1255"/>
      <c r="AG58" s="1255"/>
      <c r="AH58" s="1255"/>
      <c r="AI58" s="1255"/>
      <c r="AJ58" s="1255"/>
      <c r="AK58" s="1255"/>
      <c r="AL58" s="1255"/>
    </row>
    <row r="59" spans="3:38" ht="14.4" hidden="1" customHeight="1" x14ac:dyDescent="0.3">
      <c r="R59" s="1244"/>
      <c r="S59" s="1244"/>
      <c r="T59" s="1248"/>
      <c r="U59" s="1248"/>
      <c r="V59" s="1248"/>
      <c r="W59" s="1248"/>
      <c r="X59" s="1248"/>
      <c r="Y59" s="1255"/>
      <c r="Z59" s="1255"/>
      <c r="AA59" s="1255"/>
      <c r="AB59" s="1255"/>
      <c r="AC59" s="1255"/>
      <c r="AD59" s="1255"/>
      <c r="AE59" s="1255"/>
      <c r="AF59" s="1255"/>
      <c r="AG59" s="1255"/>
      <c r="AH59" s="1255"/>
      <c r="AI59" s="1255"/>
      <c r="AJ59" s="1255"/>
      <c r="AK59" s="1255"/>
      <c r="AL59" s="1255"/>
    </row>
    <row r="60" spans="3:38" ht="14.4" hidden="1" customHeight="1" x14ac:dyDescent="0.3">
      <c r="R60" s="1244"/>
      <c r="S60" s="1244"/>
      <c r="T60" s="1248"/>
      <c r="U60" s="1248"/>
      <c r="V60" s="1248"/>
      <c r="W60" s="1248"/>
      <c r="X60" s="1248"/>
      <c r="Y60" s="1255"/>
      <c r="Z60" s="1255"/>
      <c r="AA60" s="1255"/>
      <c r="AB60" s="1255"/>
      <c r="AC60" s="1255"/>
      <c r="AD60" s="1255"/>
      <c r="AE60" s="1255"/>
      <c r="AF60" s="1255"/>
      <c r="AG60" s="1255"/>
      <c r="AH60" s="1255"/>
      <c r="AI60" s="1255"/>
      <c r="AJ60" s="1255"/>
      <c r="AK60" s="1255"/>
      <c r="AL60" s="1255"/>
    </row>
    <row r="61" spans="3:38" ht="14.4" hidden="1" customHeight="1" x14ac:dyDescent="0.3">
      <c r="R61" s="1244"/>
      <c r="S61" s="1244"/>
      <c r="T61" s="1248"/>
      <c r="U61" s="1248"/>
      <c r="V61" s="1248"/>
      <c r="W61" s="1248"/>
      <c r="X61" s="1248"/>
      <c r="Y61" s="1255"/>
      <c r="Z61" s="1255"/>
      <c r="AA61" s="1255"/>
      <c r="AB61" s="1255"/>
      <c r="AC61" s="1255"/>
      <c r="AD61" s="1255"/>
      <c r="AE61" s="1255"/>
      <c r="AF61" s="1255"/>
      <c r="AG61" s="1255"/>
      <c r="AH61" s="1255"/>
      <c r="AI61" s="1255"/>
      <c r="AJ61" s="1255"/>
      <c r="AK61" s="1255"/>
      <c r="AL61" s="1255"/>
    </row>
    <row r="62" spans="3:38" ht="14.4" hidden="1" customHeight="1" x14ac:dyDescent="0.3">
      <c r="R62" s="1244"/>
      <c r="S62" s="1244"/>
      <c r="T62" s="1248"/>
      <c r="U62" s="1248"/>
      <c r="V62" s="1248"/>
      <c r="W62" s="1248"/>
      <c r="X62" s="1248"/>
      <c r="Y62" s="1255"/>
      <c r="Z62" s="1255"/>
      <c r="AA62" s="1255"/>
      <c r="AB62" s="1255"/>
      <c r="AC62" s="1255"/>
      <c r="AD62" s="1255"/>
      <c r="AE62" s="1255"/>
      <c r="AF62" s="1255"/>
      <c r="AG62" s="1255"/>
      <c r="AH62" s="1255"/>
      <c r="AI62" s="1255"/>
      <c r="AJ62" s="1255"/>
      <c r="AK62" s="1255"/>
      <c r="AL62" s="1255"/>
    </row>
    <row r="63" spans="3:38" ht="14.4" hidden="1" customHeight="1" x14ac:dyDescent="0.3">
      <c r="C63" s="1245"/>
      <c r="D63" s="1244"/>
      <c r="E63" s="1244"/>
      <c r="F63" s="1244"/>
      <c r="G63" s="1244"/>
      <c r="H63" s="1244"/>
      <c r="I63" s="1244"/>
      <c r="J63" s="1244"/>
      <c r="K63" s="1244"/>
      <c r="L63" s="1244"/>
      <c r="M63" s="1244"/>
      <c r="N63" s="1244"/>
      <c r="O63" s="1244"/>
      <c r="P63" s="1244"/>
      <c r="Q63" s="1244"/>
      <c r="R63" s="1244"/>
      <c r="S63" s="1244"/>
      <c r="T63" s="1248"/>
      <c r="U63" s="1248"/>
      <c r="V63" s="1248"/>
      <c r="W63" s="1248"/>
      <c r="X63" s="1248"/>
      <c r="Y63" s="1255"/>
      <c r="Z63" s="1255"/>
      <c r="AA63" s="1255"/>
      <c r="AB63" s="1255"/>
      <c r="AC63" s="1255"/>
      <c r="AD63" s="1255"/>
      <c r="AE63" s="1255"/>
      <c r="AF63" s="1255"/>
      <c r="AG63" s="1255"/>
      <c r="AH63" s="1255"/>
      <c r="AI63" s="1255"/>
      <c r="AJ63" s="1255"/>
      <c r="AK63" s="1255"/>
      <c r="AL63" s="1255"/>
    </row>
    <row r="64" spans="3:38" ht="14.4" hidden="1" customHeight="1" x14ac:dyDescent="0.3">
      <c r="C64" s="1245"/>
      <c r="D64" s="1244"/>
      <c r="E64" s="1244"/>
      <c r="F64" s="1244"/>
      <c r="G64" s="1244"/>
      <c r="H64" s="1244"/>
      <c r="I64" s="1244"/>
      <c r="J64" s="1244"/>
      <c r="K64" s="1244"/>
      <c r="L64" s="1244"/>
      <c r="M64" s="1244"/>
      <c r="N64" s="1244"/>
      <c r="O64" s="1244"/>
      <c r="P64" s="1244"/>
      <c r="Q64" s="1244"/>
      <c r="R64" s="1244"/>
      <c r="S64" s="1244"/>
      <c r="T64" s="1248"/>
      <c r="U64" s="1248"/>
      <c r="V64" s="1248"/>
      <c r="W64" s="1248"/>
      <c r="X64" s="1248"/>
      <c r="Y64" s="1255"/>
      <c r="Z64" s="1255"/>
      <c r="AA64" s="1255"/>
      <c r="AB64" s="1255"/>
      <c r="AC64" s="1255"/>
      <c r="AD64" s="1255"/>
      <c r="AE64" s="1255"/>
      <c r="AF64" s="1255"/>
      <c r="AG64" s="1255"/>
      <c r="AH64" s="1255"/>
      <c r="AI64" s="1255"/>
      <c r="AJ64" s="1255"/>
      <c r="AK64" s="1255"/>
      <c r="AL64" s="1255"/>
    </row>
    <row r="65" spans="3:38" ht="14.4" hidden="1" customHeight="1" x14ac:dyDescent="0.3">
      <c r="C65" s="1245"/>
      <c r="D65" s="1244"/>
      <c r="E65" s="1244"/>
      <c r="F65" s="1244"/>
      <c r="G65" s="1244"/>
      <c r="H65" s="1244"/>
      <c r="I65" s="1244"/>
      <c r="J65" s="1244"/>
      <c r="K65" s="1244"/>
      <c r="L65" s="1244"/>
      <c r="M65" s="1244"/>
      <c r="N65" s="1244"/>
      <c r="O65" s="1244"/>
      <c r="P65" s="1244"/>
      <c r="Q65" s="1244"/>
      <c r="R65" s="1244"/>
      <c r="S65" s="1244"/>
      <c r="T65" s="1248"/>
      <c r="U65" s="1248"/>
      <c r="V65" s="1248"/>
      <c r="W65" s="1248"/>
      <c r="X65" s="1248"/>
      <c r="Y65" s="1255"/>
      <c r="Z65" s="1255"/>
      <c r="AA65" s="1255"/>
      <c r="AB65" s="1255"/>
      <c r="AC65" s="1255"/>
      <c r="AD65" s="1255"/>
      <c r="AE65" s="1255"/>
      <c r="AF65" s="1255"/>
      <c r="AG65" s="1255"/>
      <c r="AH65" s="1255"/>
      <c r="AI65" s="1255"/>
      <c r="AJ65" s="1255"/>
      <c r="AK65" s="1255"/>
      <c r="AL65" s="1255"/>
    </row>
    <row r="66" spans="3:38" ht="14.4" hidden="1" customHeight="1" x14ac:dyDescent="0.3">
      <c r="C66" s="1245"/>
      <c r="D66" s="1244"/>
      <c r="E66" s="1244"/>
      <c r="F66" s="1244"/>
      <c r="G66" s="1244"/>
      <c r="H66" s="1244"/>
      <c r="I66" s="1244"/>
      <c r="J66" s="1244"/>
      <c r="K66" s="1244"/>
      <c r="L66" s="1244"/>
      <c r="M66" s="1244"/>
      <c r="N66" s="1244"/>
      <c r="O66" s="1244"/>
      <c r="P66" s="1244"/>
      <c r="Q66" s="1244"/>
      <c r="R66" s="1244"/>
      <c r="S66" s="1244"/>
      <c r="T66" s="1248"/>
      <c r="U66" s="1248"/>
      <c r="V66" s="1248"/>
      <c r="W66" s="1248"/>
      <c r="X66" s="1248"/>
      <c r="Y66" s="1255"/>
      <c r="Z66" s="1255"/>
      <c r="AA66" s="1255"/>
      <c r="AB66" s="1255"/>
      <c r="AC66" s="1255"/>
      <c r="AD66" s="1255"/>
      <c r="AE66" s="1255"/>
      <c r="AF66" s="1255"/>
      <c r="AG66" s="1255"/>
      <c r="AH66" s="1255"/>
      <c r="AI66" s="1255"/>
      <c r="AJ66" s="1255"/>
      <c r="AK66" s="1255"/>
      <c r="AL66" s="1255"/>
    </row>
    <row r="67" spans="3:38" ht="14.4" hidden="1" customHeight="1" x14ac:dyDescent="0.3">
      <c r="C67" s="1245"/>
      <c r="D67" s="1244"/>
      <c r="E67" s="1244"/>
      <c r="F67" s="1244"/>
      <c r="G67" s="1244"/>
      <c r="H67" s="1244"/>
      <c r="I67" s="1244"/>
      <c r="J67" s="1244"/>
      <c r="K67" s="1244"/>
      <c r="L67" s="1244"/>
      <c r="M67" s="1244"/>
      <c r="N67" s="1244"/>
      <c r="O67" s="1244"/>
      <c r="P67" s="1244"/>
      <c r="Q67" s="1244"/>
      <c r="R67" s="1244"/>
      <c r="S67" s="1244"/>
      <c r="T67" s="1248"/>
      <c r="U67" s="1248"/>
      <c r="V67" s="1248"/>
      <c r="W67" s="1248"/>
      <c r="X67" s="1248"/>
      <c r="Y67" s="1255"/>
      <c r="Z67" s="1255"/>
      <c r="AA67" s="1255"/>
      <c r="AB67" s="1255"/>
      <c r="AC67" s="1255"/>
      <c r="AD67" s="1255"/>
      <c r="AE67" s="1255"/>
      <c r="AF67" s="1255"/>
      <c r="AG67" s="1255"/>
      <c r="AH67" s="1255"/>
      <c r="AI67" s="1255"/>
      <c r="AJ67" s="1255"/>
      <c r="AK67" s="1255"/>
      <c r="AL67" s="1255"/>
    </row>
    <row r="68" spans="3:38" ht="14.4" hidden="1" customHeight="1" x14ac:dyDescent="0.3">
      <c r="C68" s="1245"/>
      <c r="D68" s="1244"/>
      <c r="E68" s="1244"/>
      <c r="F68" s="1244"/>
      <c r="G68" s="1244"/>
      <c r="H68" s="1244"/>
      <c r="I68" s="1244"/>
      <c r="J68" s="1244"/>
      <c r="K68" s="1244"/>
      <c r="L68" s="1244"/>
      <c r="M68" s="1244"/>
      <c r="N68" s="1244"/>
      <c r="O68" s="1244"/>
      <c r="P68" s="1244"/>
      <c r="Q68" s="1244"/>
      <c r="R68" s="1244"/>
      <c r="S68" s="1244"/>
      <c r="T68" s="1248"/>
      <c r="U68" s="1248"/>
      <c r="V68" s="1248"/>
      <c r="W68" s="1248"/>
      <c r="X68" s="1248"/>
      <c r="Y68" s="1255"/>
      <c r="Z68" s="1255"/>
      <c r="AA68" s="1255"/>
      <c r="AB68" s="1255"/>
      <c r="AC68" s="1255"/>
      <c r="AD68" s="1255"/>
      <c r="AE68" s="1255"/>
      <c r="AF68" s="1255"/>
      <c r="AG68" s="1255"/>
      <c r="AH68" s="1255"/>
      <c r="AI68" s="1255"/>
      <c r="AJ68" s="1255"/>
      <c r="AK68" s="1255"/>
      <c r="AL68" s="1255"/>
    </row>
    <row r="69" spans="3:38" ht="14.4" hidden="1" customHeight="1" x14ac:dyDescent="0.3">
      <c r="C69" s="1245"/>
      <c r="D69" s="1244"/>
      <c r="E69" s="1244"/>
      <c r="F69" s="1244"/>
      <c r="G69" s="1244"/>
      <c r="H69" s="1244"/>
      <c r="I69" s="1244"/>
      <c r="J69" s="1244"/>
      <c r="K69" s="1244"/>
      <c r="L69" s="1244"/>
      <c r="M69" s="1244"/>
      <c r="N69" s="1244"/>
      <c r="O69" s="1244"/>
      <c r="P69" s="1244"/>
      <c r="Q69" s="1244"/>
      <c r="R69" s="1244"/>
      <c r="S69" s="1244"/>
      <c r="T69" s="1248"/>
      <c r="U69" s="1248"/>
      <c r="V69" s="1248"/>
      <c r="W69" s="1248"/>
      <c r="X69" s="1248"/>
      <c r="Y69" s="1255"/>
      <c r="Z69" s="1255"/>
      <c r="AA69" s="1255"/>
      <c r="AB69" s="1255"/>
      <c r="AC69" s="1255"/>
      <c r="AD69" s="1255"/>
      <c r="AE69" s="1255"/>
      <c r="AF69" s="1255"/>
      <c r="AG69" s="1255"/>
      <c r="AH69" s="1255"/>
      <c r="AI69" s="1255"/>
      <c r="AJ69" s="1255"/>
      <c r="AK69" s="1255"/>
      <c r="AL69" s="1255"/>
    </row>
    <row r="70" spans="3:38" ht="14.4" hidden="1" customHeight="1" x14ac:dyDescent="0.3">
      <c r="C70" s="1245"/>
      <c r="D70" s="1244"/>
      <c r="E70" s="1244"/>
      <c r="F70" s="1244"/>
      <c r="G70" s="1244"/>
      <c r="H70" s="1244"/>
      <c r="I70" s="1244"/>
      <c r="J70" s="1244"/>
      <c r="K70" s="1244"/>
      <c r="L70" s="1244"/>
      <c r="M70" s="1244"/>
      <c r="N70" s="1244"/>
      <c r="O70" s="1244"/>
      <c r="P70" s="1244"/>
      <c r="Q70" s="1244"/>
      <c r="R70" s="1244"/>
      <c r="S70" s="1244"/>
      <c r="T70" s="1248"/>
      <c r="U70" s="1248"/>
      <c r="V70" s="1248"/>
      <c r="W70" s="1248"/>
      <c r="X70" s="1248"/>
      <c r="Y70" s="1255"/>
      <c r="Z70" s="1255"/>
      <c r="AA70" s="1255"/>
      <c r="AB70" s="1255"/>
      <c r="AC70" s="1255"/>
      <c r="AD70" s="1255"/>
      <c r="AE70" s="1255"/>
      <c r="AF70" s="1255"/>
      <c r="AG70" s="1255"/>
      <c r="AH70" s="1255"/>
      <c r="AI70" s="1255"/>
      <c r="AJ70" s="1255"/>
      <c r="AK70" s="1255"/>
      <c r="AL70" s="1255"/>
    </row>
    <row r="71" spans="3:38" ht="14.4" hidden="1" customHeight="1" x14ac:dyDescent="0.3">
      <c r="C71" s="1245"/>
      <c r="D71" s="1244"/>
      <c r="E71" s="1244"/>
      <c r="F71" s="1244"/>
      <c r="G71" s="1244"/>
      <c r="H71" s="1244"/>
      <c r="I71" s="1244"/>
      <c r="J71" s="1244"/>
      <c r="K71" s="1244"/>
      <c r="L71" s="1244"/>
      <c r="M71" s="1244"/>
      <c r="N71" s="1244"/>
      <c r="O71" s="1244"/>
      <c r="P71" s="1244"/>
      <c r="Q71" s="1244"/>
      <c r="R71" s="1244"/>
      <c r="S71" s="1244"/>
      <c r="T71" s="1248"/>
      <c r="U71" s="1248"/>
      <c r="V71" s="1248"/>
      <c r="W71" s="1248"/>
      <c r="X71" s="1248"/>
      <c r="Y71" s="1255"/>
      <c r="Z71" s="1255"/>
      <c r="AA71" s="1255"/>
      <c r="AB71" s="1255"/>
      <c r="AC71" s="1255"/>
      <c r="AD71" s="1255"/>
      <c r="AE71" s="1255"/>
      <c r="AF71" s="1255"/>
      <c r="AG71" s="1255"/>
      <c r="AH71" s="1255"/>
      <c r="AI71" s="1255"/>
      <c r="AJ71" s="1255"/>
      <c r="AK71" s="1255"/>
      <c r="AL71" s="1255"/>
    </row>
    <row r="72" spans="3:38" ht="14.4" hidden="1" customHeight="1" x14ac:dyDescent="0.3">
      <c r="C72" s="1245"/>
      <c r="D72" s="1244"/>
      <c r="E72" s="1244"/>
      <c r="F72" s="1244"/>
      <c r="G72" s="1244"/>
      <c r="H72" s="1244"/>
      <c r="I72" s="1244"/>
      <c r="J72" s="1244"/>
      <c r="K72" s="1244"/>
      <c r="L72" s="1244"/>
      <c r="M72" s="1244"/>
      <c r="N72" s="1244"/>
      <c r="O72" s="1244"/>
      <c r="P72" s="1244"/>
      <c r="Q72" s="1244"/>
      <c r="R72" s="1244"/>
      <c r="S72" s="1244"/>
      <c r="T72" s="1248"/>
      <c r="U72" s="1248"/>
      <c r="V72" s="1248"/>
      <c r="W72" s="1248"/>
      <c r="X72" s="1248"/>
      <c r="Y72" s="1255"/>
      <c r="Z72" s="1255"/>
      <c r="AA72" s="1255"/>
      <c r="AB72" s="1255"/>
      <c r="AC72" s="1255"/>
      <c r="AD72" s="1255"/>
      <c r="AE72" s="1255"/>
      <c r="AF72" s="1255"/>
      <c r="AG72" s="1255"/>
      <c r="AH72" s="1255"/>
      <c r="AI72" s="1255"/>
      <c r="AJ72" s="1255"/>
      <c r="AK72" s="1255"/>
      <c r="AL72" s="1255"/>
    </row>
    <row r="73" spans="3:38" ht="14.4" hidden="1" customHeight="1" x14ac:dyDescent="0.3">
      <c r="C73" s="1245"/>
      <c r="D73" s="1244"/>
      <c r="E73" s="1244"/>
      <c r="F73" s="1244"/>
      <c r="G73" s="1244"/>
      <c r="H73" s="1244"/>
      <c r="I73" s="1244"/>
      <c r="J73" s="1244"/>
      <c r="K73" s="1244"/>
      <c r="L73" s="1244"/>
      <c r="M73" s="1244"/>
      <c r="N73" s="1244"/>
      <c r="O73" s="1244"/>
      <c r="P73" s="1244"/>
      <c r="Q73" s="1244"/>
      <c r="R73" s="1244"/>
      <c r="S73" s="1244"/>
      <c r="T73" s="1248"/>
      <c r="U73" s="1248"/>
      <c r="V73" s="1248"/>
      <c r="W73" s="1248"/>
      <c r="X73" s="1248"/>
      <c r="Y73" s="1255"/>
      <c r="Z73" s="1255"/>
      <c r="AA73" s="1255"/>
      <c r="AB73" s="1255"/>
      <c r="AC73" s="1255"/>
      <c r="AD73" s="1255"/>
      <c r="AE73" s="1255"/>
      <c r="AF73" s="1255"/>
      <c r="AG73" s="1255"/>
      <c r="AH73" s="1255"/>
      <c r="AI73" s="1255"/>
      <c r="AJ73" s="1255"/>
      <c r="AK73" s="1255"/>
      <c r="AL73" s="1255"/>
    </row>
    <row r="74" spans="3:38" ht="14.4" hidden="1" customHeight="1" x14ac:dyDescent="0.3">
      <c r="C74" s="1245"/>
      <c r="D74" s="1244"/>
      <c r="E74" s="1244"/>
      <c r="F74" s="1244"/>
      <c r="G74" s="1244"/>
      <c r="H74" s="1244"/>
      <c r="I74" s="1244"/>
      <c r="J74" s="1244"/>
      <c r="K74" s="1244"/>
      <c r="L74" s="1244"/>
      <c r="M74" s="1244"/>
      <c r="N74" s="1244"/>
      <c r="O74" s="1244"/>
      <c r="P74" s="1244"/>
      <c r="Q74" s="1244"/>
      <c r="R74" s="1244"/>
      <c r="S74" s="1244"/>
      <c r="T74" s="1248"/>
      <c r="U74" s="1248"/>
      <c r="V74" s="1248"/>
      <c r="W74" s="1248"/>
      <c r="X74" s="1248"/>
      <c r="Y74" s="1255"/>
      <c r="Z74" s="1255"/>
      <c r="AA74" s="1255"/>
      <c r="AB74" s="1255"/>
      <c r="AC74" s="1255"/>
      <c r="AD74" s="1255"/>
      <c r="AE74" s="1255"/>
      <c r="AF74" s="1255"/>
      <c r="AG74" s="1255"/>
      <c r="AH74" s="1255"/>
      <c r="AI74" s="1255"/>
      <c r="AJ74" s="1255"/>
      <c r="AK74" s="1255"/>
      <c r="AL74" s="1255"/>
    </row>
    <row r="75" spans="3:38" ht="14.4" hidden="1" customHeight="1" x14ac:dyDescent="0.3">
      <c r="C75" s="1245"/>
      <c r="D75" s="1244"/>
      <c r="E75" s="1244"/>
      <c r="F75" s="1244"/>
      <c r="G75" s="1244"/>
      <c r="H75" s="1244"/>
      <c r="I75" s="1244"/>
      <c r="J75" s="1244"/>
      <c r="K75" s="1244"/>
      <c r="L75" s="1244"/>
      <c r="M75" s="1244"/>
      <c r="N75" s="1244"/>
      <c r="O75" s="1244"/>
      <c r="P75" s="1244"/>
      <c r="Q75" s="1244"/>
      <c r="R75" s="1244"/>
      <c r="S75" s="1244"/>
      <c r="T75" s="1248"/>
      <c r="U75" s="1248"/>
      <c r="V75" s="1248"/>
      <c r="W75" s="1248"/>
      <c r="X75" s="1248"/>
      <c r="Y75" s="1255"/>
      <c r="Z75" s="1255"/>
      <c r="AA75" s="1255"/>
      <c r="AB75" s="1255"/>
      <c r="AC75" s="1255"/>
      <c r="AD75" s="1255"/>
      <c r="AE75" s="1255"/>
      <c r="AF75" s="1255"/>
      <c r="AG75" s="1255"/>
      <c r="AH75" s="1255"/>
      <c r="AI75" s="1255"/>
      <c r="AJ75" s="1255"/>
      <c r="AK75" s="1255"/>
      <c r="AL75" s="1255"/>
    </row>
    <row r="76" spans="3:38" ht="14.4" hidden="1" customHeight="1" x14ac:dyDescent="0.3">
      <c r="C76" s="1245"/>
      <c r="D76" s="1244"/>
      <c r="E76" s="1244"/>
      <c r="F76" s="1244"/>
      <c r="G76" s="1244"/>
      <c r="H76" s="1244"/>
      <c r="I76" s="1244"/>
      <c r="J76" s="1244"/>
      <c r="K76" s="1244"/>
      <c r="L76" s="1244"/>
      <c r="M76" s="1244"/>
      <c r="N76" s="1244"/>
      <c r="O76" s="1244"/>
      <c r="P76" s="1244"/>
      <c r="Q76" s="1244"/>
      <c r="R76" s="1244"/>
      <c r="S76" s="1244"/>
      <c r="T76" s="1248"/>
      <c r="U76" s="1248"/>
      <c r="V76" s="1248"/>
      <c r="W76" s="1248"/>
      <c r="X76" s="1248"/>
      <c r="Y76" s="1255"/>
      <c r="Z76" s="1255"/>
      <c r="AA76" s="1255"/>
      <c r="AB76" s="1255"/>
      <c r="AC76" s="1255"/>
      <c r="AD76" s="1255"/>
      <c r="AE76" s="1255"/>
      <c r="AF76" s="1255"/>
      <c r="AG76" s="1255"/>
      <c r="AH76" s="1255"/>
      <c r="AI76" s="1255"/>
      <c r="AJ76" s="1255"/>
      <c r="AK76" s="1255"/>
      <c r="AL76" s="1255"/>
    </row>
    <row r="77" spans="3:38" ht="14.4" hidden="1" customHeight="1" x14ac:dyDescent="0.3">
      <c r="C77" s="1245"/>
      <c r="D77" s="1244"/>
      <c r="E77" s="1244"/>
      <c r="F77" s="1244"/>
      <c r="G77" s="1244"/>
      <c r="H77" s="1244"/>
      <c r="I77" s="1244"/>
      <c r="J77" s="1244"/>
      <c r="K77" s="1244"/>
      <c r="L77" s="1244"/>
      <c r="M77" s="1244"/>
      <c r="N77" s="1244"/>
      <c r="O77" s="1244"/>
      <c r="P77" s="1244"/>
      <c r="Q77" s="1244"/>
      <c r="R77" s="1244"/>
      <c r="S77" s="1244"/>
      <c r="T77" s="1248"/>
      <c r="U77" s="1248"/>
      <c r="V77" s="1248"/>
      <c r="W77" s="1248"/>
      <c r="X77" s="1248"/>
      <c r="Y77" s="1255"/>
      <c r="Z77" s="1255"/>
      <c r="AA77" s="1255"/>
      <c r="AB77" s="1255"/>
      <c r="AC77" s="1255"/>
      <c r="AD77" s="1255"/>
      <c r="AE77" s="1255"/>
      <c r="AF77" s="1255"/>
      <c r="AG77" s="1255"/>
      <c r="AH77" s="1255"/>
      <c r="AI77" s="1255"/>
      <c r="AJ77" s="1255"/>
      <c r="AK77" s="1255"/>
      <c r="AL77" s="1255"/>
    </row>
    <row r="78" spans="3:38" ht="14.4" hidden="1" customHeight="1" x14ac:dyDescent="0.3">
      <c r="C78" s="1245"/>
      <c r="D78" s="1244"/>
      <c r="E78" s="1244"/>
      <c r="F78" s="1244"/>
      <c r="G78" s="1244"/>
      <c r="H78" s="1244"/>
      <c r="I78" s="1244"/>
      <c r="J78" s="1244"/>
      <c r="K78" s="1244"/>
      <c r="L78" s="1244"/>
      <c r="M78" s="1244"/>
      <c r="N78" s="1244"/>
      <c r="O78" s="1244"/>
      <c r="P78" s="1244"/>
      <c r="Q78" s="1244"/>
      <c r="R78" s="1244"/>
      <c r="S78" s="1244"/>
      <c r="T78" s="1248"/>
      <c r="U78" s="1248"/>
      <c r="V78" s="1248"/>
      <c r="W78" s="1248"/>
      <c r="X78" s="1248"/>
      <c r="Y78" s="1255"/>
      <c r="Z78" s="1255"/>
      <c r="AA78" s="1255"/>
      <c r="AB78" s="1255"/>
      <c r="AC78" s="1255"/>
      <c r="AD78" s="1255"/>
      <c r="AE78" s="1255"/>
      <c r="AF78" s="1255"/>
      <c r="AG78" s="1255"/>
      <c r="AH78" s="1255"/>
      <c r="AI78" s="1255"/>
      <c r="AJ78" s="1255"/>
      <c r="AK78" s="1255"/>
      <c r="AL78" s="1255"/>
    </row>
    <row r="79" spans="3:38" ht="14.4" hidden="1" customHeight="1" x14ac:dyDescent="0.3">
      <c r="C79" s="1245"/>
      <c r="D79" s="1244"/>
      <c r="E79" s="1244"/>
      <c r="F79" s="1244"/>
      <c r="G79" s="1244"/>
      <c r="H79" s="1244"/>
      <c r="I79" s="1244"/>
      <c r="J79" s="1244"/>
      <c r="K79" s="1244"/>
      <c r="L79" s="1244"/>
      <c r="M79" s="1244"/>
      <c r="N79" s="1244"/>
      <c r="O79" s="1244"/>
      <c r="P79" s="1244"/>
      <c r="Q79" s="1244"/>
      <c r="R79" s="1244"/>
      <c r="S79" s="1244"/>
      <c r="T79" s="1248"/>
      <c r="U79" s="1248"/>
      <c r="V79" s="1248"/>
      <c r="W79" s="1248"/>
      <c r="X79" s="1248"/>
      <c r="Y79" s="1255"/>
      <c r="Z79" s="1255"/>
      <c r="AA79" s="1255"/>
      <c r="AB79" s="1255"/>
      <c r="AC79" s="1255"/>
      <c r="AD79" s="1255"/>
      <c r="AE79" s="1255"/>
      <c r="AF79" s="1255"/>
      <c r="AG79" s="1255"/>
      <c r="AH79" s="1255"/>
      <c r="AI79" s="1255"/>
      <c r="AJ79" s="1255"/>
      <c r="AK79" s="1255"/>
      <c r="AL79" s="1255"/>
    </row>
    <row r="80" spans="3:38" ht="14.4" hidden="1" customHeight="1" x14ac:dyDescent="0.3">
      <c r="C80" s="1245"/>
      <c r="D80" s="1244"/>
      <c r="E80" s="1244"/>
      <c r="F80" s="1244"/>
      <c r="G80" s="1244"/>
      <c r="H80" s="1244"/>
      <c r="I80" s="1244"/>
      <c r="J80" s="1244"/>
      <c r="K80" s="1244"/>
      <c r="L80" s="1244"/>
      <c r="M80" s="1244"/>
      <c r="N80" s="1244"/>
      <c r="O80" s="1244"/>
      <c r="P80" s="1244"/>
      <c r="Q80" s="1244"/>
      <c r="R80" s="1244"/>
      <c r="S80" s="1244"/>
      <c r="T80" s="1248"/>
      <c r="U80" s="1248"/>
      <c r="V80" s="1248"/>
      <c r="W80" s="1248"/>
      <c r="X80" s="1248"/>
      <c r="Y80" s="1255"/>
      <c r="Z80" s="1255"/>
      <c r="AA80" s="1255"/>
      <c r="AB80" s="1255"/>
      <c r="AC80" s="1255"/>
      <c r="AD80" s="1255"/>
      <c r="AE80" s="1255"/>
      <c r="AF80" s="1255"/>
      <c r="AG80" s="1255"/>
      <c r="AH80" s="1255"/>
      <c r="AI80" s="1255"/>
      <c r="AJ80" s="1255"/>
      <c r="AK80" s="1255"/>
      <c r="AL80" s="1255"/>
    </row>
    <row r="81" spans="3:38" ht="14.4" hidden="1" customHeight="1" x14ac:dyDescent="0.3">
      <c r="C81" s="1245"/>
      <c r="D81" s="1244"/>
      <c r="E81" s="1244"/>
      <c r="F81" s="1244"/>
      <c r="G81" s="1244"/>
      <c r="H81" s="1244"/>
      <c r="I81" s="1244"/>
      <c r="J81" s="1244"/>
      <c r="K81" s="1244"/>
      <c r="L81" s="1244"/>
      <c r="M81" s="1244"/>
      <c r="N81" s="1244"/>
      <c r="O81" s="1244"/>
      <c r="P81" s="1244"/>
      <c r="Q81" s="1244"/>
      <c r="R81" s="1244"/>
      <c r="S81" s="1244"/>
      <c r="T81" s="1248"/>
      <c r="U81" s="1248"/>
      <c r="V81" s="1248"/>
      <c r="W81" s="1248"/>
      <c r="X81" s="1248"/>
      <c r="Y81" s="1255"/>
      <c r="Z81" s="1255"/>
      <c r="AA81" s="1255"/>
      <c r="AB81" s="1255"/>
      <c r="AC81" s="1255"/>
      <c r="AD81" s="1255"/>
      <c r="AE81" s="1255"/>
      <c r="AF81" s="1255"/>
      <c r="AG81" s="1255"/>
      <c r="AH81" s="1255"/>
      <c r="AI81" s="1255"/>
      <c r="AJ81" s="1255"/>
      <c r="AK81" s="1255"/>
      <c r="AL81" s="1255"/>
    </row>
    <row r="82" spans="3:38" ht="14.4" hidden="1" customHeight="1" x14ac:dyDescent="0.3">
      <c r="C82" s="1245"/>
      <c r="D82" s="1244"/>
      <c r="E82" s="1244"/>
      <c r="F82" s="1244"/>
      <c r="G82" s="1244"/>
      <c r="H82" s="1244"/>
      <c r="I82" s="1244"/>
      <c r="J82" s="1244"/>
      <c r="K82" s="1244"/>
      <c r="L82" s="1244"/>
      <c r="M82" s="1244"/>
      <c r="N82" s="1244"/>
      <c r="O82" s="1244"/>
      <c r="P82" s="1244"/>
      <c r="Q82" s="1244"/>
      <c r="R82" s="1244"/>
      <c r="S82" s="1244"/>
      <c r="T82" s="1248"/>
      <c r="U82" s="1248"/>
      <c r="V82" s="1248"/>
      <c r="W82" s="1248"/>
      <c r="X82" s="1248"/>
      <c r="Y82" s="1255"/>
      <c r="Z82" s="1255"/>
      <c r="AA82" s="1255"/>
      <c r="AB82" s="1255"/>
      <c r="AC82" s="1255"/>
      <c r="AD82" s="1255"/>
      <c r="AE82" s="1255"/>
      <c r="AF82" s="1255"/>
      <c r="AG82" s="1255"/>
      <c r="AH82" s="1255"/>
      <c r="AI82" s="1255"/>
      <c r="AJ82" s="1255"/>
      <c r="AK82" s="1255"/>
      <c r="AL82" s="1255"/>
    </row>
    <row r="83" spans="3:38" ht="14.4" hidden="1" customHeight="1" x14ac:dyDescent="0.3">
      <c r="C83" s="1245"/>
      <c r="D83" s="1244"/>
      <c r="E83" s="1244"/>
      <c r="F83" s="1244"/>
      <c r="G83" s="1244"/>
      <c r="H83" s="1244"/>
      <c r="I83" s="1244"/>
      <c r="J83" s="1244"/>
      <c r="K83" s="1244"/>
      <c r="L83" s="1244"/>
      <c r="M83" s="1244"/>
      <c r="N83" s="1244"/>
      <c r="O83" s="1244"/>
      <c r="P83" s="1244"/>
      <c r="Q83" s="1244"/>
      <c r="R83" s="1244"/>
      <c r="S83" s="1244"/>
      <c r="T83" s="1248"/>
      <c r="U83" s="1248"/>
      <c r="V83" s="1248"/>
      <c r="W83" s="1248"/>
      <c r="X83" s="1248"/>
      <c r="Y83" s="1255"/>
      <c r="Z83" s="1255"/>
      <c r="AA83" s="1255"/>
      <c r="AB83" s="1255"/>
      <c r="AC83" s="1255"/>
      <c r="AD83" s="1255"/>
      <c r="AE83" s="1255"/>
      <c r="AF83" s="1255"/>
      <c r="AG83" s="1255"/>
      <c r="AH83" s="1255"/>
      <c r="AI83" s="1255"/>
      <c r="AJ83" s="1255"/>
      <c r="AK83" s="1255"/>
      <c r="AL83" s="1255"/>
    </row>
    <row r="84" spans="3:38" ht="14.4" hidden="1" customHeight="1" x14ac:dyDescent="0.3">
      <c r="C84" s="1245"/>
      <c r="D84" s="1244"/>
      <c r="E84" s="1244"/>
      <c r="F84" s="1244"/>
      <c r="G84" s="1244"/>
      <c r="H84" s="1244"/>
      <c r="I84" s="1244"/>
      <c r="J84" s="1244"/>
      <c r="K84" s="1244"/>
      <c r="L84" s="1244"/>
      <c r="M84" s="1244"/>
      <c r="N84" s="1244"/>
      <c r="O84" s="1244"/>
      <c r="P84" s="1244"/>
      <c r="Q84" s="1244"/>
      <c r="R84" s="1244"/>
      <c r="S84" s="1244"/>
      <c r="T84" s="1248"/>
      <c r="U84" s="1248"/>
      <c r="V84" s="1248"/>
      <c r="W84" s="1248"/>
      <c r="X84" s="1248"/>
      <c r="Y84" s="1255"/>
      <c r="Z84" s="1255"/>
      <c r="AA84" s="1255"/>
      <c r="AB84" s="1255"/>
      <c r="AC84" s="1255"/>
      <c r="AD84" s="1255"/>
      <c r="AE84" s="1255"/>
      <c r="AF84" s="1255"/>
      <c r="AG84" s="1255"/>
      <c r="AH84" s="1255"/>
      <c r="AI84" s="1255"/>
      <c r="AJ84" s="1255"/>
      <c r="AK84" s="1255"/>
      <c r="AL84" s="1255"/>
    </row>
    <row r="85" spans="3:38" ht="14.4" hidden="1" customHeight="1" x14ac:dyDescent="0.3">
      <c r="C85" s="1245"/>
      <c r="D85" s="1244"/>
      <c r="E85" s="1244"/>
      <c r="F85" s="1244"/>
      <c r="G85" s="1244"/>
      <c r="H85" s="1244"/>
      <c r="I85" s="1244"/>
      <c r="J85" s="1244"/>
      <c r="K85" s="1244"/>
      <c r="L85" s="1244"/>
      <c r="M85" s="1244"/>
      <c r="N85" s="1244"/>
      <c r="O85" s="1244"/>
      <c r="P85" s="1244"/>
      <c r="Q85" s="1244"/>
      <c r="R85" s="1244"/>
      <c r="S85" s="1244"/>
      <c r="T85" s="1248"/>
      <c r="U85" s="1248"/>
      <c r="V85" s="1248"/>
      <c r="W85" s="1248"/>
      <c r="X85" s="1248"/>
      <c r="Y85" s="1255"/>
      <c r="Z85" s="1255"/>
      <c r="AA85" s="1255"/>
      <c r="AB85" s="1255"/>
      <c r="AC85" s="1255"/>
      <c r="AD85" s="1255"/>
      <c r="AE85" s="1255"/>
      <c r="AF85" s="1255"/>
      <c r="AG85" s="1255"/>
      <c r="AH85" s="1255"/>
      <c r="AI85" s="1255"/>
      <c r="AJ85" s="1255"/>
      <c r="AK85" s="1255"/>
      <c r="AL85" s="1255"/>
    </row>
    <row r="86" spans="3:38" ht="14.4" hidden="1" customHeight="1" x14ac:dyDescent="0.3">
      <c r="C86" s="1245"/>
      <c r="D86" s="1244"/>
      <c r="E86" s="1244"/>
      <c r="F86" s="1244"/>
      <c r="G86" s="1244"/>
      <c r="H86" s="1244"/>
      <c r="I86" s="1244"/>
      <c r="J86" s="1244"/>
      <c r="K86" s="1244"/>
      <c r="L86" s="1244"/>
      <c r="M86" s="1244"/>
      <c r="N86" s="1244"/>
      <c r="O86" s="1244"/>
      <c r="P86" s="1244"/>
      <c r="Q86" s="1244"/>
      <c r="R86" s="1244"/>
      <c r="S86" s="1244"/>
      <c r="T86" s="1248"/>
      <c r="U86" s="1248"/>
      <c r="V86" s="1248"/>
      <c r="W86" s="1248"/>
      <c r="X86" s="1248"/>
      <c r="Y86" s="1255"/>
      <c r="Z86" s="1255"/>
      <c r="AA86" s="1255"/>
      <c r="AB86" s="1255"/>
      <c r="AC86" s="1255"/>
      <c r="AD86" s="1255"/>
      <c r="AE86" s="1255"/>
      <c r="AF86" s="1255"/>
      <c r="AG86" s="1255"/>
      <c r="AH86" s="1255"/>
      <c r="AI86" s="1255"/>
      <c r="AJ86" s="1255"/>
      <c r="AK86" s="1255"/>
      <c r="AL86" s="1255"/>
    </row>
    <row r="87" spans="3:38" ht="14.4" hidden="1" customHeight="1" x14ac:dyDescent="0.3">
      <c r="C87" s="1245"/>
      <c r="D87" s="1244"/>
      <c r="E87" s="1244"/>
      <c r="F87" s="1244"/>
      <c r="G87" s="1244"/>
      <c r="H87" s="1244"/>
      <c r="I87" s="1244"/>
      <c r="J87" s="1244"/>
      <c r="K87" s="1244"/>
      <c r="L87" s="1244"/>
      <c r="M87" s="1244"/>
      <c r="N87" s="1244"/>
      <c r="O87" s="1244"/>
      <c r="P87" s="1244"/>
      <c r="Q87" s="1244"/>
      <c r="R87" s="1244"/>
      <c r="S87" s="1244"/>
      <c r="T87" s="1248"/>
      <c r="U87" s="1248"/>
      <c r="V87" s="1248"/>
      <c r="W87" s="1248"/>
      <c r="X87" s="1248"/>
      <c r="Y87" s="1255"/>
      <c r="Z87" s="1255"/>
      <c r="AA87" s="1255"/>
      <c r="AB87" s="1255"/>
      <c r="AC87" s="1255"/>
      <c r="AD87" s="1255"/>
      <c r="AE87" s="1255"/>
      <c r="AF87" s="1255"/>
      <c r="AG87" s="1255"/>
      <c r="AH87" s="1255"/>
      <c r="AI87" s="1255"/>
      <c r="AJ87" s="1255"/>
      <c r="AK87" s="1255"/>
      <c r="AL87" s="1255"/>
    </row>
    <row r="88" spans="3:38" ht="14.4" hidden="1" customHeight="1" x14ac:dyDescent="0.3">
      <c r="C88" s="1245"/>
      <c r="D88" s="1244"/>
      <c r="E88" s="1244"/>
      <c r="F88" s="1244"/>
      <c r="G88" s="1244"/>
      <c r="H88" s="1244"/>
      <c r="I88" s="1244"/>
      <c r="J88" s="1244"/>
      <c r="K88" s="1244"/>
      <c r="L88" s="1244"/>
      <c r="M88" s="1244"/>
      <c r="N88" s="1244"/>
      <c r="O88" s="1244"/>
      <c r="P88" s="1244"/>
      <c r="Q88" s="1244"/>
      <c r="R88" s="1244"/>
      <c r="S88" s="1244"/>
      <c r="T88" s="1248"/>
      <c r="U88" s="1248"/>
      <c r="V88" s="1248"/>
      <c r="W88" s="1248"/>
      <c r="X88" s="1248"/>
      <c r="Y88" s="1255"/>
      <c r="Z88" s="1255"/>
      <c r="AA88" s="1255"/>
      <c r="AB88" s="1255"/>
      <c r="AC88" s="1255"/>
      <c r="AD88" s="1255"/>
      <c r="AE88" s="1255"/>
      <c r="AF88" s="1255"/>
      <c r="AG88" s="1255"/>
      <c r="AH88" s="1255"/>
      <c r="AI88" s="1255"/>
      <c r="AJ88" s="1255"/>
      <c r="AK88" s="1255"/>
      <c r="AL88" s="1255"/>
    </row>
    <row r="89" spans="3:38" ht="14.4" hidden="1" customHeight="1" x14ac:dyDescent="0.3">
      <c r="C89" s="1245"/>
      <c r="D89" s="1244"/>
      <c r="E89" s="1244"/>
      <c r="F89" s="1244"/>
      <c r="G89" s="1244"/>
      <c r="H89" s="1244"/>
      <c r="I89" s="1244"/>
      <c r="J89" s="1244"/>
      <c r="K89" s="1244"/>
      <c r="L89" s="1244"/>
      <c r="M89" s="1244"/>
      <c r="N89" s="1244"/>
      <c r="O89" s="1244"/>
      <c r="P89" s="1244"/>
      <c r="Q89" s="1244"/>
      <c r="R89" s="1244"/>
      <c r="S89" s="1244"/>
      <c r="T89" s="1248"/>
      <c r="U89" s="1248"/>
      <c r="V89" s="1248"/>
      <c r="W89" s="1248"/>
      <c r="X89" s="1248"/>
      <c r="Y89" s="1255"/>
      <c r="Z89" s="1255"/>
      <c r="AA89" s="1255"/>
      <c r="AB89" s="1255"/>
      <c r="AC89" s="1255"/>
      <c r="AD89" s="1255"/>
      <c r="AE89" s="1255"/>
      <c r="AF89" s="1255"/>
      <c r="AG89" s="1255"/>
      <c r="AH89" s="1255"/>
      <c r="AI89" s="1255"/>
      <c r="AJ89" s="1255"/>
      <c r="AK89" s="1255"/>
      <c r="AL89" s="1255"/>
    </row>
    <row r="90" spans="3:38" ht="14.4" hidden="1" customHeight="1" x14ac:dyDescent="0.3">
      <c r="C90" s="1245"/>
      <c r="D90" s="1244"/>
      <c r="E90" s="1244"/>
      <c r="F90" s="1244"/>
      <c r="G90" s="1244"/>
      <c r="H90" s="1244"/>
      <c r="I90" s="1244"/>
      <c r="J90" s="1244"/>
      <c r="K90" s="1244"/>
      <c r="L90" s="1244"/>
      <c r="M90" s="1244"/>
      <c r="N90" s="1244"/>
      <c r="O90" s="1244"/>
      <c r="P90" s="1244"/>
      <c r="Q90" s="1244"/>
      <c r="R90" s="1244"/>
      <c r="S90" s="1244"/>
      <c r="T90" s="1248"/>
      <c r="U90" s="1248"/>
      <c r="V90" s="1248"/>
      <c r="W90" s="1248"/>
      <c r="X90" s="1248"/>
      <c r="Y90" s="1255"/>
      <c r="Z90" s="1255"/>
      <c r="AA90" s="1255"/>
      <c r="AB90" s="1255"/>
      <c r="AC90" s="1255"/>
      <c r="AD90" s="1255"/>
      <c r="AE90" s="1255"/>
      <c r="AF90" s="1255"/>
      <c r="AG90" s="1255"/>
      <c r="AH90" s="1255"/>
      <c r="AI90" s="1255"/>
      <c r="AJ90" s="1255"/>
      <c r="AK90" s="1255"/>
      <c r="AL90" s="1255"/>
    </row>
    <row r="91" spans="3:38" ht="14.4" hidden="1" customHeight="1" x14ac:dyDescent="0.3">
      <c r="C91" s="1245"/>
      <c r="D91" s="1244"/>
      <c r="E91" s="1244"/>
      <c r="F91" s="1244"/>
      <c r="G91" s="1244"/>
      <c r="H91" s="1244"/>
      <c r="I91" s="1244"/>
      <c r="J91" s="1244"/>
      <c r="K91" s="1244"/>
      <c r="L91" s="1244"/>
      <c r="M91" s="1244"/>
      <c r="N91" s="1244"/>
      <c r="O91" s="1244"/>
      <c r="P91" s="1244"/>
      <c r="Q91" s="1244"/>
      <c r="R91" s="1244"/>
      <c r="S91" s="1244"/>
      <c r="T91" s="1248"/>
      <c r="U91" s="1248"/>
      <c r="V91" s="1248"/>
      <c r="W91" s="1248"/>
      <c r="X91" s="1248"/>
      <c r="Y91" s="1255"/>
      <c r="Z91" s="1255"/>
      <c r="AA91" s="1255"/>
      <c r="AB91" s="1255"/>
      <c r="AC91" s="1255"/>
      <c r="AD91" s="1255"/>
      <c r="AE91" s="1255"/>
      <c r="AF91" s="1255"/>
      <c r="AG91" s="1255"/>
      <c r="AH91" s="1255"/>
      <c r="AI91" s="1255"/>
      <c r="AJ91" s="1255"/>
      <c r="AK91" s="1255"/>
      <c r="AL91" s="1255"/>
    </row>
    <row r="92" spans="3:38" ht="14.4" hidden="1" customHeight="1" x14ac:dyDescent="0.3">
      <c r="C92" s="1245"/>
      <c r="D92" s="1244"/>
      <c r="E92" s="1244"/>
      <c r="F92" s="1244"/>
      <c r="G92" s="1244"/>
      <c r="H92" s="1244"/>
      <c r="I92" s="1244"/>
      <c r="J92" s="1244"/>
      <c r="K92" s="1244"/>
      <c r="L92" s="1244"/>
      <c r="M92" s="1244"/>
      <c r="N92" s="1244"/>
      <c r="O92" s="1244"/>
      <c r="P92" s="1244"/>
      <c r="Q92" s="1244"/>
      <c r="R92" s="1244"/>
      <c r="S92" s="1244"/>
      <c r="T92" s="1248"/>
      <c r="U92" s="1248"/>
      <c r="V92" s="1248"/>
      <c r="W92" s="1248"/>
      <c r="X92" s="1248"/>
      <c r="Y92" s="1255"/>
      <c r="Z92" s="1255"/>
      <c r="AA92" s="1255"/>
      <c r="AB92" s="1255"/>
      <c r="AC92" s="1255"/>
      <c r="AD92" s="1255"/>
      <c r="AE92" s="1255"/>
      <c r="AF92" s="1255"/>
      <c r="AG92" s="1255"/>
      <c r="AH92" s="1255"/>
      <c r="AI92" s="1255"/>
      <c r="AJ92" s="1255"/>
      <c r="AK92" s="1255"/>
      <c r="AL92" s="1255"/>
    </row>
    <row r="93" spans="3:38" ht="14.4" hidden="1" customHeight="1" x14ac:dyDescent="0.3">
      <c r="C93" s="1245"/>
      <c r="D93" s="1244"/>
      <c r="E93" s="1244"/>
      <c r="F93" s="1244"/>
      <c r="G93" s="1244"/>
      <c r="H93" s="1244"/>
      <c r="I93" s="1244"/>
      <c r="J93" s="1244"/>
      <c r="K93" s="1244"/>
      <c r="L93" s="1244"/>
      <c r="M93" s="1244"/>
      <c r="N93" s="1244"/>
      <c r="O93" s="1244"/>
      <c r="P93" s="1244"/>
      <c r="Q93" s="1244"/>
      <c r="R93" s="1244"/>
      <c r="S93" s="1244"/>
      <c r="T93" s="1248"/>
      <c r="U93" s="1248"/>
      <c r="V93" s="1248"/>
      <c r="W93" s="1248"/>
      <c r="X93" s="1248"/>
      <c r="Y93" s="1255"/>
      <c r="Z93" s="1255"/>
      <c r="AA93" s="1255"/>
      <c r="AB93" s="1255"/>
      <c r="AC93" s="1255"/>
      <c r="AD93" s="1255"/>
      <c r="AE93" s="1255"/>
      <c r="AF93" s="1255"/>
      <c r="AG93" s="1255"/>
      <c r="AH93" s="1255"/>
      <c r="AI93" s="1255"/>
      <c r="AJ93" s="1255"/>
      <c r="AK93" s="1255"/>
      <c r="AL93" s="1255"/>
    </row>
    <row r="94" spans="3:38" ht="14.4" hidden="1" customHeight="1" x14ac:dyDescent="0.3">
      <c r="C94" s="1245"/>
      <c r="D94" s="1244"/>
      <c r="E94" s="1244"/>
      <c r="F94" s="1244"/>
      <c r="G94" s="1244"/>
      <c r="H94" s="1244"/>
      <c r="I94" s="1244"/>
      <c r="J94" s="1244"/>
      <c r="K94" s="1244"/>
      <c r="L94" s="1244"/>
      <c r="M94" s="1244"/>
      <c r="N94" s="1244"/>
      <c r="O94" s="1244"/>
      <c r="P94" s="1244"/>
      <c r="Q94" s="1244"/>
      <c r="R94" s="1244"/>
      <c r="S94" s="1244"/>
      <c r="T94" s="1248"/>
      <c r="U94" s="1248"/>
      <c r="V94" s="1248"/>
      <c r="W94" s="1248"/>
      <c r="X94" s="1248"/>
      <c r="Y94" s="1255"/>
      <c r="Z94" s="1255"/>
      <c r="AA94" s="1255"/>
      <c r="AB94" s="1255"/>
      <c r="AC94" s="1255"/>
      <c r="AD94" s="1255"/>
      <c r="AE94" s="1255"/>
      <c r="AF94" s="1255"/>
      <c r="AG94" s="1255"/>
      <c r="AH94" s="1255"/>
      <c r="AI94" s="1255"/>
      <c r="AJ94" s="1255"/>
      <c r="AK94" s="1255"/>
      <c r="AL94" s="1255"/>
    </row>
    <row r="95" spans="3:38" ht="14.4" hidden="1" customHeight="1" x14ac:dyDescent="0.3">
      <c r="C95" s="1245"/>
      <c r="D95" s="1244"/>
      <c r="E95" s="1244"/>
      <c r="F95" s="1244"/>
      <c r="G95" s="1244"/>
      <c r="H95" s="1244"/>
      <c r="I95" s="1244"/>
      <c r="J95" s="1244"/>
      <c r="K95" s="1244"/>
      <c r="L95" s="1244"/>
      <c r="M95" s="1244"/>
      <c r="N95" s="1244"/>
      <c r="O95" s="1244"/>
      <c r="P95" s="1244"/>
      <c r="Q95" s="1244"/>
      <c r="R95" s="1244"/>
      <c r="S95" s="1244"/>
      <c r="T95" s="1248"/>
      <c r="U95" s="1248"/>
      <c r="V95" s="1248"/>
      <c r="W95" s="1248"/>
      <c r="X95" s="1248"/>
      <c r="Y95" s="1255"/>
      <c r="Z95" s="1255"/>
      <c r="AA95" s="1255"/>
      <c r="AB95" s="1255"/>
      <c r="AC95" s="1255"/>
      <c r="AD95" s="1255"/>
      <c r="AE95" s="1255"/>
      <c r="AF95" s="1255"/>
      <c r="AG95" s="1255"/>
      <c r="AH95" s="1255"/>
      <c r="AI95" s="1255"/>
      <c r="AJ95" s="1255"/>
      <c r="AK95" s="1255"/>
      <c r="AL95" s="1255"/>
    </row>
    <row r="96" spans="3:38" ht="14.4" hidden="1" customHeight="1" x14ac:dyDescent="0.3">
      <c r="C96" s="1245"/>
      <c r="D96" s="1244"/>
      <c r="E96" s="1244"/>
      <c r="F96" s="1244"/>
      <c r="G96" s="1244"/>
      <c r="H96" s="1244"/>
      <c r="I96" s="1244"/>
      <c r="J96" s="1244"/>
      <c r="K96" s="1244"/>
      <c r="L96" s="1244"/>
      <c r="M96" s="1244"/>
      <c r="N96" s="1244"/>
      <c r="O96" s="1244"/>
      <c r="P96" s="1244"/>
      <c r="Q96" s="1244"/>
      <c r="R96" s="1244"/>
      <c r="S96" s="1244"/>
      <c r="T96" s="1248"/>
      <c r="U96" s="1248"/>
      <c r="V96" s="1248"/>
      <c r="W96" s="1248"/>
      <c r="X96" s="1248"/>
      <c r="Y96" s="1255"/>
      <c r="Z96" s="1255"/>
      <c r="AA96" s="1255"/>
      <c r="AB96" s="1255"/>
      <c r="AC96" s="1255"/>
      <c r="AD96" s="1255"/>
      <c r="AE96" s="1255"/>
      <c r="AF96" s="1255"/>
      <c r="AG96" s="1255"/>
      <c r="AH96" s="1255"/>
      <c r="AI96" s="1255"/>
      <c r="AJ96" s="1255"/>
      <c r="AK96" s="1255"/>
      <c r="AL96" s="1255"/>
    </row>
    <row r="97" spans="3:38" ht="14.4" hidden="1" customHeight="1" x14ac:dyDescent="0.3">
      <c r="C97" s="1245"/>
      <c r="D97" s="1244"/>
      <c r="E97" s="1244"/>
      <c r="F97" s="1244"/>
      <c r="G97" s="1244"/>
      <c r="H97" s="1244"/>
      <c r="I97" s="1244"/>
      <c r="J97" s="1244"/>
      <c r="K97" s="1244"/>
      <c r="L97" s="1244"/>
      <c r="M97" s="1244"/>
      <c r="N97" s="1244"/>
      <c r="O97" s="1244"/>
      <c r="P97" s="1244"/>
      <c r="Q97" s="1244"/>
      <c r="R97" s="1244"/>
      <c r="S97" s="1244"/>
      <c r="T97" s="1248"/>
      <c r="U97" s="1248"/>
      <c r="V97" s="1248"/>
      <c r="W97" s="1248"/>
      <c r="X97" s="1248"/>
      <c r="Y97" s="1255"/>
      <c r="Z97" s="1255"/>
      <c r="AA97" s="1255"/>
      <c r="AB97" s="1255"/>
      <c r="AC97" s="1255"/>
      <c r="AD97" s="1255"/>
      <c r="AE97" s="1255"/>
      <c r="AF97" s="1255"/>
      <c r="AG97" s="1255"/>
      <c r="AH97" s="1255"/>
      <c r="AI97" s="1255"/>
      <c r="AJ97" s="1255"/>
      <c r="AK97" s="1255"/>
      <c r="AL97" s="1255"/>
    </row>
    <row r="98" spans="3:38" ht="14.4" hidden="1" customHeight="1" x14ac:dyDescent="0.3">
      <c r="C98" s="1245"/>
      <c r="D98" s="1244"/>
      <c r="E98" s="1244"/>
      <c r="F98" s="1244"/>
      <c r="G98" s="1244"/>
      <c r="H98" s="1244"/>
      <c r="I98" s="1244"/>
      <c r="J98" s="1244"/>
      <c r="K98" s="1244"/>
      <c r="L98" s="1244"/>
      <c r="M98" s="1244"/>
      <c r="N98" s="1244"/>
      <c r="O98" s="1244"/>
      <c r="P98" s="1244"/>
      <c r="Q98" s="1244"/>
      <c r="R98" s="1244"/>
      <c r="S98" s="1244"/>
      <c r="T98" s="1248"/>
      <c r="U98" s="1248"/>
      <c r="V98" s="1248"/>
      <c r="W98" s="1248"/>
      <c r="X98" s="1248"/>
      <c r="Y98" s="1255"/>
      <c r="Z98" s="1255"/>
      <c r="AA98" s="1255"/>
      <c r="AB98" s="1255"/>
      <c r="AC98" s="1255"/>
      <c r="AD98" s="1255"/>
      <c r="AE98" s="1255"/>
      <c r="AF98" s="1255"/>
      <c r="AG98" s="1255"/>
      <c r="AH98" s="1255"/>
      <c r="AI98" s="1255"/>
      <c r="AJ98" s="1255"/>
      <c r="AK98" s="1255"/>
      <c r="AL98" s="1255"/>
    </row>
    <row r="99" spans="3:38" ht="14.4" hidden="1" customHeight="1" x14ac:dyDescent="0.3">
      <c r="C99" s="1245"/>
      <c r="D99" s="1244"/>
      <c r="E99" s="1244"/>
      <c r="F99" s="1244"/>
      <c r="G99" s="1244"/>
      <c r="H99" s="1244"/>
      <c r="I99" s="1244"/>
      <c r="J99" s="1244"/>
      <c r="K99" s="1244"/>
      <c r="L99" s="1244"/>
      <c r="M99" s="1244"/>
      <c r="N99" s="1244"/>
      <c r="O99" s="1244"/>
      <c r="P99" s="1244"/>
      <c r="Q99" s="1244"/>
      <c r="R99" s="1244"/>
      <c r="S99" s="1244"/>
      <c r="T99" s="1248"/>
      <c r="U99" s="1248"/>
      <c r="V99" s="1248"/>
      <c r="W99" s="1248"/>
      <c r="X99" s="1248"/>
      <c r="Y99" s="1255"/>
      <c r="Z99" s="1255"/>
      <c r="AA99" s="1255"/>
      <c r="AB99" s="1255"/>
      <c r="AC99" s="1255"/>
      <c r="AD99" s="1255"/>
      <c r="AE99" s="1255"/>
      <c r="AF99" s="1255"/>
      <c r="AG99" s="1255"/>
      <c r="AH99" s="1255"/>
      <c r="AI99" s="1255"/>
      <c r="AJ99" s="1255"/>
      <c r="AK99" s="1255"/>
      <c r="AL99" s="1255"/>
    </row>
    <row r="100" spans="3:38" ht="14.4" hidden="1" customHeight="1" x14ac:dyDescent="0.3">
      <c r="C100" s="1245"/>
      <c r="D100" s="1244"/>
      <c r="E100" s="1244"/>
      <c r="F100" s="1244"/>
      <c r="G100" s="1244"/>
      <c r="H100" s="1244"/>
      <c r="I100" s="1244"/>
      <c r="J100" s="1244"/>
      <c r="K100" s="1244"/>
      <c r="L100" s="1244"/>
      <c r="M100" s="1244"/>
      <c r="N100" s="1244"/>
      <c r="O100" s="1244"/>
      <c r="P100" s="1244"/>
      <c r="Q100" s="1244"/>
      <c r="R100" s="1244"/>
      <c r="S100" s="1244"/>
      <c r="T100" s="1248"/>
      <c r="U100" s="1248"/>
      <c r="V100" s="1248"/>
      <c r="W100" s="1248"/>
      <c r="X100" s="1248"/>
      <c r="Y100" s="1255"/>
      <c r="Z100" s="1255"/>
      <c r="AA100" s="1255"/>
      <c r="AB100" s="1255"/>
      <c r="AC100" s="1255"/>
      <c r="AD100" s="1255"/>
      <c r="AE100" s="1255"/>
      <c r="AF100" s="1255"/>
      <c r="AG100" s="1255"/>
      <c r="AH100" s="1255"/>
      <c r="AI100" s="1255"/>
      <c r="AJ100" s="1255"/>
      <c r="AK100" s="1255"/>
      <c r="AL100" s="1255"/>
    </row>
    <row r="101" spans="3:38" ht="14.4" hidden="1" customHeight="1" x14ac:dyDescent="0.3">
      <c r="T101" s="1255"/>
      <c r="U101" s="1255"/>
      <c r="V101" s="1255"/>
      <c r="W101" s="1255"/>
      <c r="X101" s="1255"/>
      <c r="Y101" s="1255"/>
      <c r="Z101" s="1255"/>
      <c r="AA101" s="1255"/>
      <c r="AB101" s="1255"/>
      <c r="AC101" s="1255"/>
      <c r="AD101" s="1255"/>
      <c r="AE101" s="1255"/>
      <c r="AF101" s="1255"/>
      <c r="AG101" s="1255"/>
      <c r="AH101" s="1255"/>
      <c r="AI101" s="1255"/>
      <c r="AJ101" s="1255"/>
      <c r="AK101" s="1255"/>
      <c r="AL101" s="1255"/>
    </row>
    <row r="102" spans="3:38" ht="14.4" hidden="1" customHeight="1" x14ac:dyDescent="0.3">
      <c r="T102" s="1255"/>
      <c r="U102" s="1255"/>
      <c r="V102" s="1255"/>
      <c r="W102" s="1255"/>
      <c r="X102" s="1255"/>
      <c r="Y102" s="1255"/>
      <c r="Z102" s="1255"/>
      <c r="AA102" s="1255"/>
      <c r="AB102" s="1255"/>
      <c r="AC102" s="1255"/>
      <c r="AD102" s="1255"/>
      <c r="AE102" s="1255"/>
      <c r="AF102" s="1255"/>
      <c r="AG102" s="1255"/>
      <c r="AH102" s="1255"/>
      <c r="AI102" s="1255"/>
      <c r="AJ102" s="1255"/>
      <c r="AK102" s="1255"/>
      <c r="AL102" s="1255"/>
    </row>
    <row r="103" spans="3:38" ht="14.4" hidden="1" customHeight="1" x14ac:dyDescent="0.3">
      <c r="T103" s="1255"/>
      <c r="U103" s="1255"/>
      <c r="V103" s="1255"/>
      <c r="W103" s="1255"/>
      <c r="X103" s="1255"/>
      <c r="Y103" s="1255"/>
      <c r="Z103" s="1255"/>
      <c r="AA103" s="1255"/>
      <c r="AB103" s="1255"/>
      <c r="AC103" s="1255"/>
      <c r="AD103" s="1255"/>
      <c r="AE103" s="1255"/>
      <c r="AF103" s="1255"/>
      <c r="AG103" s="1255"/>
      <c r="AH103" s="1255"/>
      <c r="AI103" s="1255"/>
      <c r="AJ103" s="1255"/>
      <c r="AK103" s="1255"/>
      <c r="AL103" s="1255"/>
    </row>
    <row r="104" spans="3:38" ht="14.4" hidden="1" customHeight="1" x14ac:dyDescent="0.3">
      <c r="T104" s="1255"/>
      <c r="U104" s="1255"/>
      <c r="V104" s="1255"/>
      <c r="W104" s="1255"/>
      <c r="X104" s="1255"/>
      <c r="Y104" s="1255"/>
      <c r="Z104" s="1255"/>
      <c r="AA104" s="1255"/>
      <c r="AB104" s="1255"/>
      <c r="AC104" s="1255"/>
      <c r="AD104" s="1255"/>
      <c r="AE104" s="1255"/>
      <c r="AF104" s="1255"/>
      <c r="AG104" s="1255"/>
      <c r="AH104" s="1255"/>
      <c r="AI104" s="1255"/>
      <c r="AJ104" s="1255"/>
      <c r="AK104" s="1255"/>
      <c r="AL104" s="1255"/>
    </row>
    <row r="105" spans="3:38" ht="14.4" hidden="1" customHeight="1" x14ac:dyDescent="0.3">
      <c r="T105" s="1255"/>
      <c r="U105" s="1255"/>
      <c r="V105" s="1255"/>
      <c r="W105" s="1255"/>
      <c r="X105" s="1255"/>
      <c r="Y105" s="1255"/>
      <c r="Z105" s="1255"/>
      <c r="AA105" s="1255"/>
      <c r="AB105" s="1255"/>
      <c r="AC105" s="1255"/>
      <c r="AD105" s="1255"/>
      <c r="AE105" s="1255"/>
      <c r="AF105" s="1255"/>
      <c r="AG105" s="1255"/>
      <c r="AH105" s="1255"/>
      <c r="AI105" s="1255"/>
      <c r="AJ105" s="1255"/>
      <c r="AK105" s="1255"/>
      <c r="AL105" s="1255"/>
    </row>
    <row r="106" spans="3:38" ht="14.4" hidden="1" customHeight="1" x14ac:dyDescent="0.3">
      <c r="T106" s="1255"/>
      <c r="U106" s="1255"/>
      <c r="V106" s="1255"/>
      <c r="W106" s="1255"/>
      <c r="X106" s="1255"/>
      <c r="Y106" s="1255"/>
      <c r="Z106" s="1255"/>
      <c r="AA106" s="1255"/>
      <c r="AB106" s="1255"/>
      <c r="AC106" s="1255"/>
      <c r="AD106" s="1255"/>
      <c r="AE106" s="1255"/>
      <c r="AF106" s="1255"/>
      <c r="AG106" s="1255"/>
      <c r="AH106" s="1255"/>
      <c r="AI106" s="1255"/>
      <c r="AJ106" s="1255"/>
      <c r="AK106" s="1255"/>
      <c r="AL106" s="1255"/>
    </row>
    <row r="107" spans="3:38" ht="14.4" hidden="1" customHeight="1" x14ac:dyDescent="0.3">
      <c r="T107" s="1255"/>
      <c r="U107" s="1255"/>
      <c r="V107" s="1255"/>
      <c r="W107" s="1255"/>
      <c r="X107" s="1255"/>
      <c r="Y107" s="1255"/>
      <c r="Z107" s="1255"/>
      <c r="AA107" s="1255"/>
      <c r="AB107" s="1255"/>
      <c r="AC107" s="1255"/>
      <c r="AD107" s="1255"/>
      <c r="AE107" s="1255"/>
      <c r="AF107" s="1255"/>
      <c r="AG107" s="1255"/>
      <c r="AH107" s="1255"/>
      <c r="AI107" s="1255"/>
      <c r="AJ107" s="1255"/>
      <c r="AK107" s="1255"/>
      <c r="AL107" s="1255"/>
    </row>
    <row r="108" spans="3:38" ht="14.4" hidden="1" customHeight="1" x14ac:dyDescent="0.3">
      <c r="T108" s="1255"/>
      <c r="U108" s="1255"/>
      <c r="V108" s="1255"/>
      <c r="W108" s="1255"/>
      <c r="X108" s="1255"/>
      <c r="Y108" s="1255"/>
      <c r="Z108" s="1255"/>
      <c r="AA108" s="1255"/>
      <c r="AB108" s="1255"/>
      <c r="AC108" s="1255"/>
      <c r="AD108" s="1255"/>
      <c r="AE108" s="1255"/>
      <c r="AF108" s="1255"/>
      <c r="AG108" s="1255"/>
      <c r="AH108" s="1255"/>
      <c r="AI108" s="1255"/>
      <c r="AJ108" s="1255"/>
      <c r="AK108" s="1255"/>
      <c r="AL108" s="1255"/>
    </row>
    <row r="109" spans="3:38" ht="14.4" hidden="1" customHeight="1" x14ac:dyDescent="0.3">
      <c r="T109" s="1255"/>
      <c r="U109" s="1255"/>
      <c r="V109" s="1255"/>
      <c r="W109" s="1255"/>
      <c r="X109" s="1255"/>
      <c r="Y109" s="1255"/>
      <c r="Z109" s="1255"/>
      <c r="AA109" s="1255"/>
      <c r="AB109" s="1255"/>
      <c r="AC109" s="1255"/>
      <c r="AD109" s="1255"/>
      <c r="AE109" s="1255"/>
      <c r="AF109" s="1255"/>
      <c r="AG109" s="1255"/>
      <c r="AH109" s="1255"/>
      <c r="AI109" s="1255"/>
      <c r="AJ109" s="1255"/>
      <c r="AK109" s="1255"/>
      <c r="AL109" s="1255"/>
    </row>
    <row r="110" spans="3:38" ht="14.4" hidden="1" customHeight="1" x14ac:dyDescent="0.3">
      <c r="T110" s="1255"/>
      <c r="U110" s="1255"/>
      <c r="V110" s="1255"/>
      <c r="W110" s="1255"/>
      <c r="X110" s="1255"/>
      <c r="Y110" s="1255"/>
      <c r="Z110" s="1255"/>
      <c r="AA110" s="1255"/>
      <c r="AB110" s="1255"/>
      <c r="AC110" s="1255"/>
      <c r="AD110" s="1255"/>
      <c r="AE110" s="1255"/>
      <c r="AF110" s="1255"/>
      <c r="AG110" s="1255"/>
      <c r="AH110" s="1255"/>
      <c r="AI110" s="1255"/>
      <c r="AJ110" s="1255"/>
      <c r="AK110" s="1255"/>
      <c r="AL110" s="1255"/>
    </row>
    <row r="111" spans="3:38" ht="14.4" hidden="1" customHeight="1" x14ac:dyDescent="0.3">
      <c r="T111" s="1255"/>
      <c r="U111" s="1255"/>
      <c r="V111" s="1255"/>
      <c r="W111" s="1255"/>
      <c r="X111" s="1255"/>
      <c r="Y111" s="1255"/>
      <c r="Z111" s="1255"/>
      <c r="AA111" s="1255"/>
      <c r="AB111" s="1255"/>
      <c r="AC111" s="1255"/>
      <c r="AD111" s="1255"/>
      <c r="AE111" s="1255"/>
      <c r="AF111" s="1255"/>
      <c r="AG111" s="1255"/>
      <c r="AH111" s="1255"/>
      <c r="AI111" s="1255"/>
      <c r="AJ111" s="1255"/>
      <c r="AK111" s="1255"/>
      <c r="AL111" s="1255"/>
    </row>
    <row r="112" spans="3:38" ht="14.4" hidden="1" customHeight="1" x14ac:dyDescent="0.3">
      <c r="T112" s="1255"/>
      <c r="U112" s="1255"/>
      <c r="V112" s="1255"/>
      <c r="W112" s="1255"/>
      <c r="X112" s="1255"/>
      <c r="Y112" s="1255"/>
      <c r="Z112" s="1255"/>
      <c r="AA112" s="1255"/>
      <c r="AB112" s="1255"/>
      <c r="AC112" s="1255"/>
      <c r="AD112" s="1255"/>
      <c r="AE112" s="1255"/>
      <c r="AF112" s="1255"/>
      <c r="AG112" s="1255"/>
      <c r="AH112" s="1255"/>
      <c r="AI112" s="1255"/>
      <c r="AJ112" s="1255"/>
      <c r="AK112" s="1255"/>
      <c r="AL112" s="1255"/>
    </row>
    <row r="113" spans="20:38" ht="14.4" hidden="1" customHeight="1" x14ac:dyDescent="0.3">
      <c r="T113" s="1255"/>
      <c r="U113" s="1255"/>
      <c r="V113" s="1255"/>
      <c r="W113" s="1255"/>
      <c r="X113" s="1255"/>
      <c r="Y113" s="1255"/>
      <c r="Z113" s="1255"/>
      <c r="AA113" s="1255"/>
      <c r="AB113" s="1255"/>
      <c r="AC113" s="1255"/>
      <c r="AD113" s="1255"/>
      <c r="AE113" s="1255"/>
      <c r="AF113" s="1255"/>
      <c r="AG113" s="1255"/>
      <c r="AH113" s="1255"/>
      <c r="AI113" s="1255"/>
      <c r="AJ113" s="1255"/>
      <c r="AK113" s="1255"/>
      <c r="AL113" s="1255"/>
    </row>
    <row r="114" spans="20:38" ht="14.4" hidden="1" customHeight="1" x14ac:dyDescent="0.3">
      <c r="T114" s="1255"/>
      <c r="U114" s="1255"/>
      <c r="V114" s="1255"/>
      <c r="W114" s="1255"/>
      <c r="X114" s="1255"/>
      <c r="Y114" s="1255"/>
      <c r="Z114" s="1255"/>
      <c r="AA114" s="1255"/>
      <c r="AB114" s="1255"/>
      <c r="AC114" s="1255"/>
      <c r="AD114" s="1255"/>
      <c r="AE114" s="1255"/>
      <c r="AF114" s="1255"/>
      <c r="AG114" s="1255"/>
      <c r="AH114" s="1255"/>
      <c r="AI114" s="1255"/>
      <c r="AJ114" s="1255"/>
      <c r="AK114" s="1255"/>
      <c r="AL114" s="1255"/>
    </row>
    <row r="115" spans="20:38" ht="14.4" hidden="1" customHeight="1" x14ac:dyDescent="0.3">
      <c r="T115" s="1255"/>
      <c r="U115" s="1255"/>
      <c r="V115" s="1255"/>
      <c r="W115" s="1255"/>
      <c r="X115" s="1255"/>
      <c r="Y115" s="1255"/>
      <c r="Z115" s="1255"/>
      <c r="AA115" s="1255"/>
      <c r="AB115" s="1255"/>
      <c r="AC115" s="1255"/>
      <c r="AD115" s="1255"/>
      <c r="AE115" s="1255"/>
      <c r="AF115" s="1255"/>
      <c r="AG115" s="1255"/>
      <c r="AH115" s="1255"/>
      <c r="AI115" s="1255"/>
      <c r="AJ115" s="1255"/>
      <c r="AK115" s="1255"/>
      <c r="AL115" s="1255"/>
    </row>
    <row r="116" spans="20:38" ht="14.4" hidden="1" customHeight="1" x14ac:dyDescent="0.3">
      <c r="T116" s="1255"/>
      <c r="U116" s="1255"/>
      <c r="V116" s="1255"/>
      <c r="W116" s="1255"/>
      <c r="X116" s="1255"/>
      <c r="Y116" s="1255"/>
      <c r="Z116" s="1255"/>
      <c r="AA116" s="1255"/>
      <c r="AB116" s="1255"/>
      <c r="AC116" s="1255"/>
      <c r="AD116" s="1255"/>
      <c r="AE116" s="1255"/>
      <c r="AF116" s="1255"/>
      <c r="AG116" s="1255"/>
      <c r="AH116" s="1255"/>
      <c r="AI116" s="1255"/>
      <c r="AJ116" s="1255"/>
      <c r="AK116" s="1255"/>
      <c r="AL116" s="1255"/>
    </row>
    <row r="117" spans="20:38" ht="14.4" hidden="1" customHeight="1" x14ac:dyDescent="0.3">
      <c r="T117" s="1255"/>
      <c r="U117" s="1255"/>
      <c r="V117" s="1255"/>
      <c r="W117" s="1255"/>
      <c r="X117" s="1255"/>
      <c r="Y117" s="1255"/>
      <c r="Z117" s="1255"/>
      <c r="AA117" s="1255"/>
      <c r="AB117" s="1255"/>
      <c r="AC117" s="1255"/>
      <c r="AD117" s="1255"/>
      <c r="AE117" s="1255"/>
      <c r="AF117" s="1255"/>
      <c r="AG117" s="1255"/>
      <c r="AH117" s="1255"/>
      <c r="AI117" s="1255"/>
      <c r="AJ117" s="1255"/>
      <c r="AK117" s="1255"/>
      <c r="AL117" s="1255"/>
    </row>
    <row r="118" spans="20:38" ht="14.4" hidden="1" customHeight="1" x14ac:dyDescent="0.3">
      <c r="T118" s="1255"/>
      <c r="U118" s="1255"/>
      <c r="V118" s="1255"/>
      <c r="W118" s="1255"/>
      <c r="X118" s="1255"/>
      <c r="Y118" s="1255"/>
      <c r="Z118" s="1255"/>
      <c r="AA118" s="1255"/>
      <c r="AB118" s="1255"/>
      <c r="AC118" s="1255"/>
      <c r="AD118" s="1255"/>
      <c r="AE118" s="1255"/>
      <c r="AF118" s="1255"/>
      <c r="AG118" s="1255"/>
      <c r="AH118" s="1255"/>
      <c r="AI118" s="1255"/>
      <c r="AJ118" s="1255"/>
      <c r="AK118" s="1255"/>
      <c r="AL118" s="1255"/>
    </row>
    <row r="119" spans="20:38" ht="14.4" hidden="1" customHeight="1" x14ac:dyDescent="0.3">
      <c r="T119" s="1255"/>
      <c r="U119" s="1255"/>
      <c r="V119" s="1255"/>
      <c r="W119" s="1255"/>
      <c r="X119" s="1255"/>
      <c r="Y119" s="1255"/>
      <c r="Z119" s="1255"/>
      <c r="AA119" s="1255"/>
      <c r="AB119" s="1255"/>
      <c r="AC119" s="1255"/>
      <c r="AD119" s="1255"/>
      <c r="AE119" s="1255"/>
      <c r="AF119" s="1255"/>
      <c r="AG119" s="1255"/>
      <c r="AH119" s="1255"/>
      <c r="AI119" s="1255"/>
      <c r="AJ119" s="1255"/>
      <c r="AK119" s="1255"/>
      <c r="AL119" s="1255"/>
    </row>
    <row r="120" spans="20:38" ht="14.4" hidden="1" customHeight="1" x14ac:dyDescent="0.3">
      <c r="T120" s="1255"/>
      <c r="U120" s="1255"/>
      <c r="V120" s="1255"/>
      <c r="W120" s="1255"/>
      <c r="X120" s="1255"/>
      <c r="Y120" s="1255"/>
      <c r="Z120" s="1255"/>
      <c r="AA120" s="1255"/>
      <c r="AB120" s="1255"/>
      <c r="AC120" s="1255"/>
      <c r="AD120" s="1255"/>
      <c r="AE120" s="1255"/>
      <c r="AF120" s="1255"/>
      <c r="AG120" s="1255"/>
      <c r="AH120" s="1255"/>
      <c r="AI120" s="1255"/>
      <c r="AJ120" s="1255"/>
      <c r="AK120" s="1255"/>
      <c r="AL120" s="1255"/>
    </row>
    <row r="121" spans="20:38" ht="14.4" hidden="1" customHeight="1" x14ac:dyDescent="0.3">
      <c r="T121" s="1255"/>
      <c r="U121" s="1255"/>
      <c r="V121" s="1255"/>
      <c r="W121" s="1255"/>
      <c r="X121" s="1255"/>
      <c r="Y121" s="1255"/>
      <c r="Z121" s="1255"/>
      <c r="AA121" s="1255"/>
      <c r="AB121" s="1255"/>
      <c r="AC121" s="1255"/>
      <c r="AD121" s="1255"/>
      <c r="AE121" s="1255"/>
      <c r="AF121" s="1255"/>
      <c r="AG121" s="1255"/>
      <c r="AH121" s="1255"/>
      <c r="AI121" s="1255"/>
      <c r="AJ121" s="1255"/>
      <c r="AK121" s="1255"/>
      <c r="AL121" s="1255"/>
    </row>
    <row r="122" spans="20:38" ht="14.4" hidden="1" customHeight="1" x14ac:dyDescent="0.3">
      <c r="T122" s="1255"/>
      <c r="U122" s="1255"/>
      <c r="V122" s="1255"/>
      <c r="W122" s="1255"/>
      <c r="X122" s="1255"/>
      <c r="Y122" s="1255"/>
      <c r="Z122" s="1255"/>
      <c r="AA122" s="1255"/>
      <c r="AB122" s="1255"/>
      <c r="AC122" s="1255"/>
      <c r="AD122" s="1255"/>
      <c r="AE122" s="1255"/>
      <c r="AF122" s="1255"/>
      <c r="AG122" s="1255"/>
      <c r="AH122" s="1255"/>
      <c r="AI122" s="1255"/>
      <c r="AJ122" s="1255"/>
      <c r="AK122" s="1255"/>
      <c r="AL122" s="1255"/>
    </row>
    <row r="123" spans="20:38" ht="14.4" hidden="1" customHeight="1" x14ac:dyDescent="0.3">
      <c r="T123" s="1255"/>
      <c r="U123" s="1255"/>
      <c r="V123" s="1255"/>
      <c r="W123" s="1255"/>
      <c r="X123" s="1255"/>
      <c r="Y123" s="1255"/>
      <c r="Z123" s="1255"/>
      <c r="AA123" s="1255"/>
      <c r="AB123" s="1255"/>
      <c r="AC123" s="1255"/>
      <c r="AD123" s="1255"/>
      <c r="AE123" s="1255"/>
      <c r="AF123" s="1255"/>
      <c r="AG123" s="1255"/>
      <c r="AH123" s="1255"/>
      <c r="AI123" s="1255"/>
      <c r="AJ123" s="1255"/>
      <c r="AK123" s="1255"/>
      <c r="AL123" s="1255"/>
    </row>
    <row r="124" spans="20:38" ht="14.4" hidden="1" customHeight="1" x14ac:dyDescent="0.3">
      <c r="T124" s="1255"/>
      <c r="U124" s="1255"/>
      <c r="V124" s="1255"/>
      <c r="W124" s="1255"/>
      <c r="X124" s="1255"/>
      <c r="Y124" s="1255"/>
      <c r="Z124" s="1255"/>
      <c r="AA124" s="1255"/>
      <c r="AB124" s="1255"/>
      <c r="AC124" s="1255"/>
      <c r="AD124" s="1255"/>
      <c r="AE124" s="1255"/>
      <c r="AF124" s="1255"/>
      <c r="AG124" s="1255"/>
      <c r="AH124" s="1255"/>
      <c r="AI124" s="1255"/>
      <c r="AJ124" s="1255"/>
      <c r="AK124" s="1255"/>
      <c r="AL124" s="1255"/>
    </row>
    <row r="125" spans="20:38" ht="14.4" hidden="1" customHeight="1" x14ac:dyDescent="0.3">
      <c r="T125" s="1255"/>
      <c r="U125" s="1255"/>
      <c r="V125" s="1255"/>
      <c r="W125" s="1255"/>
      <c r="X125" s="1255"/>
      <c r="Y125" s="1255"/>
      <c r="Z125" s="1255"/>
      <c r="AA125" s="1255"/>
      <c r="AB125" s="1255"/>
      <c r="AC125" s="1255"/>
      <c r="AD125" s="1255"/>
      <c r="AE125" s="1255"/>
      <c r="AF125" s="1255"/>
      <c r="AG125" s="1255"/>
      <c r="AH125" s="1255"/>
      <c r="AI125" s="1255"/>
      <c r="AJ125" s="1255"/>
      <c r="AK125" s="1255"/>
      <c r="AL125" s="1255"/>
    </row>
    <row r="126" spans="20:38" ht="14.4" hidden="1" customHeight="1" x14ac:dyDescent="0.3">
      <c r="T126" s="1255"/>
      <c r="U126" s="1255"/>
      <c r="V126" s="1255"/>
      <c r="W126" s="1255"/>
      <c r="X126" s="1255"/>
      <c r="Y126" s="1255"/>
      <c r="Z126" s="1255"/>
      <c r="AA126" s="1255"/>
      <c r="AB126" s="1255"/>
      <c r="AC126" s="1255"/>
      <c r="AD126" s="1255"/>
      <c r="AE126" s="1255"/>
      <c r="AF126" s="1255"/>
      <c r="AG126" s="1255"/>
      <c r="AH126" s="1255"/>
      <c r="AI126" s="1255"/>
      <c r="AJ126" s="1255"/>
      <c r="AK126" s="1255"/>
      <c r="AL126" s="1255"/>
    </row>
    <row r="127" spans="20:38" ht="14.4" hidden="1" customHeight="1" x14ac:dyDescent="0.3">
      <c r="T127" s="1255"/>
      <c r="U127" s="1255"/>
      <c r="V127" s="1255"/>
      <c r="W127" s="1255"/>
      <c r="X127" s="1255"/>
      <c r="Y127" s="1255"/>
      <c r="Z127" s="1255"/>
      <c r="AA127" s="1255"/>
      <c r="AB127" s="1255"/>
      <c r="AC127" s="1255"/>
      <c r="AD127" s="1255"/>
      <c r="AE127" s="1255"/>
      <c r="AF127" s="1255"/>
      <c r="AG127" s="1255"/>
      <c r="AH127" s="1255"/>
      <c r="AI127" s="1255"/>
      <c r="AJ127" s="1255"/>
      <c r="AK127" s="1255"/>
      <c r="AL127" s="1255"/>
    </row>
    <row r="128" spans="20:38" ht="14.4" hidden="1" customHeight="1" x14ac:dyDescent="0.3">
      <c r="T128" s="1255"/>
      <c r="U128" s="1255"/>
      <c r="V128" s="1255"/>
      <c r="W128" s="1255"/>
      <c r="X128" s="1255"/>
      <c r="Y128" s="1255"/>
      <c r="Z128" s="1255"/>
      <c r="AA128" s="1255"/>
      <c r="AB128" s="1255"/>
      <c r="AC128" s="1255"/>
      <c r="AD128" s="1255"/>
      <c r="AE128" s="1255"/>
      <c r="AF128" s="1255"/>
      <c r="AG128" s="1255"/>
      <c r="AH128" s="1255"/>
      <c r="AI128" s="1255"/>
      <c r="AJ128" s="1255"/>
      <c r="AK128" s="1255"/>
      <c r="AL128" s="1255"/>
    </row>
    <row r="129" spans="20:38" ht="14.4" hidden="1" customHeight="1" x14ac:dyDescent="0.3">
      <c r="T129" s="1255"/>
      <c r="U129" s="1255"/>
      <c r="V129" s="1255"/>
      <c r="W129" s="1255"/>
      <c r="X129" s="1255"/>
      <c r="Y129" s="1255"/>
      <c r="Z129" s="1255"/>
      <c r="AA129" s="1255"/>
      <c r="AB129" s="1255"/>
      <c r="AC129" s="1255"/>
      <c r="AD129" s="1255"/>
      <c r="AE129" s="1255"/>
      <c r="AF129" s="1255"/>
      <c r="AG129" s="1255"/>
      <c r="AH129" s="1255"/>
      <c r="AI129" s="1255"/>
      <c r="AJ129" s="1255"/>
      <c r="AK129" s="1255"/>
      <c r="AL129" s="1255"/>
    </row>
    <row r="130" spans="20:38" ht="14.4" hidden="1" customHeight="1" x14ac:dyDescent="0.3">
      <c r="T130" s="1255"/>
      <c r="U130" s="1255"/>
      <c r="V130" s="1255"/>
      <c r="W130" s="1255"/>
      <c r="X130" s="1255"/>
      <c r="Y130" s="1255"/>
      <c r="Z130" s="1255"/>
      <c r="AA130" s="1255"/>
      <c r="AB130" s="1255"/>
      <c r="AC130" s="1255"/>
      <c r="AD130" s="1255"/>
      <c r="AE130" s="1255"/>
      <c r="AF130" s="1255"/>
      <c r="AG130" s="1255"/>
      <c r="AH130" s="1255"/>
      <c r="AI130" s="1255"/>
      <c r="AJ130" s="1255"/>
      <c r="AK130" s="1255"/>
      <c r="AL130" s="1255"/>
    </row>
    <row r="131" spans="20:38" ht="14.4" hidden="1" customHeight="1" x14ac:dyDescent="0.3">
      <c r="T131" s="1255"/>
      <c r="U131" s="1255"/>
      <c r="V131" s="1255"/>
      <c r="W131" s="1255"/>
      <c r="X131" s="1255"/>
      <c r="Y131" s="1255"/>
      <c r="Z131" s="1255"/>
      <c r="AA131" s="1255"/>
      <c r="AB131" s="1255"/>
      <c r="AC131" s="1255"/>
      <c r="AD131" s="1255"/>
      <c r="AE131" s="1255"/>
      <c r="AF131" s="1255"/>
      <c r="AG131" s="1255"/>
      <c r="AH131" s="1255"/>
      <c r="AI131" s="1255"/>
      <c r="AJ131" s="1255"/>
      <c r="AK131" s="1255"/>
      <c r="AL131" s="1255"/>
    </row>
    <row r="132" spans="20:38" ht="14.4" hidden="1" customHeight="1" x14ac:dyDescent="0.3">
      <c r="T132" s="1255"/>
      <c r="U132" s="1255"/>
      <c r="V132" s="1255"/>
      <c r="W132" s="1255"/>
      <c r="X132" s="1255"/>
      <c r="Y132" s="1255"/>
      <c r="Z132" s="1255"/>
      <c r="AA132" s="1255"/>
      <c r="AB132" s="1255"/>
      <c r="AC132" s="1255"/>
      <c r="AD132" s="1255"/>
      <c r="AE132" s="1255"/>
      <c r="AF132" s="1255"/>
      <c r="AG132" s="1255"/>
      <c r="AH132" s="1255"/>
      <c r="AI132" s="1255"/>
      <c r="AJ132" s="1255"/>
      <c r="AK132" s="1255"/>
      <c r="AL132" s="1255"/>
    </row>
    <row r="133" spans="20:38" ht="14.4" hidden="1" customHeight="1" x14ac:dyDescent="0.3">
      <c r="T133" s="1255"/>
      <c r="U133" s="1255"/>
      <c r="V133" s="1255"/>
      <c r="W133" s="1255"/>
      <c r="X133" s="1255"/>
      <c r="Y133" s="1255"/>
      <c r="Z133" s="1255"/>
      <c r="AA133" s="1255"/>
      <c r="AB133" s="1255"/>
      <c r="AC133" s="1255"/>
      <c r="AD133" s="1255"/>
      <c r="AE133" s="1255"/>
      <c r="AF133" s="1255"/>
      <c r="AG133" s="1255"/>
      <c r="AH133" s="1255"/>
      <c r="AI133" s="1255"/>
      <c r="AJ133" s="1255"/>
      <c r="AK133" s="1255"/>
      <c r="AL133" s="1255"/>
    </row>
    <row r="134" spans="20:38" ht="14.4" hidden="1" customHeight="1" x14ac:dyDescent="0.3">
      <c r="T134" s="1255"/>
      <c r="U134" s="1255"/>
      <c r="V134" s="1255"/>
      <c r="W134" s="1255"/>
      <c r="X134" s="1255"/>
      <c r="Y134" s="1255"/>
      <c r="Z134" s="1255"/>
      <c r="AA134" s="1255"/>
      <c r="AB134" s="1255"/>
      <c r="AC134" s="1255"/>
      <c r="AD134" s="1255"/>
      <c r="AE134" s="1255"/>
      <c r="AF134" s="1255"/>
      <c r="AG134" s="1255"/>
      <c r="AH134" s="1255"/>
      <c r="AI134" s="1255"/>
      <c r="AJ134" s="1255"/>
      <c r="AK134" s="1255"/>
      <c r="AL134" s="1255"/>
    </row>
    <row r="135" spans="20:38" ht="14.4" hidden="1" customHeight="1" x14ac:dyDescent="0.3">
      <c r="T135" s="1255"/>
      <c r="U135" s="1255"/>
      <c r="V135" s="1255"/>
      <c r="W135" s="1255"/>
      <c r="X135" s="1255"/>
      <c r="Y135" s="1255"/>
      <c r="Z135" s="1255"/>
      <c r="AA135" s="1255"/>
      <c r="AB135" s="1255"/>
      <c r="AC135" s="1255"/>
      <c r="AD135" s="1255"/>
      <c r="AE135" s="1255"/>
      <c r="AF135" s="1255"/>
      <c r="AG135" s="1255"/>
      <c r="AH135" s="1255"/>
      <c r="AI135" s="1255"/>
      <c r="AJ135" s="1255"/>
      <c r="AK135" s="1255"/>
      <c r="AL135" s="1255"/>
    </row>
    <row r="136" spans="20:38" ht="14.4" hidden="1" customHeight="1" x14ac:dyDescent="0.3">
      <c r="T136" s="1255"/>
      <c r="U136" s="1255"/>
      <c r="V136" s="1255"/>
      <c r="W136" s="1255"/>
      <c r="X136" s="1255"/>
      <c r="Y136" s="1255"/>
      <c r="Z136" s="1255"/>
      <c r="AA136" s="1255"/>
      <c r="AB136" s="1255"/>
      <c r="AC136" s="1255"/>
      <c r="AD136" s="1255"/>
      <c r="AE136" s="1255"/>
      <c r="AF136" s="1255"/>
      <c r="AG136" s="1255"/>
      <c r="AH136" s="1255"/>
      <c r="AI136" s="1255"/>
      <c r="AJ136" s="1255"/>
      <c r="AK136" s="1255"/>
      <c r="AL136" s="1255"/>
    </row>
    <row r="137" spans="20:38" ht="14.4" hidden="1" customHeight="1" x14ac:dyDescent="0.3">
      <c r="T137" s="1255"/>
      <c r="U137" s="1255"/>
      <c r="V137" s="1255"/>
      <c r="W137" s="1255"/>
      <c r="X137" s="1255"/>
      <c r="Y137" s="1255"/>
      <c r="Z137" s="1255"/>
      <c r="AA137" s="1255"/>
      <c r="AB137" s="1255"/>
      <c r="AC137" s="1255"/>
      <c r="AD137" s="1255"/>
      <c r="AE137" s="1255"/>
      <c r="AF137" s="1255"/>
      <c r="AG137" s="1255"/>
      <c r="AH137" s="1255"/>
      <c r="AI137" s="1255"/>
      <c r="AJ137" s="1255"/>
      <c r="AK137" s="1255"/>
      <c r="AL137" s="1255"/>
    </row>
    <row r="138" spans="20:38" ht="14.4" hidden="1" customHeight="1" x14ac:dyDescent="0.3">
      <c r="T138" s="1255"/>
      <c r="U138" s="1255"/>
      <c r="V138" s="1255"/>
      <c r="W138" s="1255"/>
      <c r="X138" s="1255"/>
      <c r="Y138" s="1255"/>
      <c r="Z138" s="1255"/>
      <c r="AA138" s="1255"/>
      <c r="AB138" s="1255"/>
      <c r="AC138" s="1255"/>
      <c r="AD138" s="1255"/>
      <c r="AE138" s="1255"/>
      <c r="AF138" s="1255"/>
      <c r="AG138" s="1255"/>
      <c r="AH138" s="1255"/>
      <c r="AI138" s="1255"/>
      <c r="AJ138" s="1255"/>
      <c r="AK138" s="1255"/>
      <c r="AL138" s="1255"/>
    </row>
  </sheetData>
  <sheetProtection algorithmName="SHA-512" hashValue="INF3qXN0YnFx81gT/Va9EZ4wAaN/F14MhPaxIRFdfj+E2vOmqxdYKMHv+eCEVxO99xR/fcQqchjMnq/fCIAL/Q==" saltValue="UYymcf+wNe/lpVWQ7HZD7Q==" spinCount="100000" sheet="1" objects="1" scenarios="1" selectLockedCells="1"/>
  <mergeCells count="94">
    <mergeCell ref="AQ7:AQ27"/>
    <mergeCell ref="A2:AJ3"/>
    <mergeCell ref="AP2:AS3"/>
    <mergeCell ref="BD3:BH3"/>
    <mergeCell ref="BI3:BM3"/>
    <mergeCell ref="B5:D5"/>
    <mergeCell ref="F5:H5"/>
    <mergeCell ref="J5:L5"/>
    <mergeCell ref="N5:P5"/>
    <mergeCell ref="R5:T5"/>
    <mergeCell ref="V5:X5"/>
    <mergeCell ref="B7:F7"/>
    <mergeCell ref="S7:U7"/>
    <mergeCell ref="AJ7:AJ8"/>
    <mergeCell ref="B8:F8"/>
    <mergeCell ref="H8:Q8"/>
    <mergeCell ref="M10:Q10"/>
    <mergeCell ref="AC8:AG8"/>
    <mergeCell ref="B9:F9"/>
    <mergeCell ref="H9:Q9"/>
    <mergeCell ref="AC9:AD9"/>
    <mergeCell ref="S8:Y9"/>
    <mergeCell ref="AF9:AK9"/>
    <mergeCell ref="AD10:AD12"/>
    <mergeCell ref="AE10:AE16"/>
    <mergeCell ref="AD14:AD21"/>
    <mergeCell ref="AB19:AC19"/>
    <mergeCell ref="S13:Y17"/>
    <mergeCell ref="S10:Y12"/>
    <mergeCell ref="S18:Y23"/>
    <mergeCell ref="H10:L10"/>
    <mergeCell ref="B13:F13"/>
    <mergeCell ref="B14:F14"/>
    <mergeCell ref="B19:F19"/>
    <mergeCell ref="B21:F21"/>
    <mergeCell ref="H23:Q23"/>
    <mergeCell ref="H13:Q13"/>
    <mergeCell ref="H14:Q14"/>
    <mergeCell ref="H18:Q18"/>
    <mergeCell ref="H19:Q19"/>
    <mergeCell ref="N20:Q20"/>
    <mergeCell ref="H21:J22"/>
    <mergeCell ref="K21:M22"/>
    <mergeCell ref="N21:Q22"/>
    <mergeCell ref="B11:F11"/>
    <mergeCell ref="H11:L11"/>
    <mergeCell ref="M11:Q11"/>
    <mergeCell ref="B12:F12"/>
    <mergeCell ref="H12:Q12"/>
    <mergeCell ref="AR14:AR18"/>
    <mergeCell ref="B15:F15"/>
    <mergeCell ref="H15:Q15"/>
    <mergeCell ref="B16:E16"/>
    <mergeCell ref="F16:I16"/>
    <mergeCell ref="J16:M16"/>
    <mergeCell ref="N16:Q16"/>
    <mergeCell ref="B17:F17"/>
    <mergeCell ref="H17:Q17"/>
    <mergeCell ref="B18:F18"/>
    <mergeCell ref="AM14:AM21"/>
    <mergeCell ref="AN19:AO19"/>
    <mergeCell ref="AR19:AR23"/>
    <mergeCell ref="B20:E20"/>
    <mergeCell ref="F20:I20"/>
    <mergeCell ref="J20:M20"/>
    <mergeCell ref="B24:F24"/>
    <mergeCell ref="H24:Q24"/>
    <mergeCell ref="AC24:AG24"/>
    <mergeCell ref="B25:F25"/>
    <mergeCell ref="H25:Q25"/>
    <mergeCell ref="S24:U24"/>
    <mergeCell ref="S25:Y31"/>
    <mergeCell ref="AF25:AK25"/>
    <mergeCell ref="B26:F26"/>
    <mergeCell ref="H26:Q26"/>
    <mergeCell ref="AJ26:AJ27"/>
    <mergeCell ref="B27:F27"/>
    <mergeCell ref="H27:Q27"/>
    <mergeCell ref="G7:R7"/>
    <mergeCell ref="AI30:AK30"/>
    <mergeCell ref="AO31:AR32"/>
    <mergeCell ref="B32:Q32"/>
    <mergeCell ref="B28:F28"/>
    <mergeCell ref="H28:Q28"/>
    <mergeCell ref="H29:I29"/>
    <mergeCell ref="J29:Q29"/>
    <mergeCell ref="B30:J31"/>
    <mergeCell ref="K30:K31"/>
    <mergeCell ref="L30:Q31"/>
    <mergeCell ref="AF30:AH30"/>
    <mergeCell ref="AB29:AO29"/>
    <mergeCell ref="AM23:AM25"/>
    <mergeCell ref="AL19:AL25"/>
    <mergeCell ref="AC25:AD25"/>
  </mergeCells>
  <conditionalFormatting sqref="B9:G9">
    <cfRule type="expression" dxfId="481" priority="69">
      <formula>$B$9=0</formula>
    </cfRule>
  </conditionalFormatting>
  <conditionalFormatting sqref="B18:Q18">
    <cfRule type="expression" dxfId="480" priority="68">
      <formula>$B$18=0</formula>
    </cfRule>
  </conditionalFormatting>
  <conditionalFormatting sqref="B14:Q14">
    <cfRule type="expression" dxfId="479" priority="67">
      <formula>$B$14=0</formula>
    </cfRule>
  </conditionalFormatting>
  <conditionalFormatting sqref="B19:G19">
    <cfRule type="expression" dxfId="478" priority="65">
      <formula>$B$19=0</formula>
    </cfRule>
  </conditionalFormatting>
  <conditionalFormatting sqref="H23">
    <cfRule type="expression" dxfId="477" priority="70">
      <formula>$H$25&gt;0</formula>
    </cfRule>
  </conditionalFormatting>
  <conditionalFormatting sqref="AA9:AA10 AA24:AA25">
    <cfRule type="expression" dxfId="476" priority="79">
      <formula>$AU$17=1</formula>
    </cfRule>
  </conditionalFormatting>
  <conditionalFormatting sqref="AP9:AP10 AP24:AP25">
    <cfRule type="expression" dxfId="475" priority="80">
      <formula>$AU$17=2</formula>
    </cfRule>
  </conditionalFormatting>
  <conditionalFormatting sqref="AC6:AD6 AM6:AN6">
    <cfRule type="expression" dxfId="474" priority="81">
      <formula>$AU$17=3</formula>
    </cfRule>
  </conditionalFormatting>
  <conditionalFormatting sqref="AC28:AD28 AM28:AN28">
    <cfRule type="expression" dxfId="473" priority="82">
      <formula>$AU$17=4</formula>
    </cfRule>
  </conditionalFormatting>
  <conditionalFormatting sqref="AA16:AA17">
    <cfRule type="expression" dxfId="472" priority="91">
      <formula>$AU$24="1_3"</formula>
    </cfRule>
  </conditionalFormatting>
  <conditionalFormatting sqref="AP16:AP17">
    <cfRule type="expression" dxfId="471" priority="92">
      <formula>$AU$24="2_3"</formula>
    </cfRule>
  </conditionalFormatting>
  <conditionalFormatting sqref="AH6:AI6">
    <cfRule type="expression" dxfId="470" priority="93">
      <formula>$AU$24="3_3"</formula>
    </cfRule>
  </conditionalFormatting>
  <conditionalFormatting sqref="AH28:AI28">
    <cfRule type="expression" dxfId="469" priority="94">
      <formula>$AU$24="4_3"</formula>
    </cfRule>
  </conditionalFormatting>
  <conditionalFormatting sqref="B11:G11">
    <cfRule type="expression" dxfId="468" priority="100">
      <formula>$AU$10=0</formula>
    </cfRule>
  </conditionalFormatting>
  <conditionalFormatting sqref="B5 F5 J5 N5 R5 V5">
    <cfRule type="cellIs" dxfId="467" priority="54" operator="equal">
      <formula>$A$2</formula>
    </cfRule>
  </conditionalFormatting>
  <conditionalFormatting sqref="S24">
    <cfRule type="cellIs" dxfId="466" priority="51" operator="equal">
      <formula>0</formula>
    </cfRule>
  </conditionalFormatting>
  <conditionalFormatting sqref="S7">
    <cfRule type="cellIs" dxfId="465" priority="52" operator="equal">
      <formula>0</formula>
    </cfRule>
  </conditionalFormatting>
  <conditionalFormatting sqref="S10:Y23">
    <cfRule type="cellIs" dxfId="464" priority="50" operator="equal">
      <formula>0</formula>
    </cfRule>
  </conditionalFormatting>
  <conditionalFormatting sqref="H9:Q9">
    <cfRule type="expression" dxfId="463" priority="46">
      <formula>$B$9=0</formula>
    </cfRule>
  </conditionalFormatting>
  <conditionalFormatting sqref="M11:Q11">
    <cfRule type="expression" dxfId="462" priority="47">
      <formula>$AU$10=1</formula>
    </cfRule>
  </conditionalFormatting>
  <conditionalFormatting sqref="H11:L11">
    <cfRule type="expression" dxfId="461" priority="48">
      <formula>$AU$10=2</formula>
    </cfRule>
  </conditionalFormatting>
  <conditionalFormatting sqref="H11:Q11">
    <cfRule type="expression" dxfId="460" priority="49">
      <formula>$AU$10=0</formula>
    </cfRule>
  </conditionalFormatting>
  <conditionalFormatting sqref="H10:L10">
    <cfRule type="expression" dxfId="459" priority="40">
      <formula>$AU$10=2</formula>
    </cfRule>
  </conditionalFormatting>
  <conditionalFormatting sqref="H10:L10">
    <cfRule type="expression" dxfId="458" priority="41">
      <formula>$AU$10=0</formula>
    </cfRule>
  </conditionalFormatting>
  <conditionalFormatting sqref="M10:Q10">
    <cfRule type="expression" dxfId="457" priority="38">
      <formula>$AU$10=1</formula>
    </cfRule>
  </conditionalFormatting>
  <conditionalFormatting sqref="M10:Q10">
    <cfRule type="expression" dxfId="456" priority="39">
      <formula>$AU$10=0</formula>
    </cfRule>
  </conditionalFormatting>
  <conditionalFormatting sqref="S8">
    <cfRule type="cellIs" dxfId="455" priority="35" operator="equal">
      <formula>0</formula>
    </cfRule>
  </conditionalFormatting>
  <conditionalFormatting sqref="AQ7:AQ27">
    <cfRule type="cellIs" dxfId="454" priority="36" operator="equal">
      <formula>0</formula>
    </cfRule>
  </conditionalFormatting>
  <conditionalFormatting sqref="S8:Y9">
    <cfRule type="cellIs" dxfId="453" priority="34" operator="equal">
      <formula>0</formula>
    </cfRule>
  </conditionalFormatting>
  <conditionalFormatting sqref="B20:Q20">
    <cfRule type="expression" dxfId="452" priority="32">
      <formula>$B$20=0</formula>
    </cfRule>
    <cfRule type="expression" dxfId="451" priority="33">
      <formula>$B$19=0</formula>
    </cfRule>
  </conditionalFormatting>
  <conditionalFormatting sqref="G7">
    <cfRule type="expression" dxfId="450" priority="31">
      <formula>$AS$33=1</formula>
    </cfRule>
  </conditionalFormatting>
  <conditionalFormatting sqref="G7:R7">
    <cfRule type="cellIs" dxfId="449" priority="30" operator="equal">
      <formula>0</formula>
    </cfRule>
  </conditionalFormatting>
  <conditionalFormatting sqref="R8">
    <cfRule type="expression" dxfId="448" priority="29">
      <formula>$AS$33=1</formula>
    </cfRule>
  </conditionalFormatting>
  <conditionalFormatting sqref="S25:Y31">
    <cfRule type="expression" dxfId="447" priority="28">
      <formula>$AS$33=1</formula>
    </cfRule>
  </conditionalFormatting>
  <conditionalFormatting sqref="AD14:AD21">
    <cfRule type="expression" dxfId="446" priority="8">
      <formula>$AU$25=1</formula>
    </cfRule>
  </conditionalFormatting>
  <conditionalFormatting sqref="AD10:AD12 AB19:AC19">
    <cfRule type="expression" dxfId="445" priority="9">
      <formula>$AU$25=1</formula>
    </cfRule>
  </conditionalFormatting>
  <conditionalFormatting sqref="AM14:AM21">
    <cfRule type="expression" dxfId="444" priority="10">
      <formula>$AU$25=2</formula>
    </cfRule>
  </conditionalFormatting>
  <conditionalFormatting sqref="AM23:AM25 AN19:AO19">
    <cfRule type="expression" dxfId="443" priority="11">
      <formula>$AU$25=2</formula>
    </cfRule>
  </conditionalFormatting>
  <conditionalFormatting sqref="AF9:AK9">
    <cfRule type="expression" dxfId="442" priority="12">
      <formula>$AU$25=3</formula>
    </cfRule>
  </conditionalFormatting>
  <conditionalFormatting sqref="AC9:AD9 AJ7:AJ8">
    <cfRule type="expression" dxfId="441" priority="13">
      <formula>$AU$25=3</formula>
    </cfRule>
  </conditionalFormatting>
  <conditionalFormatting sqref="AF25:AK25">
    <cfRule type="expression" dxfId="440" priority="14">
      <formula>$AU$25=4</formula>
    </cfRule>
  </conditionalFormatting>
  <conditionalFormatting sqref="AC25:AD25 AJ26:AJ27">
    <cfRule type="expression" dxfId="439" priority="15">
      <formula>$AU$25=4</formula>
    </cfRule>
  </conditionalFormatting>
  <conditionalFormatting sqref="AC24:AG24">
    <cfRule type="expression" dxfId="438" priority="16">
      <formula>$AU$25=4</formula>
    </cfRule>
  </conditionalFormatting>
  <conditionalFormatting sqref="AE10:AE16">
    <cfRule type="expression" dxfId="437" priority="17">
      <formula>$AU$25=1</formula>
    </cfRule>
  </conditionalFormatting>
  <conditionalFormatting sqref="AL19:AL25">
    <cfRule type="expression" dxfId="436" priority="18">
      <formula>$AU$25=2</formula>
    </cfRule>
  </conditionalFormatting>
  <conditionalFormatting sqref="AC8:AG8">
    <cfRule type="expression" dxfId="435" priority="19">
      <formula>$AU$25=3</formula>
    </cfRule>
  </conditionalFormatting>
  <conditionalFormatting sqref="AC14 AC20">
    <cfRule type="expression" dxfId="434" priority="20">
      <formula>$AU$25=1</formula>
    </cfRule>
  </conditionalFormatting>
  <conditionalFormatting sqref="AN20 AN14">
    <cfRule type="expression" dxfId="433" priority="21">
      <formula>$AU$25=2</formula>
    </cfRule>
  </conditionalFormatting>
  <conditionalFormatting sqref="AJ10 AF10">
    <cfRule type="expression" dxfId="432" priority="22">
      <formula>$AU$25=3</formula>
    </cfRule>
  </conditionalFormatting>
  <conditionalFormatting sqref="AF26">
    <cfRule type="expression" dxfId="431" priority="23">
      <formula>$AU$25=4</formula>
    </cfRule>
  </conditionalFormatting>
  <conditionalFormatting sqref="AH7:AH8 AH10:AH24 AH26:AH27">
    <cfRule type="expression" dxfId="430" priority="24">
      <formula>$AU$10=2</formula>
    </cfRule>
  </conditionalFormatting>
  <conditionalFormatting sqref="AB17:AC17 AE17:AL17 AN17:AO17">
    <cfRule type="expression" dxfId="429" priority="25">
      <formula>$AU$10=1</formula>
    </cfRule>
  </conditionalFormatting>
  <conditionalFormatting sqref="AH26:AH27 AH18:AH24 AH10:AH16 AH7:AH8">
    <cfRule type="expression" dxfId="428" priority="26">
      <formula>$AU$10=3</formula>
    </cfRule>
  </conditionalFormatting>
  <conditionalFormatting sqref="AB17:AC17 AE17:AG17 AI17:AL17 AN17:AO17">
    <cfRule type="expression" dxfId="427" priority="27">
      <formula>$AU$10=3</formula>
    </cfRule>
  </conditionalFormatting>
  <conditionalFormatting sqref="AB29:AO29">
    <cfRule type="cellIs" dxfId="426" priority="7" operator="equal">
      <formula>0</formula>
    </cfRule>
  </conditionalFormatting>
  <conditionalFormatting sqref="AB29:AO29">
    <cfRule type="expression" dxfId="425" priority="6">
      <formula>$AS$33=1</formula>
    </cfRule>
  </conditionalFormatting>
  <conditionalFormatting sqref="H19:Q19">
    <cfRule type="expression" dxfId="424" priority="4">
      <formula>$B$19=0</formula>
    </cfRule>
  </conditionalFormatting>
  <conditionalFormatting sqref="B16:Q16">
    <cfRule type="expression" dxfId="423" priority="2">
      <formula>$AU$19=0</formula>
    </cfRule>
  </conditionalFormatting>
  <conditionalFormatting sqref="B17:Q17">
    <cfRule type="expression" dxfId="422" priority="1">
      <formula>$B$17=0</formula>
    </cfRule>
  </conditionalFormatting>
  <dataValidations count="11">
    <dataValidation type="list" allowBlank="1" showInputMessage="1" showErrorMessage="1" sqref="H18:I18" xr:uid="{4B2CF6D7-9DB1-4B5E-B815-F2673F3DE7E2}">
      <formula1>INDIRECT(CONCATENATE("_",AV7,"_",H15))</formula1>
    </dataValidation>
    <dataValidation type="list" allowBlank="1" showInputMessage="1" showErrorMessage="1" sqref="J18:Q18" xr:uid="{FB43643D-3D67-405D-AEBD-B2FE855BE061}">
      <formula1>INDIRECT(CONCATENATE("_",AA10,"_",J15))</formula1>
    </dataValidation>
    <dataValidation type="whole" allowBlank="1" showInputMessage="1" showErrorMessage="1" sqref="J11 L11" xr:uid="{4CCFEFA5-B271-4548-8D24-6FB702707737}">
      <formula1>1</formula1>
      <formula2>(V16/100)-1</formula2>
    </dataValidation>
    <dataValidation type="whole" allowBlank="1" showInputMessage="1" showErrorMessage="1" sqref="H11:I11" xr:uid="{BD394B53-4E09-4C1D-96A6-34371C14ADFD}">
      <formula1>1</formula1>
      <formula2>(AR14/100)-1</formula2>
    </dataValidation>
    <dataValidation type="whole" allowBlank="1" showInputMessage="1" showErrorMessage="1" sqref="M11:Q11" xr:uid="{7D0A532B-F865-4F8A-9514-C883EC99D989}">
      <formula1>1</formula1>
      <formula2>(AI30/100)-1</formula2>
    </dataValidation>
    <dataValidation type="whole" allowBlank="1" showInputMessage="1" showErrorMessage="1" sqref="K11" xr:uid="{1ACAAA30-B7F6-420A-BEF7-3C721B5326BF}">
      <formula1>1</formula1>
      <formula2>(#REF!/100)-1</formula2>
    </dataValidation>
    <dataValidation type="whole" allowBlank="1" showInputMessage="1" showErrorMessage="1" errorTitle="Minimum 80 mm" sqref="F20:I20 N20:Q20" xr:uid="{4A1F5D89-7A7E-4D31-B508-A15138EB3AF3}">
      <formula1>80</formula1>
      <formula2>1300</formula2>
    </dataValidation>
    <dataValidation type="list" allowBlank="1" showInputMessage="1" showErrorMessage="1" sqref="H27:Q27" xr:uid="{AC6CCFC5-3AED-4FE0-8DF0-991D4363BA6B}">
      <formula1>_umisteni_zavesu</formula1>
    </dataValidation>
    <dataValidation type="whole" allowBlank="1" showErrorMessage="1" errorTitle="MAX 1300 mm" error="MAXIMUM 1300 mm x 2500 mm" sqref="AI30:AK30" xr:uid="{4E7A61BB-DE12-4B78-BCC5-AB5B28C5E9D6}">
      <formula1>100</formula1>
      <formula2>IF(AR14&gt;=1250,1250,2550)</formula2>
    </dataValidation>
    <dataValidation type="whole" allowBlank="1" showErrorMessage="1" errorTitle="MAX 2500" error="MAXIMUM 1300 mm x 2500 mm" sqref="AR14:AR18" xr:uid="{E66F0B36-E77E-4B59-8E2E-C90ADFFED61F}">
      <formula1>100</formula1>
      <formula2>IF(AI30&gt;=1250,1250,2550)</formula2>
    </dataValidation>
    <dataValidation type="whole" operator="greaterThanOrEqual" allowBlank="1" showInputMessage="1" showErrorMessage="1" sqref="H26:Q26" xr:uid="{D94E01D6-EF9B-4388-BD28-F16FE76FF6C2}">
      <formula1>1</formula1>
    </dataValidation>
  </dataValidations>
  <hyperlinks>
    <hyperlink ref="AP2:AS3" location="Hlavní!A1" display="Hlavní!A1" xr:uid="{0A17E324-99D0-4B4A-BF2E-8545DB2C777C}"/>
    <hyperlink ref="F5:H5" location="Ram_2!A1" display="Ram_2!A1" xr:uid="{0FDF6C99-AC83-4597-A795-9A7BE110C6F7}"/>
    <hyperlink ref="J5:L5" location="Ram_3!A1" display="Ram_3!A1" xr:uid="{C84FF063-4738-4C1D-BB0E-1E5A44B32972}"/>
    <hyperlink ref="N5:P5" location="Ram_4!A1" display="Ram_4!A1" xr:uid="{8C7F8AEB-7A52-419D-ACF3-932012320715}"/>
    <hyperlink ref="R5:T5" location="Ram_5!A1" display="Ram_5!A1" xr:uid="{474CF7F1-6A3A-4FBC-A350-582108E42A90}"/>
    <hyperlink ref="V5:X5" location="Ram_6!A1" display="Ram_6!A1" xr:uid="{A791C979-7B90-4907-83B4-224E0E3F1503}"/>
    <hyperlink ref="B5:D5" location="Ram_1!A1" display="Ram_1!A1" xr:uid="{CD1E61EB-4937-400B-B34E-DB845F9E92F8}"/>
    <hyperlink ref="AO31:AR32" location="_souhrn!A1" display="_souhrn!A1" xr:uid="{5A71DC78-6D78-4779-A328-23F28C816061}"/>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2801" r:id="rId4" name="Check Box 1967">
              <controlPr locked="0" defaultSize="0" autoFill="0" autoLine="0" autoPict="0">
                <anchor moveWithCells="1">
                  <from>
                    <xdr:col>26</xdr:col>
                    <xdr:colOff>685800</xdr:colOff>
                    <xdr:row>0</xdr:row>
                    <xdr:rowOff>0</xdr:rowOff>
                  </from>
                  <to>
                    <xdr:col>27</xdr:col>
                    <xdr:colOff>0</xdr:colOff>
                    <xdr:row>1</xdr:row>
                    <xdr:rowOff>68580</xdr:rowOff>
                  </to>
                </anchor>
              </controlPr>
            </control>
          </mc:Choice>
        </mc:AlternateContent>
        <mc:AlternateContent xmlns:mc="http://schemas.openxmlformats.org/markup-compatibility/2006">
          <mc:Choice Requires="x14">
            <control shapeId="332802" r:id="rId5" name="Option Button 2">
              <controlPr defaultSize="0" autoFill="0" autoLine="0" autoPict="0">
                <anchor moveWithCells="1">
                  <from>
                    <xdr:col>8</xdr:col>
                    <xdr:colOff>91440</xdr:colOff>
                    <xdr:row>20</xdr:row>
                    <xdr:rowOff>45720</xdr:rowOff>
                  </from>
                  <to>
                    <xdr:col>9</xdr:col>
                    <xdr:colOff>22860</xdr:colOff>
                    <xdr:row>21</xdr:row>
                    <xdr:rowOff>30480</xdr:rowOff>
                  </to>
                </anchor>
              </controlPr>
            </control>
          </mc:Choice>
        </mc:AlternateContent>
        <mc:AlternateContent xmlns:mc="http://schemas.openxmlformats.org/markup-compatibility/2006">
          <mc:Choice Requires="x14">
            <control shapeId="332803" r:id="rId6" name="Option Button 3">
              <controlPr defaultSize="0" autoFill="0" autoLine="0" autoPict="0">
                <anchor moveWithCells="1">
                  <from>
                    <xdr:col>11</xdr:col>
                    <xdr:colOff>106680</xdr:colOff>
                    <xdr:row>20</xdr:row>
                    <xdr:rowOff>30480</xdr:rowOff>
                  </from>
                  <to>
                    <xdr:col>12</xdr:col>
                    <xdr:colOff>7620</xdr:colOff>
                    <xdr:row>21</xdr:row>
                    <xdr:rowOff>68580</xdr:rowOff>
                  </to>
                </anchor>
              </controlPr>
            </control>
          </mc:Choice>
        </mc:AlternateContent>
        <mc:AlternateContent xmlns:mc="http://schemas.openxmlformats.org/markup-compatibility/2006">
          <mc:Choice Requires="x14">
            <control shapeId="332804" r:id="rId7" name="Option Button 4">
              <controlPr defaultSize="0" autoFill="0" autoLine="0" autoPict="0">
                <anchor moveWithCells="1">
                  <from>
                    <xdr:col>14</xdr:col>
                    <xdr:colOff>274320</xdr:colOff>
                    <xdr:row>20</xdr:row>
                    <xdr:rowOff>45720</xdr:rowOff>
                  </from>
                  <to>
                    <xdr:col>15</xdr:col>
                    <xdr:colOff>297180</xdr:colOff>
                    <xdr:row>21</xdr:row>
                    <xdr:rowOff>45720</xdr:rowOff>
                  </to>
                </anchor>
              </controlPr>
            </control>
          </mc:Choice>
        </mc:AlternateContent>
        <mc:AlternateContent xmlns:mc="http://schemas.openxmlformats.org/markup-compatibility/2006">
          <mc:Choice Requires="x14">
            <control shapeId="332805" r:id="rId8" name="Check Box 5">
              <controlPr defaultSize="0" autoFill="0" autoLine="0" autoPict="0">
                <anchor moveWithCells="1">
                  <from>
                    <xdr:col>5</xdr:col>
                    <xdr:colOff>68580</xdr:colOff>
                    <xdr:row>6</xdr:row>
                    <xdr:rowOff>0</xdr:rowOff>
                  </from>
                  <to>
                    <xdr:col>5</xdr:col>
                    <xdr:colOff>289560</xdr:colOff>
                    <xdr:row>6</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4" id="{2308F6B2-19D8-42CB-B742-2BC4DF707ED6}">
            <xm:f>kombinace_4!$V$1&lt;3</xm:f>
            <x14:dxf>
              <font>
                <color theme="0"/>
              </font>
              <fill>
                <patternFill>
                  <bgColor theme="0"/>
                </patternFill>
              </fill>
              <border>
                <bottom/>
                <vertical/>
                <horizontal/>
              </border>
            </x14:dxf>
          </x14:cfRule>
          <xm:sqref>B24:Q24</xm:sqref>
        </x14:conditionalFormatting>
        <x14:conditionalFormatting xmlns:xm="http://schemas.microsoft.com/office/excel/2006/main">
          <x14:cfRule type="expression" priority="60" id="{61DEBAEE-C39C-4DE2-9EC4-AAE5B0FD2064}">
            <xm:f>'Translate &amp; Prices'!$D$1=4</xm:f>
            <x14:dxf>
              <numFmt numFmtId="173" formatCode="#,##0.00\ [$Ft-40E]"/>
            </x14:dxf>
          </x14:cfRule>
          <x14:cfRule type="expression" priority="61" id="{B55BFFAD-34CC-4FFB-81E8-025BBB44021E}">
            <xm:f>'Translate &amp; Prices'!$D$1=3</xm:f>
            <x14:dxf>
              <numFmt numFmtId="172" formatCode="#,##0.00\ [$zł-415]"/>
            </x14:dxf>
          </x14:cfRule>
          <x14:cfRule type="expression" priority="62" id="{4022A03C-12B8-469C-812D-FE075CD1C77E}">
            <xm:f>'Translate &amp; Prices'!$D$1=2</xm:f>
            <x14:dxf>
              <numFmt numFmtId="171" formatCode="#,##0.00\ [$€-1]"/>
            </x14:dxf>
          </x14:cfRule>
          <x14:cfRule type="expression" priority="63" id="{5F6A71AA-39DA-46D9-94B5-DCAF87AB95B8}">
            <xm:f>'Translate &amp; Prices'!$D$1=1</xm:f>
            <x14:dxf>
              <numFmt numFmtId="170" formatCode="#,##0.00\ &quot;Kč&quot;"/>
            </x14:dxf>
          </x14:cfRule>
          <xm:sqref>L30</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29F112B3-AACC-41E4-B65A-D6A24018F81B}">
          <x14:formula1>
            <xm:f>IF($H$12=kombinace_1!$DP$2,_znacka_zavesy,_znacka_vyklopy)</xm:f>
          </x14:formula1>
          <xm:sqref>H13:Q13</xm:sqref>
        </x14:dataValidation>
        <x14:dataValidation type="list" allowBlank="1" showInputMessage="1" showErrorMessage="1" xr:uid="{1A911DEF-39AC-4678-8C23-D15A209F7CAF}">
          <x14:formula1>
            <xm:f>'Translate &amp; Prices'!$B$536:$B$537</xm:f>
          </x14:formula1>
          <xm:sqref>H29:I29</xm:sqref>
        </x14:dataValidation>
        <x14:dataValidation type="list" allowBlank="1" showInputMessage="1" showErrorMessage="1" xr:uid="{75F4A64B-6E6E-4732-9E20-11263F9F6F72}">
          <x14:formula1>
            <xm:f>kombinace_1!$X$3:$X$5</xm:f>
          </x14:formula1>
          <xm:sqref>H24:Q24</xm:sqref>
        </x14:dataValidation>
        <x14:dataValidation type="list" allowBlank="1" showInputMessage="1" showErrorMessage="1" xr:uid="{EAEAAE19-32A0-4165-80D9-F14C584D381F}">
          <x14:formula1>
            <xm:f>kombinace_1!$BY$13:$BY$16</xm:f>
          </x14:formula1>
          <xm:sqref>H9:Q9</xm:sqref>
        </x14:dataValidation>
        <x14:dataValidation type="list" allowBlank="1" showInputMessage="1" showErrorMessage="1" xr:uid="{970ADF36-EB24-4EC4-8A67-7D8181B40370}">
          <x14:formula1>
            <xm:f>kombinace_1!$DN$2:$DN$4</xm:f>
          </x14:formula1>
          <xm:sqref>H14:Q14</xm:sqref>
        </x14:dataValidation>
        <x14:dataValidation type="list" allowBlank="1" showInputMessage="1" showErrorMessage="1" xr:uid="{1D4C5D24-A879-46EA-BC69-7535E25F349B}">
          <x14:formula1>
            <xm:f>IF(AU9=2,INDIRECT(CONCATENATE("_",AV7,"_",H13,"_",AA29)),IF(AU9=3,INDIRECT(VLOOKUP(H13,kombinace_1!$AA:$AB,2,0))))</xm:f>
          </x14:formula1>
          <xm:sqref>H15</xm:sqref>
        </x14:dataValidation>
        <x14:dataValidation type="list" allowBlank="1" showInputMessage="1" showErrorMessage="1" xr:uid="{2C2F064E-C0A4-4B9D-B64F-F2EEF4646C30}">
          <x14:formula1>
            <xm:f>IF(#REF!=2,INDIRECT(CONCATENATE("_",AA10,"_",J13,"_",AA20)),IF(#REF!=3,INDIRECT(VLOOKUP(J13,kombinace_1!$AA:$AB,2,0))))</xm:f>
          </x14:formula1>
          <xm:sqref>J15</xm:sqref>
        </x14:dataValidation>
        <x14:dataValidation type="list" allowBlank="1" showInputMessage="1" showErrorMessage="1" xr:uid="{F5009543-AAC9-4D67-87E8-4E54500B7F30}">
          <x14:formula1>
            <xm:f>IF(AA12=2,INDIRECT(CONCATENATE("_",AB10,"_",K13,"_",AB20)),IF(AA12=3,INDIRECT(VLOOKUP(K13,kombinace_1!$AA:$AB,2,0))))</xm:f>
          </x14:formula1>
          <xm:sqref>K15:Q15</xm:sqref>
        </x14:dataValidation>
        <x14:dataValidation type="list" allowBlank="1" showInputMessage="1" showErrorMessage="1" xr:uid="{7DA57FEB-D4D1-475A-B8D8-159C4DCFBA3E}">
          <x14:formula1>
            <xm:f>IF(AV9=2,INDIRECT(CONCATENATE("_",#REF!,"_",I13,"_",#REF!)),IF(AV9=3,INDIRECT(VLOOKUP(I13,kombinace_1!$AA:$AB,2,0))))</xm:f>
          </x14:formula1>
          <xm:sqref>I15</xm:sqref>
        </x14:dataValidation>
        <x14:dataValidation type="list" allowBlank="1" showInputMessage="1" showErrorMessage="1" xr:uid="{7C511900-CD9C-41C5-A2AA-9B4F6A9F1E92}">
          <x14:formula1>
            <xm:f>IF(kombinace_4!H1=TRUE,kombinace_1!$BQ$2,kombinace_1!$BQ$2:$BR$2)</xm:f>
          </x14:formula1>
          <xm:sqref>H12:Q12</xm:sqref>
        </x14:dataValidation>
        <x14:dataValidation type="list" allowBlank="1" showInputMessage="1" showErrorMessage="1" xr:uid="{06591720-F297-48AC-9BE2-F506E4B4D9C1}">
          <x14:formula1>
            <xm:f>IF(kombinace_4!H1=TRUE,_kombinovane_profily,_vše_profily)</xm:f>
          </x14:formula1>
          <xm:sqref>H8:Q8</xm:sqref>
        </x14:dataValidation>
        <x14:dataValidation type="list" allowBlank="1" showInputMessage="1" showErrorMessage="1" xr:uid="{E5FD9BC9-2F05-49C9-8934-74DDE88D9BE9}">
          <x14:formula1>
            <xm:f>IF(OR(H8=kombinace_1!A15,H8=kombinace_1!A16,H8=kombinace_1!A17,H8=kombinace_1!A22,H8=kombinace_1!A23,,H8=kombinace_1!A24,H8=kombinace_1!A25),_corleone,IF(H8="",_N1,INDIRECT(kombinace_4!S1)))</xm:f>
          </x14:formula1>
          <xm:sqref>H25:Q25</xm:sqref>
        </x14:dataValidation>
        <x14:dataValidation type="list" allowBlank="1" showInputMessage="1" showErrorMessage="1" xr:uid="{4A6AEDBC-90CB-40FD-99D1-89AC641BAA44}">
          <x14:formula1>
            <xm:f>IF(AM19&lt;2100,kombinace_1!BY8:BY12,kombinace_1!BY9:BY12)</xm:f>
          </x14:formula1>
          <xm:sqref>H19:Q19</xm:sqref>
        </x14:dataValidation>
        <x14:dataValidation type="list" allowBlank="1" showInputMessage="1" showErrorMessage="1" xr:uid="{8E26B797-6074-424F-91E8-3ACA5B0E867E}">
          <x14:formula1>
            <xm:f>IF(H15=kombinace_1!AB40,'Translate &amp; Prices'!$B$209:$B$211,IF(H15=kombinace_1!AB41,'Translate &amp; Prices'!$B$209:$B$211,'Translate &amp; Prices'!$B$213:$B$217))</xm:f>
          </x14:formula1>
          <xm:sqref>N16:Q16</xm:sqref>
        </x14:dataValidation>
        <x14:dataValidation type="list" allowBlank="1" showInputMessage="1" showErrorMessage="1" xr:uid="{B8149993-F7AE-4C34-BB65-7ED5D9C9A67B}">
          <x14:formula1>
            <xm:f>IF(H15=kombinace_1!AB40,_strong_vzpera_horni,IF(H15=kombinace_1!AB41,_strong_klopna,'Translate &amp; Prices'!$B$165:$B$166))</xm:f>
          </x14:formula1>
          <xm:sqref>F16:I16</xm:sqref>
        </x14:dataValidation>
        <x14:dataValidation type="list" allowBlank="1" showInputMessage="1" showErrorMessage="1" xr:uid="{4B3C4091-ADEF-4341-88C0-CFEA60C4508A}">
          <x14:formula1>
            <xm:f>IF(OR(H8=kombinace_1!F14,H8=kombinace_1!F15,H8=kombinace_1!F16,H8=kombinace_1!F17,H8=kombinace_1!F18,H8=kombinace_1!F19),_zavesy_kombo,IF(H15=kombinace_1!AB8,_ramena_HL,_umisteni_zavesu))</xm:f>
          </x14:formula1>
          <xm:sqref>H17:Q17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920E9-CF03-4EEA-B561-3F98AD8EDFA4}">
  <sheetPr codeName="List16"/>
  <dimension ref="A1:DQ61"/>
  <sheetViews>
    <sheetView topLeftCell="BB1" zoomScale="66" workbookViewId="0">
      <selection activeCell="CD1" sqref="CD1:CF1048576"/>
    </sheetView>
  </sheetViews>
  <sheetFormatPr defaultRowHeight="14.4" x14ac:dyDescent="0.3"/>
  <cols>
    <col min="1" max="1" width="29.109375" style="137" bestFit="1" customWidth="1"/>
    <col min="2" max="2" width="24" style="137" customWidth="1"/>
    <col min="3" max="3" width="17" style="137" bestFit="1" customWidth="1"/>
    <col min="4" max="4" width="17" style="137" customWidth="1"/>
    <col min="5" max="5" width="3" style="406" customWidth="1"/>
    <col min="6" max="6" width="15.44140625" style="137" bestFit="1" customWidth="1"/>
    <col min="7" max="7" width="11.109375" style="137" bestFit="1" customWidth="1"/>
    <col min="8" max="8" width="18.109375" style="137" bestFit="1" customWidth="1"/>
    <col min="9" max="9" width="24.109375" style="137" bestFit="1" customWidth="1"/>
    <col min="10" max="11" width="18.109375" style="137" customWidth="1"/>
    <col min="12" max="12" width="3" style="406" customWidth="1"/>
    <col min="13" max="13" width="21" style="137" bestFit="1" customWidth="1"/>
    <col min="14" max="14" width="15" style="137" bestFit="1" customWidth="1"/>
    <col min="15" max="15" width="3" style="406" customWidth="1"/>
    <col min="16" max="16" width="23.109375" style="137" customWidth="1"/>
    <col min="17" max="18" width="19.44140625" style="137" bestFit="1" customWidth="1"/>
    <col min="19" max="19" width="19.44140625" style="137" customWidth="1"/>
    <col min="20" max="21" width="15.109375" style="137" customWidth="1"/>
    <col min="22" max="22" width="19.44140625" style="137" bestFit="1" customWidth="1"/>
    <col min="23" max="23" width="3" style="406" customWidth="1"/>
    <col min="24" max="24" width="12.21875" style="137" bestFit="1" customWidth="1"/>
    <col min="25" max="25" width="4.109375" style="137" bestFit="1" customWidth="1"/>
    <col min="26" max="26" width="3" style="406" customWidth="1"/>
    <col min="27" max="27" width="18.5546875" style="137" bestFit="1" customWidth="1"/>
    <col min="28" max="28" width="17.33203125" style="137" bestFit="1" customWidth="1"/>
    <col min="29" max="29" width="14.33203125" style="137" bestFit="1" customWidth="1"/>
    <col min="30" max="30" width="16.44140625" style="137" customWidth="1"/>
    <col min="31" max="31" width="3" style="406" customWidth="1"/>
    <col min="32" max="32" width="17.33203125" style="137" customWidth="1"/>
    <col min="33" max="48" width="16.5546875" style="137" customWidth="1"/>
    <col min="49" max="49" width="3" style="406" customWidth="1"/>
    <col min="50" max="53" width="19.6640625" style="137" customWidth="1"/>
    <col min="54" max="54" width="3" style="406" customWidth="1"/>
    <col min="55" max="61" width="9.5546875" style="137" customWidth="1"/>
    <col min="62" max="62" width="3" style="406" customWidth="1"/>
    <col min="63" max="63" width="17.33203125" style="137" bestFit="1" customWidth="1"/>
    <col min="64" max="64" width="3" style="406" customWidth="1"/>
    <col min="65" max="65" width="12.88671875" style="137" customWidth="1"/>
    <col min="66" max="68" width="8.88671875" style="137"/>
    <col min="69" max="69" width="6.88671875" style="137" bestFit="1" customWidth="1"/>
    <col min="70" max="70" width="18.5546875" style="137" bestFit="1" customWidth="1"/>
    <col min="71" max="72" width="8.88671875" style="137"/>
    <col min="73" max="73" width="13.77734375" style="137" customWidth="1"/>
    <col min="74" max="74" width="32.6640625" style="137" customWidth="1"/>
    <col min="75" max="75" width="17.77734375" style="137" customWidth="1"/>
    <col min="76" max="76" width="8.88671875" style="137"/>
    <col min="77" max="77" width="21.33203125" style="137" bestFit="1" customWidth="1"/>
    <col min="78" max="81" width="8.88671875" style="137"/>
    <col min="82" max="82" width="16.5546875" style="137" customWidth="1"/>
    <col min="83" max="84" width="8.88671875" style="137"/>
    <col min="85" max="85" width="28.77734375" style="137" bestFit="1" customWidth="1"/>
    <col min="86" max="86" width="23.33203125" style="137" bestFit="1" customWidth="1"/>
    <col min="87" max="87" width="20.88671875" style="137" bestFit="1" customWidth="1"/>
    <col min="88" max="88" width="22.109375" style="137" bestFit="1" customWidth="1"/>
    <col min="89" max="89" width="23.5546875" style="137" bestFit="1" customWidth="1"/>
    <col min="90" max="90" width="20.109375" style="137" bestFit="1" customWidth="1"/>
    <col min="91" max="91" width="23.5546875" style="137" bestFit="1" customWidth="1"/>
    <col min="92" max="92" width="20.109375" style="137" bestFit="1" customWidth="1"/>
    <col min="93" max="93" width="23.5546875" style="137" bestFit="1" customWidth="1"/>
    <col min="94" max="94" width="20.109375" style="137" bestFit="1" customWidth="1"/>
    <col min="95" max="95" width="21.44140625" style="137" bestFit="1" customWidth="1"/>
    <col min="96" max="96" width="19.109375" style="137" bestFit="1" customWidth="1"/>
    <col min="97" max="97" width="21.44140625" style="137" bestFit="1" customWidth="1"/>
    <col min="98" max="98" width="19.109375" style="137" bestFit="1" customWidth="1"/>
    <col min="99" max="99" width="23.5546875" style="137" bestFit="1" customWidth="1"/>
    <col min="100" max="100" width="20.109375" style="137" bestFit="1" customWidth="1"/>
    <col min="101" max="102" width="19.109375" style="137" bestFit="1" customWidth="1"/>
    <col min="103" max="103" width="23.5546875" style="137" bestFit="1" customWidth="1"/>
    <col min="104" max="104" width="20.109375" style="137" bestFit="1" customWidth="1"/>
    <col min="105" max="110" width="19.109375" style="137" bestFit="1" customWidth="1"/>
    <col min="111" max="111" width="23.5546875" style="137" bestFit="1" customWidth="1"/>
    <col min="112" max="112" width="20.109375" style="137" bestFit="1" customWidth="1"/>
    <col min="113" max="113" width="23.5546875" style="137" bestFit="1" customWidth="1"/>
    <col min="114" max="114" width="20.109375" style="137" bestFit="1" customWidth="1"/>
    <col min="115" max="116" width="19.109375" style="137" bestFit="1" customWidth="1"/>
    <col min="117" max="16384" width="8.88671875" style="137"/>
  </cols>
  <sheetData>
    <row r="1" spans="1:121" x14ac:dyDescent="0.3">
      <c r="A1" s="376" t="s">
        <v>38</v>
      </c>
      <c r="B1" s="405"/>
      <c r="C1" s="405"/>
      <c r="D1" s="405"/>
      <c r="F1" s="376" t="s">
        <v>2064</v>
      </c>
      <c r="G1" s="405"/>
      <c r="H1" s="405" t="b">
        <v>0</v>
      </c>
      <c r="I1" s="405"/>
      <c r="J1" s="405"/>
      <c r="K1" s="405"/>
      <c r="M1" s="376" t="s">
        <v>2065</v>
      </c>
      <c r="N1" s="405"/>
      <c r="P1" s="405" t="e" cm="1">
        <f t="array" ref="P1">IF($S$1=Varianta_N1,_N1,IF($S$1=Varianta_A1,_A1,IF($S$1=Varianta_N2,_N2,IF($S$1=Varianta_A2,_A2,IF($S$1=Varianta_N3,_N3,IF($S$1=Varianta_A3,_A3,0))))))</f>
        <v>#N/A</v>
      </c>
      <c r="Q1" s="412" t="s">
        <v>2132</v>
      </c>
      <c r="R1" s="413" t="e">
        <f>VLOOKUP(Ram_4!H8,$A:$C,3,0)</f>
        <v>#N/A</v>
      </c>
      <c r="S1" s="405" t="e">
        <f>CONCATENATE("_",R1,V1)</f>
        <v>#N/A</v>
      </c>
      <c r="T1" s="405"/>
      <c r="U1" s="412" t="s">
        <v>2131</v>
      </c>
      <c r="V1" s="413">
        <v>1</v>
      </c>
      <c r="X1" s="376" t="s">
        <v>2066</v>
      </c>
      <c r="Y1" s="405"/>
      <c r="AA1" s="405" t="s">
        <v>1085</v>
      </c>
      <c r="AB1" s="405"/>
      <c r="AC1" s="405"/>
      <c r="AD1" s="405"/>
      <c r="AF1" s="405" t="s">
        <v>2067</v>
      </c>
      <c r="AG1" s="405"/>
      <c r="AH1" s="405"/>
      <c r="AI1" s="405"/>
      <c r="AJ1" s="405"/>
      <c r="AK1" s="405"/>
      <c r="AL1" s="405"/>
      <c r="AM1" s="405"/>
      <c r="AN1" s="405"/>
      <c r="AO1" s="405"/>
      <c r="AP1" s="405"/>
      <c r="AQ1" s="405"/>
      <c r="AR1" s="405"/>
      <c r="AS1" s="405"/>
      <c r="AT1" s="405"/>
      <c r="AU1" s="405"/>
      <c r="AV1" s="405"/>
      <c r="AX1" s="405" t="s">
        <v>735</v>
      </c>
      <c r="AY1" s="405"/>
      <c r="AZ1" s="405"/>
      <c r="BA1" s="405"/>
      <c r="BC1" s="405" t="s">
        <v>22</v>
      </c>
      <c r="BD1" s="405"/>
      <c r="BE1" s="405"/>
      <c r="BF1" s="405"/>
      <c r="BG1" s="405"/>
      <c r="BH1" s="405"/>
      <c r="BI1" s="405"/>
      <c r="BK1" s="405" t="s">
        <v>1031</v>
      </c>
      <c r="BM1" s="137" t="s">
        <v>2121</v>
      </c>
      <c r="BQ1" s="414" t="s">
        <v>1441</v>
      </c>
    </row>
    <row r="2" spans="1:121" x14ac:dyDescent="0.3">
      <c r="A2" s="407" t="s">
        <v>2068</v>
      </c>
      <c r="B2" s="407" t="s">
        <v>2125</v>
      </c>
      <c r="C2" s="407" t="s">
        <v>2126</v>
      </c>
      <c r="D2" s="407" t="s">
        <v>2065</v>
      </c>
      <c r="F2" s="407" t="s">
        <v>2070</v>
      </c>
      <c r="G2" s="407" t="s">
        <v>2071</v>
      </c>
      <c r="H2" s="407" t="s">
        <v>2072</v>
      </c>
      <c r="I2" s="407" t="s">
        <v>2073</v>
      </c>
      <c r="J2" s="407"/>
      <c r="K2" s="407"/>
      <c r="M2" s="407" t="s">
        <v>2074</v>
      </c>
      <c r="P2" s="407" t="s">
        <v>2127</v>
      </c>
      <c r="Q2" s="407" t="s">
        <v>2124</v>
      </c>
      <c r="R2" s="407" t="s">
        <v>2128</v>
      </c>
      <c r="S2" s="407" t="s">
        <v>2123</v>
      </c>
      <c r="T2" s="407" t="s">
        <v>2129</v>
      </c>
      <c r="U2" s="407" t="s">
        <v>2066</v>
      </c>
      <c r="V2" s="407" t="s">
        <v>2130</v>
      </c>
      <c r="X2" s="407" t="s">
        <v>2075</v>
      </c>
      <c r="Y2" s="407" t="s">
        <v>2076</v>
      </c>
      <c r="AA2" s="407" t="s">
        <v>1441</v>
      </c>
      <c r="AB2" s="407" t="s">
        <v>2077</v>
      </c>
      <c r="AC2" s="407" t="s">
        <v>2078</v>
      </c>
      <c r="AD2" s="407" t="s">
        <v>1031</v>
      </c>
      <c r="AF2" s="408" t="s">
        <v>2079</v>
      </c>
      <c r="AG2" s="408" t="s">
        <v>1030</v>
      </c>
      <c r="AH2" s="137">
        <v>1</v>
      </c>
      <c r="AI2" s="137">
        <v>2</v>
      </c>
      <c r="AJ2" s="137">
        <v>3</v>
      </c>
      <c r="AK2" s="137">
        <v>4</v>
      </c>
      <c r="AL2" s="137">
        <v>5</v>
      </c>
      <c r="AM2" s="137">
        <v>6</v>
      </c>
      <c r="AN2" s="137">
        <v>7</v>
      </c>
      <c r="AO2" s="137">
        <v>8</v>
      </c>
      <c r="AP2" s="137">
        <v>9</v>
      </c>
      <c r="AQ2" s="137">
        <v>10</v>
      </c>
      <c r="AR2" s="137">
        <v>11</v>
      </c>
      <c r="AS2" s="137">
        <v>12</v>
      </c>
      <c r="AT2" s="137">
        <v>13</v>
      </c>
      <c r="AU2" s="137">
        <v>14</v>
      </c>
      <c r="AV2" s="137">
        <v>15</v>
      </c>
      <c r="AX2" s="407" t="s">
        <v>2069</v>
      </c>
      <c r="AY2" s="407" t="s">
        <v>1441</v>
      </c>
      <c r="AZ2" s="407" t="s">
        <v>2080</v>
      </c>
      <c r="BA2" s="407" t="s">
        <v>2081</v>
      </c>
      <c r="BC2" s="409">
        <v>1</v>
      </c>
      <c r="BD2" s="409">
        <v>2</v>
      </c>
      <c r="BE2" s="409">
        <v>3</v>
      </c>
      <c r="BF2" s="409">
        <v>4</v>
      </c>
      <c r="BG2" s="409">
        <v>5</v>
      </c>
      <c r="BH2" s="409">
        <v>6</v>
      </c>
      <c r="BI2" s="409">
        <v>7</v>
      </c>
      <c r="BK2" s="409" t="s">
        <v>2082</v>
      </c>
      <c r="BM2" s="407" t="s">
        <v>2122</v>
      </c>
      <c r="BN2" s="407" t="s">
        <v>2123</v>
      </c>
      <c r="BO2" s="407" t="s">
        <v>2066</v>
      </c>
      <c r="BQ2" s="137" t="str">
        <f>'Translate &amp; Prices'!B531</f>
        <v>Závěsy</v>
      </c>
      <c r="BR2" s="137" t="str">
        <f>'Translate &amp; Prices'!B532</f>
        <v>Výklopy</v>
      </c>
      <c r="BU2" s="137" t="e">
        <f>CONCATENATE("_",#REF!,"_",#REF!)</f>
        <v>#REF!</v>
      </c>
      <c r="BV2" s="137" t="s">
        <v>2149</v>
      </c>
      <c r="BW2" s="137" t="s">
        <v>2144</v>
      </c>
      <c r="BY2" s="137" t="s">
        <v>250</v>
      </c>
      <c r="CA2" s="137" t="s">
        <v>2176</v>
      </c>
      <c r="CD2" s="137" t="s">
        <v>2265</v>
      </c>
      <c r="CF2" s="137" t="s">
        <v>2628</v>
      </c>
      <c r="CG2" s="407" t="s">
        <v>845</v>
      </c>
      <c r="CH2" s="407" t="s">
        <v>2264</v>
      </c>
      <c r="CI2" s="410" t="s">
        <v>845</v>
      </c>
      <c r="CJ2" s="410" t="s">
        <v>2264</v>
      </c>
      <c r="CK2" s="407" t="s">
        <v>845</v>
      </c>
      <c r="CL2" s="407" t="s">
        <v>2264</v>
      </c>
      <c r="CM2" s="410" t="s">
        <v>845</v>
      </c>
      <c r="CN2" s="410" t="s">
        <v>2264</v>
      </c>
      <c r="CO2" s="407" t="s">
        <v>845</v>
      </c>
      <c r="CP2" s="407" t="s">
        <v>2264</v>
      </c>
      <c r="CQ2" s="410" t="s">
        <v>845</v>
      </c>
      <c r="CR2" s="410" t="s">
        <v>2264</v>
      </c>
      <c r="CS2" s="407" t="s">
        <v>845</v>
      </c>
      <c r="CT2" s="407" t="s">
        <v>2264</v>
      </c>
      <c r="CU2" s="410" t="s">
        <v>845</v>
      </c>
      <c r="CV2" s="410" t="s">
        <v>2264</v>
      </c>
      <c r="CW2" s="407" t="s">
        <v>845</v>
      </c>
      <c r="CX2" s="407" t="s">
        <v>2264</v>
      </c>
      <c r="CY2" s="410" t="s">
        <v>845</v>
      </c>
      <c r="CZ2" s="410" t="s">
        <v>2264</v>
      </c>
      <c r="DA2" s="407" t="s">
        <v>845</v>
      </c>
      <c r="DB2" s="407" t="s">
        <v>2264</v>
      </c>
      <c r="DC2" s="410" t="s">
        <v>845</v>
      </c>
      <c r="DD2" s="410" t="s">
        <v>2264</v>
      </c>
      <c r="DE2" s="407" t="s">
        <v>845</v>
      </c>
      <c r="DF2" s="407" t="s">
        <v>2264</v>
      </c>
      <c r="DG2" s="410" t="s">
        <v>845</v>
      </c>
      <c r="DH2" s="410" t="s">
        <v>2264</v>
      </c>
      <c r="DI2" s="407" t="s">
        <v>845</v>
      </c>
      <c r="DJ2" s="407" t="s">
        <v>2264</v>
      </c>
      <c r="DK2" s="410" t="s">
        <v>845</v>
      </c>
      <c r="DL2" s="410" t="s">
        <v>2264</v>
      </c>
      <c r="DN2" s="137" t="str">
        <f>'Translate &amp; Prices'!B533</f>
        <v>Naložený</v>
      </c>
      <c r="DP2" s="137" t="str">
        <f>'Translate &amp; Prices'!B531</f>
        <v>Závěsy</v>
      </c>
      <c r="DQ2" s="137">
        <v>2</v>
      </c>
    </row>
    <row r="3" spans="1:121" x14ac:dyDescent="0.3">
      <c r="A3" s="446" t="str">
        <f>'Translate &amp; Prices'!B6</f>
        <v>BRW (elox.)</v>
      </c>
      <c r="B3" s="137">
        <v>1</v>
      </c>
      <c r="C3" s="137" t="s">
        <v>1222</v>
      </c>
      <c r="D3" s="137">
        <v>1</v>
      </c>
      <c r="F3" s="137" t="s">
        <v>2083</v>
      </c>
      <c r="G3" s="137" t="s">
        <v>713</v>
      </c>
      <c r="H3" s="137" t="s">
        <v>2084</v>
      </c>
      <c r="I3" s="137">
        <v>1</v>
      </c>
      <c r="J3" s="137">
        <v>2</v>
      </c>
      <c r="K3" s="137" t="s">
        <v>1222</v>
      </c>
      <c r="M3" s="137" t="s">
        <v>2085</v>
      </c>
      <c r="N3" s="137" t="s">
        <v>991</v>
      </c>
      <c r="Q3" s="414" t="s">
        <v>2134</v>
      </c>
      <c r="R3" s="414" t="s">
        <v>2135</v>
      </c>
      <c r="S3" s="414" t="s">
        <v>2136</v>
      </c>
      <c r="T3" s="414" t="s">
        <v>2137</v>
      </c>
      <c r="U3" s="414" t="s">
        <v>2138</v>
      </c>
      <c r="V3" s="414" t="s">
        <v>2139</v>
      </c>
      <c r="X3" s="137" t="str">
        <f>'Translate &amp; Prices'!$B$543</f>
        <v>Transparentní</v>
      </c>
      <c r="Y3" s="137">
        <v>1</v>
      </c>
      <c r="AA3" s="137" t="s">
        <v>2087</v>
      </c>
      <c r="AB3" s="137" t="s">
        <v>2144</v>
      </c>
      <c r="AF3" s="407" t="s">
        <v>245</v>
      </c>
      <c r="AG3" s="407" t="s">
        <v>1032</v>
      </c>
      <c r="AY3" s="137" t="s">
        <v>2117</v>
      </c>
      <c r="BK3" s="137" t="s">
        <v>245</v>
      </c>
      <c r="BQ3" s="137" t="s">
        <v>2117</v>
      </c>
      <c r="BR3" s="137" t="s">
        <v>2087</v>
      </c>
      <c r="BU3" s="137" t="e">
        <f>VLOOKUP(BU2,BV:BW,2,0)</f>
        <v>#REF!</v>
      </c>
      <c r="BV3" s="137" t="s">
        <v>2152</v>
      </c>
      <c r="BW3" s="137" t="s">
        <v>2148</v>
      </c>
      <c r="BY3" s="137" t="str">
        <f>'Translate &amp; Prices'!B210</f>
        <v>Vlevo</v>
      </c>
      <c r="BZ3" s="137">
        <v>1</v>
      </c>
      <c r="CA3" s="137">
        <v>32</v>
      </c>
      <c r="CD3" s="137" t="s">
        <v>2272</v>
      </c>
      <c r="CE3" s="137">
        <v>1</v>
      </c>
      <c r="CF3" s="137">
        <v>1</v>
      </c>
      <c r="CG3" s="407" t="s">
        <v>2272</v>
      </c>
      <c r="CH3" s="407" t="s">
        <v>2272</v>
      </c>
      <c r="CI3" s="410" t="s">
        <v>2273</v>
      </c>
      <c r="CJ3" s="410" t="s">
        <v>2273</v>
      </c>
      <c r="CK3" s="407" t="s">
        <v>2097</v>
      </c>
      <c r="CL3" s="407" t="s">
        <v>2097</v>
      </c>
      <c r="CM3" s="410" t="s">
        <v>2100</v>
      </c>
      <c r="CN3" s="410" t="s">
        <v>2100</v>
      </c>
      <c r="CO3" s="407" t="s">
        <v>2107</v>
      </c>
      <c r="CP3" s="407" t="s">
        <v>2107</v>
      </c>
      <c r="CQ3" s="410" t="s">
        <v>2274</v>
      </c>
      <c r="CR3" s="410" t="s">
        <v>2274</v>
      </c>
      <c r="CS3" s="407" t="s">
        <v>2102</v>
      </c>
      <c r="CT3" s="407" t="s">
        <v>2102</v>
      </c>
      <c r="CU3" s="410" t="s">
        <v>2108</v>
      </c>
      <c r="CV3" s="410" t="s">
        <v>2108</v>
      </c>
      <c r="CW3" s="407" t="s">
        <v>2269</v>
      </c>
      <c r="CX3" s="407" t="s">
        <v>2269</v>
      </c>
      <c r="CY3" s="410" t="s">
        <v>2111</v>
      </c>
      <c r="CZ3" s="410" t="s">
        <v>2111</v>
      </c>
      <c r="DA3" s="407" t="s">
        <v>2268</v>
      </c>
      <c r="DB3" s="407" t="s">
        <v>2268</v>
      </c>
      <c r="DC3" s="410" t="s">
        <v>2113</v>
      </c>
      <c r="DD3" s="410" t="s">
        <v>2113</v>
      </c>
      <c r="DE3" s="407" t="s">
        <v>2114</v>
      </c>
      <c r="DF3" s="407" t="s">
        <v>2114</v>
      </c>
      <c r="DG3" s="137" t="s">
        <v>2638</v>
      </c>
      <c r="DH3" s="137" t="s">
        <v>2638</v>
      </c>
      <c r="DI3" s="137" t="s">
        <v>2639</v>
      </c>
      <c r="DJ3" s="137" t="s">
        <v>2639</v>
      </c>
      <c r="DK3" s="410" t="s">
        <v>2119</v>
      </c>
      <c r="DL3" s="410" t="s">
        <v>2119</v>
      </c>
      <c r="DN3" s="137" t="str">
        <f>'Translate &amp; Prices'!B534</f>
        <v>Polonaložený</v>
      </c>
      <c r="DP3" s="137" t="str">
        <f>'Translate &amp; Prices'!B532</f>
        <v>Výklopy</v>
      </c>
      <c r="DQ3" s="137">
        <v>3</v>
      </c>
    </row>
    <row r="4" spans="1:121" x14ac:dyDescent="0.3">
      <c r="A4" s="446" t="str">
        <f>'Translate &amp; Prices'!B7</f>
        <v>BRW antracit</v>
      </c>
      <c r="B4" s="137">
        <v>1</v>
      </c>
      <c r="C4" s="137" t="s">
        <v>1222</v>
      </c>
      <c r="D4" s="137">
        <v>0</v>
      </c>
      <c r="G4" s="137" t="s">
        <v>2084</v>
      </c>
      <c r="H4" s="137" t="s">
        <v>713</v>
      </c>
      <c r="I4" s="137">
        <v>0</v>
      </c>
      <c r="J4" s="137">
        <v>2</v>
      </c>
      <c r="K4" s="137" t="s">
        <v>1222</v>
      </c>
      <c r="M4" s="137" t="s">
        <v>2088</v>
      </c>
      <c r="N4" s="137" t="s">
        <v>1648</v>
      </c>
      <c r="Q4" s="446" t="str">
        <f>'Translate &amp; Prices'!$B$82</f>
        <v>Čiré</v>
      </c>
      <c r="R4" s="446" t="str">
        <f>'Translate &amp; Prices'!$B$93</f>
        <v>Stopsol bronz</v>
      </c>
      <c r="S4" s="446" t="str">
        <f>'Translate &amp; Prices'!$B$82</f>
        <v>Čiré</v>
      </c>
      <c r="T4" s="446" t="str">
        <f>'Translate &amp; Prices'!$B$93</f>
        <v>Stopsol bronz</v>
      </c>
      <c r="U4" s="446" t="str">
        <f>'Translate &amp; Prices'!$B$98</f>
        <v>Zrcadlo</v>
      </c>
      <c r="V4" s="446" t="str">
        <f>'Translate &amp; Prices'!$B$98</f>
        <v>Zrcadlo</v>
      </c>
      <c r="X4" s="137" t="str">
        <f>'Translate &amp; Prices'!$B$544</f>
        <v>Bílá</v>
      </c>
      <c r="Y4" s="137">
        <v>2</v>
      </c>
      <c r="AA4" s="137" t="s">
        <v>2087</v>
      </c>
      <c r="AB4" s="137" t="s">
        <v>2272</v>
      </c>
      <c r="AC4" s="137">
        <v>1</v>
      </c>
      <c r="AD4" s="137">
        <v>1</v>
      </c>
      <c r="AF4" s="407" t="s">
        <v>246</v>
      </c>
      <c r="AG4" s="407" t="s">
        <v>1032</v>
      </c>
      <c r="AY4" s="137" t="s">
        <v>2117</v>
      </c>
      <c r="AZ4" s="137" t="s">
        <v>2154</v>
      </c>
      <c r="BK4" s="137" t="s">
        <v>246</v>
      </c>
      <c r="BQ4" s="137" t="s">
        <v>2087</v>
      </c>
      <c r="BR4" s="137" t="s">
        <v>2099</v>
      </c>
      <c r="BV4" s="137" t="s">
        <v>2153</v>
      </c>
      <c r="BW4" s="137" t="s">
        <v>2147</v>
      </c>
      <c r="BY4" s="137" t="str">
        <f>'Translate &amp; Prices'!B209</f>
        <v xml:space="preserve">Vpravo </v>
      </c>
      <c r="BZ4" s="137">
        <v>2</v>
      </c>
      <c r="CA4" s="137">
        <v>64</v>
      </c>
      <c r="CD4" s="137" t="s">
        <v>2273</v>
      </c>
      <c r="CE4" s="137">
        <v>1</v>
      </c>
      <c r="CF4" s="137">
        <v>0</v>
      </c>
      <c r="CG4" s="137" t="str">
        <f>CONCATENATE("_",CG2,"_",CG3)</f>
        <v>_Úzký_Aventos_HF</v>
      </c>
      <c r="CH4" s="137" t="str">
        <f t="shared" ref="CH4:DL4" si="0">CONCATENATE("_",CH2,"_",CH3)</f>
        <v>_široký_Aventos_HF</v>
      </c>
      <c r="CI4" s="137" t="str">
        <f t="shared" si="0"/>
        <v>_Úzký_Aventos_HK-XS</v>
      </c>
      <c r="CJ4" s="137" t="str">
        <f t="shared" si="0"/>
        <v>_široký_Aventos_HK-XS</v>
      </c>
      <c r="CK4" s="137" t="str">
        <f t="shared" si="0"/>
        <v>_Úzký_FREElight</v>
      </c>
      <c r="CL4" s="137" t="str">
        <f t="shared" si="0"/>
        <v>_široký_FREElight</v>
      </c>
      <c r="CM4" s="137" t="str">
        <f t="shared" si="0"/>
        <v>_Úzký_FREEfold</v>
      </c>
      <c r="CN4" s="137" t="str">
        <f t="shared" si="0"/>
        <v>_široký_FREEfold</v>
      </c>
      <c r="CO4" s="137" t="str">
        <f t="shared" si="0"/>
        <v>_Úzký_Maxi</v>
      </c>
      <c r="CP4" s="137" t="str">
        <f t="shared" si="0"/>
        <v>_široký_Maxi</v>
      </c>
      <c r="CQ4" s="137" t="str">
        <f t="shared" si="0"/>
        <v>_Úzký_Duo_Forte</v>
      </c>
      <c r="CR4" s="137" t="str">
        <f t="shared" si="0"/>
        <v>_široký_Duo_Forte</v>
      </c>
      <c r="CS4" s="137" t="str">
        <f t="shared" si="0"/>
        <v>_Úzký_Duo</v>
      </c>
      <c r="CT4" s="137" t="str">
        <f t="shared" si="0"/>
        <v>_široký_Duo</v>
      </c>
      <c r="CU4" s="137" t="str">
        <f t="shared" si="0"/>
        <v>_Úzký_K12</v>
      </c>
      <c r="CV4" s="137" t="str">
        <f t="shared" si="0"/>
        <v>_široký_K12</v>
      </c>
      <c r="CW4" s="137" t="str">
        <f t="shared" si="0"/>
        <v>_Úzký_Spodní_K12</v>
      </c>
      <c r="CX4" s="137" t="str">
        <f t="shared" si="0"/>
        <v>_široký_Spodní_K12</v>
      </c>
      <c r="CY4" s="137" t="str">
        <f t="shared" si="0"/>
        <v>_Úzký_Kraby</v>
      </c>
      <c r="CZ4" s="137" t="str">
        <f t="shared" si="0"/>
        <v>_široký_Kraby</v>
      </c>
      <c r="DA4" s="137" t="str">
        <f t="shared" si="0"/>
        <v>_Úzký_Spodní_Kraby</v>
      </c>
      <c r="DB4" s="137" t="str">
        <f t="shared" si="0"/>
        <v>_široký_Spodní_Kraby</v>
      </c>
      <c r="DC4" s="137" t="str">
        <f t="shared" si="0"/>
        <v>_Úzký_Kiaro</v>
      </c>
      <c r="DD4" s="137" t="str">
        <f t="shared" si="0"/>
        <v>_široký_Kiaro</v>
      </c>
      <c r="DE4" s="137" t="str">
        <f t="shared" si="0"/>
        <v>_Úzký_Link</v>
      </c>
      <c r="DF4" s="137" t="str">
        <f t="shared" si="0"/>
        <v>_široký_Link</v>
      </c>
      <c r="DG4" s="137" t="str">
        <f t="shared" si="0"/>
        <v>_Úzký_Strong_horní</v>
      </c>
      <c r="DH4" s="137" t="str">
        <f t="shared" si="0"/>
        <v>_široký_Strong_horní</v>
      </c>
      <c r="DI4" s="137" t="str">
        <f t="shared" si="0"/>
        <v>_Úzký_Strong_spodní</v>
      </c>
      <c r="DJ4" s="137" t="str">
        <f t="shared" si="0"/>
        <v>_široký_Strong_spodní</v>
      </c>
      <c r="DK4" s="137" t="str">
        <f t="shared" si="0"/>
        <v>_Úzký_LiftMini</v>
      </c>
      <c r="DL4" s="137" t="str">
        <f t="shared" si="0"/>
        <v>_široký_LiftMini</v>
      </c>
      <c r="DN4" s="137" t="str">
        <f>'Translate &amp; Prices'!B535</f>
        <v>Vložený</v>
      </c>
    </row>
    <row r="5" spans="1:121" x14ac:dyDescent="0.3">
      <c r="A5" s="446" t="str">
        <f>'Translate &amp; Prices'!B8</f>
        <v>BRW bílá mat</v>
      </c>
      <c r="B5" s="137">
        <v>1</v>
      </c>
      <c r="C5" s="137" t="s">
        <v>1222</v>
      </c>
      <c r="D5" s="137">
        <v>0</v>
      </c>
      <c r="F5" s="137" t="s">
        <v>2090</v>
      </c>
      <c r="G5" s="137" t="s">
        <v>712</v>
      </c>
      <c r="H5" s="137" t="s">
        <v>2084</v>
      </c>
      <c r="I5" s="137">
        <v>1</v>
      </c>
      <c r="J5" s="137">
        <v>2</v>
      </c>
      <c r="K5" s="137" t="s">
        <v>1222</v>
      </c>
      <c r="M5" s="137" t="s">
        <v>2091</v>
      </c>
      <c r="N5" s="137" t="s">
        <v>1011</v>
      </c>
      <c r="Q5" s="446" t="str">
        <f>'Translate &amp; Prices'!$B$87</f>
        <v>Satinato</v>
      </c>
      <c r="R5" s="446" t="str">
        <f>'Translate &amp; Prices'!$B$94</f>
        <v>Lakomat</v>
      </c>
      <c r="S5" s="446" t="str">
        <f>'Translate &amp; Prices'!$B$87</f>
        <v>Satinato</v>
      </c>
      <c r="T5" s="446" t="str">
        <f>'Translate &amp; Prices'!$B$105</f>
        <v>Master  Ligne</v>
      </c>
      <c r="U5" s="446" t="str">
        <f>'Translate &amp; Prices'!$B$99</f>
        <v>Zrcadlo hnědé</v>
      </c>
      <c r="V5" s="446" t="str">
        <f>'Translate &amp; Prices'!$B$99</f>
        <v>Zrcadlo hnědé</v>
      </c>
      <c r="X5" s="137" t="str">
        <f>'Translate &amp; Prices'!$B$545</f>
        <v>Černá</v>
      </c>
      <c r="Y5" s="137">
        <v>3</v>
      </c>
      <c r="AA5" s="137" t="s">
        <v>2087</v>
      </c>
      <c r="AB5" s="137" t="s">
        <v>2275</v>
      </c>
      <c r="AC5" s="137">
        <v>0</v>
      </c>
      <c r="AD5" s="137">
        <v>0</v>
      </c>
      <c r="AF5" s="410" t="s">
        <v>245</v>
      </c>
      <c r="AG5" s="410" t="s">
        <v>2093</v>
      </c>
      <c r="AY5" s="137" t="s">
        <v>2117</v>
      </c>
      <c r="AZ5" s="137" t="s">
        <v>2155</v>
      </c>
      <c r="BK5" s="137" t="s">
        <v>2094</v>
      </c>
      <c r="BQ5" s="137" t="s">
        <v>1021</v>
      </c>
      <c r="BR5" s="137" t="s">
        <v>2109</v>
      </c>
      <c r="BV5" s="137" t="s">
        <v>2150</v>
      </c>
      <c r="BW5" s="137" t="s">
        <v>2145</v>
      </c>
      <c r="BY5" s="137" t="str">
        <f>'Translate &amp; Prices'!B207</f>
        <v>Nahoře</v>
      </c>
      <c r="BZ5" s="137">
        <v>3</v>
      </c>
      <c r="CA5" s="137">
        <v>76</v>
      </c>
      <c r="CD5" s="137" t="s">
        <v>2097</v>
      </c>
      <c r="CE5" s="137">
        <v>1</v>
      </c>
      <c r="CF5" s="137">
        <v>0</v>
      </c>
      <c r="CG5" s="404" t="s">
        <v>2177</v>
      </c>
      <c r="CH5" s="404" t="s">
        <v>2185</v>
      </c>
      <c r="CI5" s="404" t="s">
        <v>2192</v>
      </c>
      <c r="CJ5" s="404" t="s">
        <v>2197</v>
      </c>
      <c r="CK5" s="404" t="s">
        <v>2200</v>
      </c>
      <c r="CL5" s="404" t="s">
        <v>2210</v>
      </c>
      <c r="CM5" s="404" t="s">
        <v>2200</v>
      </c>
      <c r="CN5" s="404" t="s">
        <v>2210</v>
      </c>
      <c r="CO5" s="404" t="s">
        <v>2200</v>
      </c>
      <c r="CP5" s="404" t="s">
        <v>2210</v>
      </c>
      <c r="CQ5" s="404" t="s">
        <v>2221</v>
      </c>
      <c r="CR5" s="404" t="s">
        <v>2229</v>
      </c>
      <c r="CS5" s="404" t="s">
        <v>2221</v>
      </c>
      <c r="CT5" s="404" t="s">
        <v>2229</v>
      </c>
      <c r="CU5" s="404" t="s">
        <v>2200</v>
      </c>
      <c r="CV5" s="404" t="s">
        <v>2210</v>
      </c>
      <c r="CW5" s="404" t="s">
        <v>2221</v>
      </c>
      <c r="CX5" s="404" t="s">
        <v>2235</v>
      </c>
      <c r="CY5" s="404" t="s">
        <v>2200</v>
      </c>
      <c r="CZ5" s="404" t="s">
        <v>2210</v>
      </c>
      <c r="DA5" s="404" t="s">
        <v>2221</v>
      </c>
      <c r="DB5" s="404" t="s">
        <v>2235</v>
      </c>
      <c r="DC5" s="404" t="s">
        <v>2221</v>
      </c>
      <c r="DD5" s="404" t="s">
        <v>2235</v>
      </c>
      <c r="DE5" s="404" t="s">
        <v>2221</v>
      </c>
      <c r="DF5" s="404" t="s">
        <v>2235</v>
      </c>
      <c r="DG5" s="404" t="s">
        <v>2200</v>
      </c>
      <c r="DH5" s="404" t="s">
        <v>2210</v>
      </c>
      <c r="DI5" s="404" t="s">
        <v>2200</v>
      </c>
      <c r="DJ5" s="404" t="s">
        <v>2210</v>
      </c>
      <c r="DK5" s="404" t="s">
        <v>2221</v>
      </c>
      <c r="DL5" s="404" t="s">
        <v>2235</v>
      </c>
    </row>
    <row r="6" spans="1:121" x14ac:dyDescent="0.3">
      <c r="A6" s="446" t="str">
        <f>'Translate &amp; Prices'!B9</f>
        <v>BRW bílá lesk</v>
      </c>
      <c r="B6" s="137">
        <v>1</v>
      </c>
      <c r="C6" s="137" t="s">
        <v>1222</v>
      </c>
      <c r="D6" s="137">
        <v>0</v>
      </c>
      <c r="G6" s="137" t="s">
        <v>2084</v>
      </c>
      <c r="H6" s="137" t="s">
        <v>712</v>
      </c>
      <c r="I6" s="137">
        <v>0</v>
      </c>
      <c r="J6" s="137">
        <v>2</v>
      </c>
      <c r="K6" s="137" t="s">
        <v>1222</v>
      </c>
      <c r="N6" s="137" t="s">
        <v>1624</v>
      </c>
      <c r="Q6" s="446" t="str">
        <f>'Translate &amp; Prices'!$B$89</f>
        <v>Satinato hnědé</v>
      </c>
      <c r="R6" s="446" t="str">
        <f>'Translate &amp; Prices'!$B$98</f>
        <v>Zrcadlo</v>
      </c>
      <c r="S6" s="446" t="str">
        <f>'Translate &amp; Prices'!$B$89</f>
        <v>Satinato hnědé</v>
      </c>
      <c r="T6" s="446" t="str">
        <f>'Translate &amp; Prices'!$B$106</f>
        <v>Master  Point</v>
      </c>
      <c r="U6" s="446" t="str">
        <f>'Translate &amp; Prices'!$B$100</f>
        <v>Zrcadlo grafit</v>
      </c>
      <c r="V6" s="446" t="str">
        <f>'Translate &amp; Prices'!$B$100</f>
        <v>Zrcadlo grafit</v>
      </c>
      <c r="AA6" s="137" t="s">
        <v>2087</v>
      </c>
      <c r="AB6" s="137" t="s">
        <v>2276</v>
      </c>
      <c r="AC6" s="137">
        <v>0</v>
      </c>
      <c r="AD6" s="137">
        <v>0</v>
      </c>
      <c r="AF6" s="410" t="s">
        <v>246</v>
      </c>
      <c r="AG6" s="410" t="s">
        <v>2093</v>
      </c>
      <c r="AY6" s="137" t="s">
        <v>2117</v>
      </c>
      <c r="AZ6" s="137" t="s">
        <v>2156</v>
      </c>
      <c r="BK6" s="137" t="s">
        <v>2095</v>
      </c>
      <c r="BR6" s="137" t="s">
        <v>1021</v>
      </c>
      <c r="BV6" s="137" t="s">
        <v>2151</v>
      </c>
      <c r="BW6" s="137" t="s">
        <v>2146</v>
      </c>
      <c r="BY6" s="137" t="str">
        <f>'Translate &amp; Prices'!B208</f>
        <v>Dole</v>
      </c>
      <c r="BZ6" s="137">
        <v>4</v>
      </c>
      <c r="CA6" s="137">
        <v>96</v>
      </c>
      <c r="CD6" s="137" t="s">
        <v>2100</v>
      </c>
      <c r="CE6" s="137">
        <v>1</v>
      </c>
      <c r="CF6" s="137">
        <v>1</v>
      </c>
      <c r="CG6" s="404"/>
      <c r="CH6" s="404"/>
      <c r="CI6" s="404"/>
      <c r="CJ6" s="404"/>
      <c r="CK6" s="404" t="s">
        <v>2201</v>
      </c>
      <c r="CL6" s="404" t="s">
        <v>2211</v>
      </c>
      <c r="CM6" s="404" t="s">
        <v>2201</v>
      </c>
      <c r="CN6" s="404" t="s">
        <v>2211</v>
      </c>
      <c r="CO6" s="404" t="s">
        <v>2201</v>
      </c>
      <c r="CP6" s="404" t="s">
        <v>2211</v>
      </c>
      <c r="CQ6" s="404" t="s">
        <v>2222</v>
      </c>
      <c r="CR6" s="404" t="s">
        <v>2230</v>
      </c>
      <c r="CS6" s="404" t="s">
        <v>2222</v>
      </c>
      <c r="CT6" s="404" t="s">
        <v>2230</v>
      </c>
      <c r="CU6" s="404" t="s">
        <v>2201</v>
      </c>
      <c r="CV6" s="404" t="s">
        <v>2211</v>
      </c>
      <c r="CW6" s="404" t="s">
        <v>2223</v>
      </c>
      <c r="CX6" s="404" t="s">
        <v>2229</v>
      </c>
      <c r="CY6" s="404" t="s">
        <v>2201</v>
      </c>
      <c r="CZ6" s="404" t="s">
        <v>2211</v>
      </c>
      <c r="DA6" s="404" t="s">
        <v>2223</v>
      </c>
      <c r="DB6" s="404" t="s">
        <v>2229</v>
      </c>
      <c r="DC6" s="404" t="s">
        <v>2223</v>
      </c>
      <c r="DD6" s="404" t="s">
        <v>2229</v>
      </c>
      <c r="DE6" s="404" t="s">
        <v>2223</v>
      </c>
      <c r="DF6" s="404" t="s">
        <v>2229</v>
      </c>
      <c r="DG6" s="404" t="s">
        <v>2201</v>
      </c>
      <c r="DH6" s="404" t="s">
        <v>2211</v>
      </c>
      <c r="DI6" s="404" t="s">
        <v>2201</v>
      </c>
      <c r="DJ6" s="404" t="s">
        <v>2211</v>
      </c>
      <c r="DK6" s="404" t="s">
        <v>2223</v>
      </c>
      <c r="DL6" s="404" t="s">
        <v>2229</v>
      </c>
    </row>
    <row r="7" spans="1:121" x14ac:dyDescent="0.3">
      <c r="A7" s="446" t="str">
        <f>'Translate &amp; Prices'!B10</f>
        <v>BRW hnědá</v>
      </c>
      <c r="B7" s="137">
        <v>1</v>
      </c>
      <c r="C7" s="137" t="s">
        <v>1222</v>
      </c>
      <c r="D7" s="137">
        <v>0</v>
      </c>
      <c r="F7" s="137" t="s">
        <v>2096</v>
      </c>
      <c r="G7" s="137" t="s">
        <v>714</v>
      </c>
      <c r="H7" s="137" t="s">
        <v>2084</v>
      </c>
      <c r="I7" s="137">
        <v>1</v>
      </c>
      <c r="J7" s="137">
        <v>2</v>
      </c>
      <c r="K7" s="137" t="s">
        <v>1222</v>
      </c>
      <c r="Q7" s="446" t="str">
        <f>'Translate &amp; Prices'!$B$90</f>
        <v>Satinato grafit</v>
      </c>
      <c r="R7" s="446" t="str">
        <f>'Translate &amp; Prices'!$B$99</f>
        <v>Zrcadlo hnědé</v>
      </c>
      <c r="S7" s="446" t="str">
        <f>'Translate &amp; Prices'!$B$90</f>
        <v>Satinato grafit</v>
      </c>
      <c r="T7" s="446" t="str">
        <f>'Translate &amp; Prices'!$B$108</f>
        <v>Master  Shine</v>
      </c>
      <c r="U7" s="446" t="str">
        <f>'Translate &amp; Prices'!$B$109</f>
        <v>Lacobel RAL 1013</v>
      </c>
      <c r="V7" s="446" t="str">
        <f>'Translate &amp; Prices'!$B$109</f>
        <v>Lacobel RAL 1013</v>
      </c>
      <c r="AA7" s="137" t="s">
        <v>2087</v>
      </c>
      <c r="AB7" s="137" t="s">
        <v>2277</v>
      </c>
      <c r="AC7" s="137">
        <v>1</v>
      </c>
      <c r="AD7" s="137">
        <v>0</v>
      </c>
      <c r="AF7" s="407" t="s">
        <v>245</v>
      </c>
      <c r="AG7" s="407" t="s">
        <v>2097</v>
      </c>
      <c r="AY7" s="137" t="s">
        <v>2117</v>
      </c>
      <c r="AZ7" s="137" t="s">
        <v>2157</v>
      </c>
      <c r="BK7" s="137" t="s">
        <v>2098</v>
      </c>
      <c r="BR7" s="137" t="s">
        <v>2117</v>
      </c>
      <c r="BV7" s="137" t="s">
        <v>2169</v>
      </c>
      <c r="BW7" s="137" t="s">
        <v>2172</v>
      </c>
      <c r="CA7" s="137">
        <v>128</v>
      </c>
      <c r="CD7" s="137" t="s">
        <v>2102</v>
      </c>
      <c r="CE7" s="137">
        <v>1</v>
      </c>
      <c r="CF7" s="137">
        <v>0</v>
      </c>
      <c r="CG7" s="404"/>
      <c r="CH7" s="404"/>
      <c r="CI7" s="404"/>
      <c r="CJ7" s="404"/>
      <c r="CK7" s="404" t="s">
        <v>2202</v>
      </c>
      <c r="CL7" s="404" t="s">
        <v>2212</v>
      </c>
      <c r="CM7" s="404" t="s">
        <v>2202</v>
      </c>
      <c r="CN7" s="404" t="s">
        <v>2212</v>
      </c>
      <c r="CO7" s="404" t="s">
        <v>2202</v>
      </c>
      <c r="CP7" s="404" t="s">
        <v>2212</v>
      </c>
      <c r="CQ7" s="404" t="s">
        <v>2223</v>
      </c>
      <c r="CR7" s="404" t="s">
        <v>2231</v>
      </c>
      <c r="CS7" s="404" t="s">
        <v>2223</v>
      </c>
      <c r="CT7" s="404" t="s">
        <v>2231</v>
      </c>
      <c r="CU7" s="404" t="s">
        <v>2202</v>
      </c>
      <c r="CV7" s="404" t="s">
        <v>2212</v>
      </c>
      <c r="CW7" s="404" t="s">
        <v>2226</v>
      </c>
      <c r="CX7" s="404" t="s">
        <v>2231</v>
      </c>
      <c r="CY7" s="404" t="s">
        <v>2202</v>
      </c>
      <c r="CZ7" s="404" t="s">
        <v>2212</v>
      </c>
      <c r="DA7" s="404" t="s">
        <v>2226</v>
      </c>
      <c r="DB7" s="404" t="s">
        <v>2231</v>
      </c>
      <c r="DC7" s="404" t="s">
        <v>2226</v>
      </c>
      <c r="DD7" s="404" t="s">
        <v>2231</v>
      </c>
      <c r="DE7" s="404" t="s">
        <v>2226</v>
      </c>
      <c r="DF7" s="404" t="s">
        <v>2231</v>
      </c>
      <c r="DG7" s="404" t="s">
        <v>2202</v>
      </c>
      <c r="DH7" s="404" t="s">
        <v>2212</v>
      </c>
      <c r="DI7" s="404" t="s">
        <v>2202</v>
      </c>
      <c r="DJ7" s="404" t="s">
        <v>2212</v>
      </c>
      <c r="DK7" s="404" t="s">
        <v>2226</v>
      </c>
      <c r="DL7" s="404" t="s">
        <v>2231</v>
      </c>
      <c r="DN7" s="165" t="s">
        <v>125</v>
      </c>
      <c r="DO7" s="165" t="s">
        <v>125</v>
      </c>
    </row>
    <row r="8" spans="1:121" x14ac:dyDescent="0.3">
      <c r="A8" s="446" t="str">
        <f>'Translate &amp; Prices'!B11</f>
        <v>BRW broušené</v>
      </c>
      <c r="B8" s="137">
        <v>1</v>
      </c>
      <c r="C8" s="137" t="s">
        <v>1222</v>
      </c>
      <c r="D8" s="137">
        <v>0</v>
      </c>
      <c r="G8" s="137" t="s">
        <v>2084</v>
      </c>
      <c r="H8" s="137" t="s">
        <v>714</v>
      </c>
      <c r="I8" s="137">
        <v>0</v>
      </c>
      <c r="J8" s="137">
        <v>2</v>
      </c>
      <c r="K8" s="137" t="s">
        <v>1222</v>
      </c>
      <c r="Q8" s="446" t="str">
        <f>'Translate &amp; Prices'!$B$91</f>
        <v>Screen</v>
      </c>
      <c r="R8" s="446" t="str">
        <f>'Translate &amp; Prices'!$B$100</f>
        <v>Zrcadlo grafit</v>
      </c>
      <c r="S8" s="446" t="str">
        <f>'Translate &amp; Prices'!$B$91</f>
        <v>Screen</v>
      </c>
      <c r="U8" s="446" t="str">
        <f>'Translate &amp; Prices'!$B$110</f>
        <v>Lacobel RAL 1014</v>
      </c>
      <c r="V8" s="446" t="str">
        <f>'Translate &amp; Prices'!$B$110</f>
        <v>Lacobel RAL 1014</v>
      </c>
      <c r="AA8" s="137" t="s">
        <v>2087</v>
      </c>
      <c r="AB8" s="137" t="s">
        <v>2278</v>
      </c>
      <c r="AC8" s="137">
        <v>0</v>
      </c>
      <c r="AD8" s="137">
        <v>0</v>
      </c>
      <c r="AF8" s="407" t="s">
        <v>246</v>
      </c>
      <c r="AG8" s="407" t="s">
        <v>2097</v>
      </c>
      <c r="AY8" s="137" t="s">
        <v>2117</v>
      </c>
      <c r="AZ8" s="137" t="s">
        <v>2158</v>
      </c>
      <c r="BV8" s="137" t="s">
        <v>2170</v>
      </c>
      <c r="BW8" s="137" t="s">
        <v>2173</v>
      </c>
      <c r="BY8" s="137">
        <v>2</v>
      </c>
      <c r="CA8" s="137">
        <v>160</v>
      </c>
      <c r="CD8" s="137" t="s">
        <v>2274</v>
      </c>
      <c r="CE8" s="137">
        <v>1</v>
      </c>
      <c r="CF8" s="137">
        <v>0</v>
      </c>
      <c r="CG8" s="404"/>
      <c r="CH8" s="404"/>
      <c r="CI8" s="404"/>
      <c r="CJ8" s="404"/>
      <c r="CK8" s="404" t="s">
        <v>2203</v>
      </c>
      <c r="CL8" s="404" t="s">
        <v>2213</v>
      </c>
      <c r="CM8" s="404" t="s">
        <v>2203</v>
      </c>
      <c r="CN8" s="404" t="s">
        <v>2213</v>
      </c>
      <c r="CO8" s="404" t="s">
        <v>2203</v>
      </c>
      <c r="CP8" s="404" t="s">
        <v>2213</v>
      </c>
      <c r="CQ8" s="404" t="s">
        <v>2224</v>
      </c>
      <c r="CR8" s="404" t="s">
        <v>2232</v>
      </c>
      <c r="CS8" s="404" t="s">
        <v>2224</v>
      </c>
      <c r="CT8" s="404" t="s">
        <v>2232</v>
      </c>
      <c r="CU8" s="404" t="s">
        <v>2203</v>
      </c>
      <c r="CV8" s="404" t="s">
        <v>2213</v>
      </c>
      <c r="CW8" s="404"/>
      <c r="CX8" s="404" t="s">
        <v>2233</v>
      </c>
      <c r="CY8" s="404" t="s">
        <v>2203</v>
      </c>
      <c r="CZ8" s="404" t="s">
        <v>2213</v>
      </c>
      <c r="DA8" s="404"/>
      <c r="DB8" s="404" t="s">
        <v>2233</v>
      </c>
      <c r="DC8" s="404"/>
      <c r="DD8" s="404" t="s">
        <v>2233</v>
      </c>
      <c r="DE8" s="404"/>
      <c r="DF8" s="404" t="s">
        <v>2233</v>
      </c>
      <c r="DG8" s="404" t="s">
        <v>2203</v>
      </c>
      <c r="DH8" s="404" t="s">
        <v>2213</v>
      </c>
      <c r="DI8" s="404" t="s">
        <v>2203</v>
      </c>
      <c r="DJ8" s="404" t="s">
        <v>2213</v>
      </c>
      <c r="DK8" s="404"/>
      <c r="DL8" s="404" t="s">
        <v>2233</v>
      </c>
      <c r="DN8" s="165" t="s">
        <v>126</v>
      </c>
      <c r="DO8" s="165" t="s">
        <v>126</v>
      </c>
    </row>
    <row r="9" spans="1:121" x14ac:dyDescent="0.3">
      <c r="A9" s="446" t="str">
        <f>'Translate &amp; Prices'!B12</f>
        <v>BRW černá mat</v>
      </c>
      <c r="B9" s="137">
        <v>1</v>
      </c>
      <c r="C9" s="137" t="s">
        <v>1222</v>
      </c>
      <c r="D9" s="137">
        <v>1</v>
      </c>
      <c r="Q9" s="446" t="str">
        <f>'Translate &amp; Prices'!$B$92</f>
        <v>Venus VG10</v>
      </c>
      <c r="R9" s="446" t="str">
        <f>'Translate &amp; Prices'!$B$105</f>
        <v>Master  Ligne</v>
      </c>
      <c r="S9" s="446" t="str">
        <f>'Translate &amp; Prices'!$B$92</f>
        <v>Venus VG10</v>
      </c>
      <c r="U9" s="446" t="str">
        <f>'Translate &amp; Prices'!$B$111</f>
        <v>Lacobel RAL 1015</v>
      </c>
      <c r="V9" s="446" t="str">
        <f>'Translate &amp; Prices'!$B$111</f>
        <v>Lacobel RAL 1015</v>
      </c>
      <c r="AB9" s="137" t="s">
        <v>2279</v>
      </c>
      <c r="AC9" s="137">
        <v>0</v>
      </c>
      <c r="AD9" s="137">
        <v>0</v>
      </c>
      <c r="AF9" s="410" t="s">
        <v>245</v>
      </c>
      <c r="AG9" s="410" t="s">
        <v>2100</v>
      </c>
      <c r="AY9" s="137" t="s">
        <v>2087</v>
      </c>
      <c r="BV9" s="137" t="s">
        <v>2171</v>
      </c>
      <c r="BW9" s="137" t="s">
        <v>2174</v>
      </c>
      <c r="BY9" s="137">
        <v>3</v>
      </c>
      <c r="CA9" s="137">
        <v>192</v>
      </c>
      <c r="CD9" s="137" t="s">
        <v>2107</v>
      </c>
      <c r="CE9" s="137">
        <v>1</v>
      </c>
      <c r="CF9" s="137">
        <v>0</v>
      </c>
      <c r="CG9" s="404"/>
      <c r="CH9" s="404"/>
      <c r="CI9" s="404"/>
      <c r="CJ9" s="404"/>
      <c r="CK9" s="404" t="s">
        <v>2204</v>
      </c>
      <c r="CL9" s="404" t="s">
        <v>2214</v>
      </c>
      <c r="CM9" s="404" t="s">
        <v>2204</v>
      </c>
      <c r="CN9" s="404" t="s">
        <v>2214</v>
      </c>
      <c r="CO9" s="404" t="s">
        <v>2204</v>
      </c>
      <c r="CP9" s="404" t="s">
        <v>2214</v>
      </c>
      <c r="CQ9" s="404" t="s">
        <v>2225</v>
      </c>
      <c r="CR9" s="404" t="s">
        <v>2233</v>
      </c>
      <c r="CS9" s="404" t="s">
        <v>2225</v>
      </c>
      <c r="CT9" s="404" t="s">
        <v>2233</v>
      </c>
      <c r="CU9" s="404" t="s">
        <v>2204</v>
      </c>
      <c r="CV9" s="404" t="s">
        <v>2214</v>
      </c>
      <c r="CW9" s="404"/>
      <c r="CX9" s="404"/>
      <c r="CY9" s="404" t="s">
        <v>2204</v>
      </c>
      <c r="CZ9" s="404" t="s">
        <v>2214</v>
      </c>
      <c r="DA9" s="404"/>
      <c r="DB9" s="404"/>
      <c r="DC9" s="404"/>
      <c r="DD9" s="404"/>
      <c r="DE9" s="404"/>
      <c r="DF9" s="404"/>
      <c r="DG9" s="404" t="s">
        <v>2204</v>
      </c>
      <c r="DH9" s="404" t="s">
        <v>2214</v>
      </c>
      <c r="DI9" s="404" t="s">
        <v>2204</v>
      </c>
      <c r="DJ9" s="404" t="s">
        <v>2214</v>
      </c>
      <c r="DK9" s="404"/>
      <c r="DL9" s="404"/>
      <c r="DN9" s="165" t="s">
        <v>127</v>
      </c>
      <c r="DO9" s="165" t="s">
        <v>127</v>
      </c>
    </row>
    <row r="10" spans="1:121" x14ac:dyDescent="0.3">
      <c r="A10" s="446" t="str">
        <f>'Translate &amp; Prices'!B14</f>
        <v>BRW černá broušená</v>
      </c>
      <c r="B10" s="137">
        <v>1</v>
      </c>
      <c r="C10" s="137" t="s">
        <v>1222</v>
      </c>
      <c r="D10" s="137">
        <v>0</v>
      </c>
      <c r="Q10" s="446" t="str">
        <f>'Translate &amp; Prices'!$B$93</f>
        <v>Stopsol bronz</v>
      </c>
      <c r="R10" s="446" t="str">
        <f>'Translate &amp; Prices'!$B$106</f>
        <v>Master  Point</v>
      </c>
      <c r="S10" s="446" t="str">
        <f>'Translate &amp; Prices'!$B$93</f>
        <v>Stopsol bronz</v>
      </c>
      <c r="U10" s="446" t="str">
        <f>'Translate &amp; Prices'!$B$112</f>
        <v>Lacobel RAL 2001</v>
      </c>
      <c r="V10" s="446" t="str">
        <f>'Translate &amp; Prices'!$B$112</f>
        <v>Lacobel RAL 2001</v>
      </c>
      <c r="AF10" s="410" t="s">
        <v>246</v>
      </c>
      <c r="AG10" s="410" t="s">
        <v>2100</v>
      </c>
      <c r="AY10" s="137" t="s">
        <v>2087</v>
      </c>
      <c r="AZ10" s="137" t="s">
        <v>2159</v>
      </c>
      <c r="CA10" s="137">
        <v>224</v>
      </c>
      <c r="CD10" s="137" t="s">
        <v>2108</v>
      </c>
      <c r="CE10" s="137">
        <v>1</v>
      </c>
      <c r="CF10" s="137">
        <v>0</v>
      </c>
      <c r="CG10" s="404"/>
      <c r="CH10" s="404"/>
      <c r="CI10" s="404"/>
      <c r="CJ10" s="404"/>
      <c r="CK10" s="404" t="s">
        <v>2205</v>
      </c>
      <c r="CL10" s="404" t="s">
        <v>2215</v>
      </c>
      <c r="CM10" s="404" t="s">
        <v>2205</v>
      </c>
      <c r="CN10" s="404" t="s">
        <v>2215</v>
      </c>
      <c r="CO10" s="404" t="s">
        <v>2205</v>
      </c>
      <c r="CP10" s="404" t="s">
        <v>2215</v>
      </c>
      <c r="CQ10" s="404" t="s">
        <v>2226</v>
      </c>
      <c r="CR10" s="404" t="s">
        <v>2234</v>
      </c>
      <c r="CS10" s="404" t="s">
        <v>2226</v>
      </c>
      <c r="CT10" s="404" t="s">
        <v>2234</v>
      </c>
      <c r="CU10" s="404" t="s">
        <v>2205</v>
      </c>
      <c r="CV10" s="404" t="s">
        <v>2215</v>
      </c>
      <c r="CW10" s="404"/>
      <c r="CX10" s="404"/>
      <c r="CY10" s="404" t="s">
        <v>2205</v>
      </c>
      <c r="CZ10" s="404" t="s">
        <v>2215</v>
      </c>
      <c r="DA10" s="404"/>
      <c r="DB10" s="404"/>
      <c r="DC10" s="404"/>
      <c r="DD10" s="404"/>
      <c r="DE10" s="404"/>
      <c r="DF10" s="404"/>
      <c r="DG10" s="404" t="s">
        <v>2205</v>
      </c>
      <c r="DH10" s="404" t="s">
        <v>2215</v>
      </c>
      <c r="DI10" s="404" t="s">
        <v>2205</v>
      </c>
      <c r="DJ10" s="404" t="s">
        <v>2215</v>
      </c>
      <c r="DK10" s="404"/>
      <c r="DL10" s="404"/>
      <c r="DN10" s="166" t="s">
        <v>125</v>
      </c>
      <c r="DO10" s="165" t="s">
        <v>125</v>
      </c>
    </row>
    <row r="11" spans="1:121" x14ac:dyDescent="0.3">
      <c r="A11" s="446" t="str">
        <f>'Translate &amp; Prices'!B15</f>
        <v>BRW světlá nerez (ACIER GRATA)</v>
      </c>
      <c r="B11" s="137">
        <v>1</v>
      </c>
      <c r="C11" s="137" t="s">
        <v>1222</v>
      </c>
      <c r="D11" s="137">
        <v>0</v>
      </c>
      <c r="Q11" s="446" t="str">
        <f>'Translate &amp; Prices'!$B$94</f>
        <v>Lakomat</v>
      </c>
      <c r="R11" s="446" t="str">
        <f>'Translate &amp; Prices'!$B$108</f>
        <v>Master  Shine</v>
      </c>
      <c r="S11" s="446" t="str">
        <f>'Translate &amp; Prices'!$B$96</f>
        <v>Antisol bronz</v>
      </c>
      <c r="U11" s="446" t="str">
        <f>'Translate &amp; Prices'!$B$113</f>
        <v>Lacobel RAL 3004</v>
      </c>
      <c r="V11" s="446" t="str">
        <f>'Translate &amp; Prices'!$B$113</f>
        <v>Lacobel RAL 3004</v>
      </c>
      <c r="AF11" s="407" t="s">
        <v>245</v>
      </c>
      <c r="AG11" s="407" t="s">
        <v>2102</v>
      </c>
      <c r="AY11" s="137" t="s">
        <v>2087</v>
      </c>
      <c r="AZ11" s="137" t="s">
        <v>2160</v>
      </c>
      <c r="CA11" s="137">
        <v>240</v>
      </c>
      <c r="CD11" s="137" t="s">
        <v>2269</v>
      </c>
      <c r="CE11" s="137">
        <v>1</v>
      </c>
      <c r="CF11" s="137">
        <v>0</v>
      </c>
      <c r="CG11" s="404"/>
      <c r="CH11" s="404"/>
      <c r="CI11" s="404"/>
      <c r="CJ11" s="404"/>
      <c r="CK11" s="404" t="s">
        <v>2206</v>
      </c>
      <c r="CL11" s="404"/>
      <c r="CM11" s="404" t="s">
        <v>2206</v>
      </c>
      <c r="CN11" s="404"/>
      <c r="CO11" s="404" t="s">
        <v>2206</v>
      </c>
      <c r="CP11" s="404"/>
      <c r="CQ11" s="404" t="s">
        <v>2227</v>
      </c>
      <c r="CR11" s="404"/>
      <c r="CS11" s="404" t="s">
        <v>2227</v>
      </c>
      <c r="CT11" s="404"/>
      <c r="CU11" s="404" t="s">
        <v>2206</v>
      </c>
      <c r="CV11" s="404"/>
      <c r="CW11" s="404"/>
      <c r="CX11" s="404"/>
      <c r="CY11" s="404" t="s">
        <v>2206</v>
      </c>
      <c r="CZ11" s="404"/>
      <c r="DA11" s="404"/>
      <c r="DB11" s="404"/>
      <c r="DC11" s="404"/>
      <c r="DD11" s="404"/>
      <c r="DE11" s="404"/>
      <c r="DF11" s="404"/>
      <c r="DG11" s="404" t="s">
        <v>2206</v>
      </c>
      <c r="DH11" s="404"/>
      <c r="DI11" s="404" t="s">
        <v>2206</v>
      </c>
      <c r="DJ11" s="404"/>
      <c r="DK11" s="404"/>
      <c r="DL11" s="404"/>
      <c r="DN11" s="166" t="s">
        <v>126</v>
      </c>
      <c r="DO11" s="165" t="s">
        <v>126</v>
      </c>
    </row>
    <row r="12" spans="1:121" x14ac:dyDescent="0.3">
      <c r="A12" s="446" t="str">
        <f>'Translate &amp; Prices'!B16</f>
        <v>BRW champagne</v>
      </c>
      <c r="B12" s="137">
        <v>1</v>
      </c>
      <c r="C12" s="137" t="s">
        <v>1222</v>
      </c>
      <c r="D12" s="137">
        <v>0</v>
      </c>
      <c r="Q12" s="446" t="str">
        <f>'Translate &amp; Prices'!$B$95</f>
        <v>Pisek</v>
      </c>
      <c r="R12" s="446" t="str">
        <f>'Translate &amp; Prices'!$B$109</f>
        <v>Lacobel RAL 1013</v>
      </c>
      <c r="S12" s="446" t="str">
        <f>'Translate &amp; Prices'!$B$97</f>
        <v>Antisol grafit</v>
      </c>
      <c r="U12" s="446" t="str">
        <f>'Translate &amp; Prices'!$B$114</f>
        <v>Lacobel RAL 4006</v>
      </c>
      <c r="V12" s="446" t="str">
        <f>'Translate &amp; Prices'!$B$114</f>
        <v>Lacobel RAL 4006</v>
      </c>
      <c r="AF12" s="407" t="s">
        <v>246</v>
      </c>
      <c r="AG12" s="407" t="s">
        <v>2102</v>
      </c>
      <c r="AY12" s="137" t="s">
        <v>2087</v>
      </c>
      <c r="AZ12" s="137" t="s">
        <v>2161</v>
      </c>
      <c r="CA12" s="137">
        <v>256</v>
      </c>
      <c r="CD12" s="137" t="s">
        <v>2111</v>
      </c>
      <c r="CE12" s="137">
        <v>1</v>
      </c>
      <c r="CF12" s="137">
        <v>0</v>
      </c>
      <c r="CG12" s="404"/>
      <c r="CH12" s="404"/>
      <c r="CI12" s="404"/>
      <c r="CJ12" s="404"/>
      <c r="CK12" s="404" t="s">
        <v>2207</v>
      </c>
      <c r="CL12" s="404"/>
      <c r="CM12" s="404" t="s">
        <v>2207</v>
      </c>
      <c r="CN12" s="404"/>
      <c r="CO12" s="404" t="s">
        <v>2207</v>
      </c>
      <c r="CP12" s="404"/>
      <c r="CQ12" s="404" t="s">
        <v>2228</v>
      </c>
      <c r="CR12" s="404"/>
      <c r="CS12" s="404" t="s">
        <v>2228</v>
      </c>
      <c r="CT12" s="404"/>
      <c r="CU12" s="404" t="s">
        <v>2207</v>
      </c>
      <c r="CV12" s="404"/>
      <c r="CW12" s="404"/>
      <c r="CX12" s="404"/>
      <c r="CY12" s="404" t="s">
        <v>2207</v>
      </c>
      <c r="CZ12" s="404"/>
      <c r="DA12" s="404"/>
      <c r="DB12" s="404"/>
      <c r="DC12" s="404"/>
      <c r="DD12" s="404"/>
      <c r="DE12" s="404"/>
      <c r="DF12" s="404"/>
      <c r="DG12" s="404" t="s">
        <v>2207</v>
      </c>
      <c r="DH12" s="404"/>
      <c r="DI12" s="404" t="s">
        <v>2207</v>
      </c>
      <c r="DJ12" s="404"/>
      <c r="DK12" s="404"/>
      <c r="DL12" s="404"/>
      <c r="DN12" s="166" t="s">
        <v>127</v>
      </c>
      <c r="DO12" s="165" t="s">
        <v>127</v>
      </c>
    </row>
    <row r="13" spans="1:121" x14ac:dyDescent="0.3">
      <c r="A13" s="446" t="str">
        <f>'Translate &amp; Prices'!B17</f>
        <v>BRW tmavá nerez br. (Inox lija)</v>
      </c>
      <c r="B13" s="137">
        <v>1</v>
      </c>
      <c r="C13" s="137" t="s">
        <v>1222</v>
      </c>
      <c r="D13" s="137">
        <v>0</v>
      </c>
      <c r="Q13" s="446" t="str">
        <f>'Translate &amp; Prices'!$B$96</f>
        <v>Antisol bronz</v>
      </c>
      <c r="R13" s="446" t="str">
        <f>'Translate &amp; Prices'!$B$110</f>
        <v>Lacobel RAL 1014</v>
      </c>
      <c r="S13" s="446" t="str">
        <f>'Translate &amp; Prices'!$B$102</f>
        <v>Krizet</v>
      </c>
      <c r="U13" s="446" t="str">
        <f>'Translate &amp; Prices'!$B$115</f>
        <v>Lacobel RAL 5002</v>
      </c>
      <c r="V13" s="446" t="str">
        <f>'Translate &amp; Prices'!$B$115</f>
        <v>Lacobel RAL 5002</v>
      </c>
      <c r="AF13" s="410" t="s">
        <v>245</v>
      </c>
      <c r="AG13" s="410" t="s">
        <v>2105</v>
      </c>
      <c r="AY13" s="137" t="s">
        <v>2087</v>
      </c>
      <c r="AZ13" s="137" t="s">
        <v>2162</v>
      </c>
      <c r="BY13" s="137" t="str">
        <f>'Translate &amp; Prices'!B537</f>
        <v>Ne</v>
      </c>
      <c r="BZ13" s="137">
        <v>0</v>
      </c>
      <c r="CA13" s="137">
        <v>288</v>
      </c>
      <c r="CD13" s="137" t="s">
        <v>2268</v>
      </c>
      <c r="CE13" s="137">
        <v>1</v>
      </c>
      <c r="CF13" s="137">
        <v>0</v>
      </c>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N13" s="166" t="s">
        <v>492</v>
      </c>
      <c r="DO13" s="165" t="s">
        <v>125</v>
      </c>
    </row>
    <row r="14" spans="1:121" x14ac:dyDescent="0.3">
      <c r="A14" s="446" t="str">
        <f>'Translate &amp; Prices'!B18</f>
        <v>Corleone (elox.)</v>
      </c>
      <c r="B14" s="137">
        <v>2</v>
      </c>
      <c r="C14" s="137" t="s">
        <v>1222</v>
      </c>
      <c r="D14" s="137">
        <v>0</v>
      </c>
      <c r="F14" s="137" t="str">
        <f>'Translate &amp; Prices'!B60</f>
        <v>Varna (Vlevo a Vpravo) + Siena (Nahoře a dole)</v>
      </c>
      <c r="Q14" s="446" t="str">
        <f>'Translate &amp; Prices'!$B$97</f>
        <v>Antisol grafit</v>
      </c>
      <c r="R14" s="446" t="str">
        <f>'Translate &amp; Prices'!$B$111</f>
        <v>Lacobel RAL 1015</v>
      </c>
      <c r="S14" s="446" t="str">
        <f>'Translate &amp; Prices'!$B$103</f>
        <v>Master (Carre)</v>
      </c>
      <c r="U14" s="446" t="str">
        <f>'Translate &amp; Prices'!$B$116</f>
        <v>Lacobel RAL 7035</v>
      </c>
      <c r="V14" s="446" t="str">
        <f>'Translate &amp; Prices'!$B$116</f>
        <v>Lacobel RAL 7035</v>
      </c>
      <c r="AA14" s="137" t="s">
        <v>2099</v>
      </c>
      <c r="AB14" s="137" t="s">
        <v>2148</v>
      </c>
      <c r="AF14" s="410" t="s">
        <v>246</v>
      </c>
      <c r="AG14" s="410" t="s">
        <v>2105</v>
      </c>
      <c r="AY14" s="137" t="s">
        <v>2087</v>
      </c>
      <c r="AZ14" s="137" t="s">
        <v>2163</v>
      </c>
      <c r="BY14" s="137" t="str">
        <f>'Translate &amp; Prices'!B538</f>
        <v>Horizontálně</v>
      </c>
      <c r="BZ14" s="137">
        <v>1</v>
      </c>
      <c r="CA14" s="137">
        <v>320</v>
      </c>
      <c r="CD14" s="137" t="s">
        <v>2113</v>
      </c>
      <c r="CE14" s="137">
        <v>1</v>
      </c>
      <c r="CF14" s="137">
        <v>0</v>
      </c>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4"/>
      <c r="DF14" s="404"/>
      <c r="DG14" s="404"/>
      <c r="DH14" s="404"/>
      <c r="DI14" s="404"/>
      <c r="DJ14" s="404"/>
      <c r="DK14" s="404"/>
      <c r="DL14" s="404"/>
      <c r="DN14" s="166" t="s">
        <v>493</v>
      </c>
      <c r="DO14" s="165" t="s">
        <v>126</v>
      </c>
    </row>
    <row r="15" spans="1:121" x14ac:dyDescent="0.3">
      <c r="A15" s="446" t="str">
        <f>'Translate &amp; Prices'!B19</f>
        <v>Corleone černé mat</v>
      </c>
      <c r="B15" s="137">
        <v>2</v>
      </c>
      <c r="C15" s="137" t="s">
        <v>1222</v>
      </c>
      <c r="D15" s="137">
        <v>0</v>
      </c>
      <c r="F15" s="137" t="str">
        <f>'Translate &amp; Prices'!B61</f>
        <v>Siena (Vlevo a vpravo) + Varna (Nahoře a dole)</v>
      </c>
      <c r="Q15" s="446" t="str">
        <f>'Translate &amp; Prices'!$B$98</f>
        <v>Zrcadlo</v>
      </c>
      <c r="R15" s="446" t="str">
        <f>'Translate &amp; Prices'!$B$112</f>
        <v>Lacobel RAL 2001</v>
      </c>
      <c r="S15" s="446" t="str">
        <f>'Translate &amp; Prices'!$B$104</f>
        <v xml:space="preserve">Master  Lens </v>
      </c>
      <c r="U15" s="446" t="str">
        <f>'Translate &amp; Prices'!$B$117</f>
        <v>Lacobel RAL 8017</v>
      </c>
      <c r="V15" s="446" t="str">
        <f>'Translate &amp; Prices'!$B$117</f>
        <v>Lacobel RAL 8017</v>
      </c>
      <c r="AA15" s="137" t="s">
        <v>2099</v>
      </c>
      <c r="AB15" s="137" t="s">
        <v>2097</v>
      </c>
      <c r="AC15" s="137">
        <v>1</v>
      </c>
      <c r="AD15" s="137">
        <v>0</v>
      </c>
      <c r="AF15" s="407" t="s">
        <v>245</v>
      </c>
      <c r="AG15" s="407" t="s">
        <v>2107</v>
      </c>
      <c r="AY15" s="137" t="s">
        <v>1021</v>
      </c>
      <c r="BY15" s="137" t="str">
        <f>'Translate &amp; Prices'!B539</f>
        <v>Vertikálně</v>
      </c>
      <c r="BZ15" s="137">
        <v>2</v>
      </c>
      <c r="CD15" s="137" t="s">
        <v>2114</v>
      </c>
      <c r="CE15" s="137">
        <v>1</v>
      </c>
      <c r="CF15" s="137">
        <v>0</v>
      </c>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N15" s="166" t="s">
        <v>2348</v>
      </c>
      <c r="DO15" s="165" t="s">
        <v>127</v>
      </c>
    </row>
    <row r="16" spans="1:121" x14ac:dyDescent="0.3">
      <c r="A16" s="446" t="str">
        <f>'Translate &amp; Prices'!B20</f>
        <v>Corleone champagne</v>
      </c>
      <c r="B16" s="137">
        <v>2</v>
      </c>
      <c r="C16" s="137" t="s">
        <v>1222</v>
      </c>
      <c r="D16" s="137">
        <v>0</v>
      </c>
      <c r="F16" s="137" t="str">
        <f>'Translate &amp; Prices'!B62</f>
        <v>Varna černá (Vlevo a Vpravo) + Siena černá (Nahoře a dole)</v>
      </c>
      <c r="Q16" s="446" t="str">
        <f>'Translate &amp; Prices'!$B$99</f>
        <v>Zrcadlo hnědé</v>
      </c>
      <c r="R16" s="446" t="str">
        <f>'Translate &amp; Prices'!$B$113</f>
        <v>Lacobel RAL 3004</v>
      </c>
      <c r="S16" s="446" t="str">
        <f>'Translate &amp; Prices'!$B$105</f>
        <v>Master  Ligne</v>
      </c>
      <c r="U16" s="446" t="str">
        <f>'Translate &amp; Prices'!$B$118</f>
        <v>Lacobel RAL 9003</v>
      </c>
      <c r="V16" s="446" t="str">
        <f>'Translate &amp; Prices'!$B$118</f>
        <v>Lacobel RAL 9003</v>
      </c>
      <c r="AA16" s="137" t="s">
        <v>2099</v>
      </c>
      <c r="AB16" s="137" t="s">
        <v>2100</v>
      </c>
      <c r="AC16" s="137">
        <v>1</v>
      </c>
      <c r="AD16" s="137">
        <v>1</v>
      </c>
      <c r="AF16" s="407" t="s">
        <v>246</v>
      </c>
      <c r="AG16" s="407" t="s">
        <v>2107</v>
      </c>
      <c r="AY16" s="137" t="s">
        <v>1021</v>
      </c>
      <c r="AZ16" s="137" t="s">
        <v>2164</v>
      </c>
      <c r="BY16" s="137" t="str">
        <f>'Translate &amp; Prices'!B540</f>
        <v>Horizontálně i Vertikálně</v>
      </c>
      <c r="BZ16" s="137">
        <v>3</v>
      </c>
      <c r="CD16" s="137" t="s">
        <v>2638</v>
      </c>
      <c r="CE16" s="137">
        <v>1</v>
      </c>
      <c r="CF16" s="137">
        <v>1</v>
      </c>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4"/>
      <c r="DF16" s="404"/>
      <c r="DG16" s="404"/>
      <c r="DH16" s="404"/>
      <c r="DI16" s="404"/>
      <c r="DJ16" s="404"/>
      <c r="DK16" s="404"/>
      <c r="DL16" s="404"/>
      <c r="DN16" s="166" t="s">
        <v>568</v>
      </c>
      <c r="DO16" s="165" t="s">
        <v>125</v>
      </c>
    </row>
    <row r="17" spans="1:119" x14ac:dyDescent="0.3">
      <c r="A17" s="446" t="str">
        <f>'Translate &amp; Prices'!B21</f>
        <v>Imola (elox.)</v>
      </c>
      <c r="B17" s="137">
        <v>2</v>
      </c>
      <c r="C17" s="137" t="s">
        <v>2133</v>
      </c>
      <c r="D17" s="137">
        <v>0</v>
      </c>
      <c r="F17" s="137" t="str">
        <f>'Translate &amp; Prices'!B63</f>
        <v>Siena černá (Vlevo a vpravo) + Varna černá (Nahoře a dole)</v>
      </c>
      <c r="Q17" s="446" t="str">
        <f>'Translate &amp; Prices'!$B$100</f>
        <v>Zrcadlo grafit</v>
      </c>
      <c r="R17" s="446" t="str">
        <f>'Translate &amp; Prices'!$B$114</f>
        <v>Lacobel RAL 4006</v>
      </c>
      <c r="S17" s="446" t="str">
        <f>'Translate &amp; Prices'!$B$106</f>
        <v>Master  Point</v>
      </c>
      <c r="U17" s="446" t="str">
        <f>'Translate &amp; Prices'!$B$119</f>
        <v>Lacobel RAL 9005</v>
      </c>
      <c r="V17" s="446" t="str">
        <f>'Translate &amp; Prices'!$B$119</f>
        <v>Lacobel RAL 9005</v>
      </c>
      <c r="AA17" s="137" t="s">
        <v>2099</v>
      </c>
      <c r="AB17" s="137" t="s">
        <v>2101</v>
      </c>
      <c r="AC17" s="137">
        <v>0</v>
      </c>
      <c r="AD17" s="137">
        <v>0</v>
      </c>
      <c r="AF17" s="410" t="s">
        <v>245</v>
      </c>
      <c r="AG17" s="410" t="s">
        <v>2108</v>
      </c>
      <c r="AY17" s="137" t="s">
        <v>1021</v>
      </c>
      <c r="AZ17" s="137" t="s">
        <v>2165</v>
      </c>
      <c r="CD17" s="137" t="s">
        <v>2639</v>
      </c>
      <c r="CE17" s="137">
        <v>1</v>
      </c>
      <c r="CF17" s="137">
        <v>1</v>
      </c>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N17" s="166" t="s">
        <v>569</v>
      </c>
      <c r="DO17" s="165" t="s">
        <v>126</v>
      </c>
    </row>
    <row r="18" spans="1:119" x14ac:dyDescent="0.3">
      <c r="A18" s="446" t="str">
        <f>'Translate &amp; Prices'!B22</f>
        <v>Imola černá mat</v>
      </c>
      <c r="B18" s="137">
        <v>2</v>
      </c>
      <c r="C18" s="137" t="s">
        <v>2133</v>
      </c>
      <c r="D18" s="137">
        <v>0</v>
      </c>
      <c r="F18" s="137" t="str">
        <f>'Translate &amp; Prices'!B64</f>
        <v>Varna (Vlevo a Vpravo) + Palio (Nahoře a dole)</v>
      </c>
      <c r="Q18" s="446" t="str">
        <f>'Translate &amp; Prices'!$B$102</f>
        <v>Krizet</v>
      </c>
      <c r="R18" s="446" t="str">
        <f>'Translate &amp; Prices'!$B$115</f>
        <v>Lacobel RAL 5002</v>
      </c>
      <c r="S18" s="446" t="str">
        <f>'Translate &amp; Prices'!$B$107</f>
        <v xml:space="preserve">Master  Ray </v>
      </c>
      <c r="U18" s="446" t="str">
        <f>'Translate &amp; Prices'!$B$120</f>
        <v>Lacobel RAL 9006</v>
      </c>
      <c r="V18" s="446" t="str">
        <f>'Translate &amp; Prices'!$B$120</f>
        <v>Lacobel RAL 9006</v>
      </c>
      <c r="AA18" s="137" t="s">
        <v>2099</v>
      </c>
      <c r="AB18" s="137" t="s">
        <v>2103</v>
      </c>
      <c r="AC18" s="137">
        <v>0</v>
      </c>
      <c r="AD18" s="137">
        <v>0</v>
      </c>
      <c r="AF18" s="410" t="s">
        <v>246</v>
      </c>
      <c r="AG18" s="410" t="s">
        <v>2108</v>
      </c>
      <c r="AY18" s="137" t="s">
        <v>1021</v>
      </c>
      <c r="AZ18" s="137" t="s">
        <v>2166</v>
      </c>
      <c r="BY18" s="137">
        <v>1</v>
      </c>
      <c r="CD18" s="137" t="s">
        <v>2119</v>
      </c>
      <c r="CE18" s="137">
        <v>1</v>
      </c>
      <c r="CF18" s="137">
        <v>0</v>
      </c>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N18" s="166" t="s">
        <v>570</v>
      </c>
      <c r="DO18" s="165" t="s">
        <v>127</v>
      </c>
    </row>
    <row r="19" spans="1:119" x14ac:dyDescent="0.3">
      <c r="A19" s="446" t="str">
        <f>'Translate &amp; Prices'!B23</f>
        <v>Imola bílá mat</v>
      </c>
      <c r="B19" s="137">
        <v>2</v>
      </c>
      <c r="C19" s="137" t="s">
        <v>2133</v>
      </c>
      <c r="D19" s="137">
        <v>0</v>
      </c>
      <c r="F19" s="137" t="str">
        <f>'Translate &amp; Prices'!B65</f>
        <v>Palio (Vlevo a vpravo) + Varna (Nahoře a dole)</v>
      </c>
      <c r="Q19" s="446" t="str">
        <f>'Translate &amp; Prices'!$B$103</f>
        <v>Master (Carre)</v>
      </c>
      <c r="R19" s="446" t="str">
        <f>'Translate &amp; Prices'!$B$116</f>
        <v>Lacobel RAL 7035</v>
      </c>
      <c r="S19" s="446" t="str">
        <f>'Translate &amp; Prices'!$B$108</f>
        <v>Master  Shine</v>
      </c>
      <c r="U19" s="446" t="str">
        <f>'Translate &amp; Prices'!$B$121</f>
        <v>Lacobel RAL 9007</v>
      </c>
      <c r="V19" s="446" t="str">
        <f>'Translate &amp; Prices'!$B$121</f>
        <v>Lacobel RAL 9007</v>
      </c>
      <c r="AA19" s="137" t="s">
        <v>2099</v>
      </c>
      <c r="AB19" s="137" t="s">
        <v>2104</v>
      </c>
      <c r="AC19" s="137">
        <v>0</v>
      </c>
      <c r="AD19" s="137">
        <v>0</v>
      </c>
      <c r="AF19" s="407" t="s">
        <v>245</v>
      </c>
      <c r="AG19" s="407" t="s">
        <v>2110</v>
      </c>
      <c r="AY19" s="137" t="s">
        <v>1021</v>
      </c>
      <c r="AZ19" s="137" t="s">
        <v>2167</v>
      </c>
      <c r="BY19" s="137">
        <v>2</v>
      </c>
    </row>
    <row r="20" spans="1:119" x14ac:dyDescent="0.3">
      <c r="A20" s="446" t="str">
        <f>'Translate &amp; Prices'!B24</f>
        <v>Modena (elox.)</v>
      </c>
      <c r="B20" s="137">
        <v>2</v>
      </c>
      <c r="C20" s="137" t="s">
        <v>1222</v>
      </c>
      <c r="D20" s="137">
        <v>0</v>
      </c>
      <c r="F20" s="137" t="str">
        <f>'Translate &amp; Prices'!B66</f>
        <v>Varna (Vlevo a Vpravo) + Rocca (Nahoře a dole)</v>
      </c>
      <c r="Q20" s="446" t="str">
        <f>'Translate &amp; Prices'!$B$104</f>
        <v xml:space="preserve">Master  Lens </v>
      </c>
      <c r="R20" s="446" t="str">
        <f>'Translate &amp; Prices'!$B$117</f>
        <v>Lacobel RAL 8017</v>
      </c>
      <c r="U20" s="446" t="str">
        <f>'Translate &amp; Prices'!$B$122</f>
        <v>Lacobel RAL 9010</v>
      </c>
      <c r="V20" s="446" t="str">
        <f>'Translate &amp; Prices'!$B$122</f>
        <v>Lacobel RAL 9010</v>
      </c>
      <c r="AA20" s="137" t="s">
        <v>2099</v>
      </c>
      <c r="AB20" s="137" t="s">
        <v>2106</v>
      </c>
      <c r="AC20" s="137">
        <v>0</v>
      </c>
      <c r="AD20" s="137">
        <v>0</v>
      </c>
      <c r="AF20" s="407" t="s">
        <v>246</v>
      </c>
      <c r="AG20" s="407" t="s">
        <v>2110</v>
      </c>
      <c r="AY20" s="137" t="s">
        <v>1021</v>
      </c>
      <c r="AZ20" s="137" t="s">
        <v>2168</v>
      </c>
      <c r="BY20" s="137">
        <v>3</v>
      </c>
    </row>
    <row r="21" spans="1:119" x14ac:dyDescent="0.3">
      <c r="A21" s="446" t="str">
        <f>'Translate &amp; Prices'!B25</f>
        <v>Modena černá mat</v>
      </c>
      <c r="B21" s="137">
        <v>2</v>
      </c>
      <c r="C21" s="137" t="s">
        <v>1222</v>
      </c>
      <c r="D21" s="137">
        <v>0</v>
      </c>
      <c r="F21" s="137" t="str">
        <f>'Translate &amp; Prices'!B67</f>
        <v>Rocca (Vlevo a vpravo) + Varna (Nahoře a dole)</v>
      </c>
      <c r="Q21" s="446" t="str">
        <f>'Translate &amp; Prices'!$B$105</f>
        <v>Master  Ligne</v>
      </c>
      <c r="R21" s="446" t="str">
        <f>'Translate &amp; Prices'!$B$118</f>
        <v>Lacobel RAL 9003</v>
      </c>
      <c r="U21" s="446" t="str">
        <f>'Translate &amp; Prices'!$B$123</f>
        <v>Lacobel REF 0128</v>
      </c>
      <c r="V21" s="446" t="str">
        <f>'Translate &amp; Prices'!$B$123</f>
        <v>Lacobel REF 0128</v>
      </c>
      <c r="AA21" s="137" t="s">
        <v>2099</v>
      </c>
      <c r="AB21" s="137" t="s">
        <v>2102</v>
      </c>
      <c r="AC21" s="137">
        <v>1</v>
      </c>
      <c r="AD21" s="137">
        <v>0</v>
      </c>
      <c r="AF21" s="410" t="s">
        <v>245</v>
      </c>
      <c r="AG21" s="410" t="s">
        <v>2111</v>
      </c>
      <c r="BY21" s="137">
        <v>4</v>
      </c>
    </row>
    <row r="22" spans="1:119" x14ac:dyDescent="0.3">
      <c r="A22" s="446" t="str">
        <f>'Translate &amp; Prices'!B27</f>
        <v>Modena černá broušená</v>
      </c>
      <c r="B22" s="137">
        <v>2</v>
      </c>
      <c r="C22" s="137" t="s">
        <v>1222</v>
      </c>
      <c r="D22" s="137">
        <v>0</v>
      </c>
      <c r="F22" s="137" t="str">
        <f>'Translate &amp; Prices'!B68</f>
        <v>Varna černá (Vlevo a Vpravo) + Rocca černá (Nahoře a dole)</v>
      </c>
      <c r="Q22" s="446" t="str">
        <f>'Translate &amp; Prices'!$B$106</f>
        <v>Master  Point</v>
      </c>
      <c r="R22" s="446" t="str">
        <f>'Translate &amp; Prices'!$B$119</f>
        <v>Lacobel RAL 9005</v>
      </c>
      <c r="U22" s="446" t="str">
        <f>'Translate &amp; Prices'!$B$124</f>
        <v>Lacobel REF 0327</v>
      </c>
      <c r="V22" s="446" t="str">
        <f>'Translate &amp; Prices'!$B$124</f>
        <v>Lacobel REF 0327</v>
      </c>
      <c r="AA22" s="137" t="s">
        <v>2099</v>
      </c>
      <c r="AB22" s="137" t="s">
        <v>2274</v>
      </c>
      <c r="AC22" s="137">
        <v>1</v>
      </c>
      <c r="AD22" s="137">
        <v>0</v>
      </c>
      <c r="AF22" s="410" t="s">
        <v>246</v>
      </c>
      <c r="AG22" s="410" t="s">
        <v>2111</v>
      </c>
      <c r="BY22" s="137">
        <v>5</v>
      </c>
    </row>
    <row r="23" spans="1:119" x14ac:dyDescent="0.3">
      <c r="A23" s="446" t="str">
        <f>'Translate &amp; Prices'!B28</f>
        <v>Modena tmavá nerez br. (inox lija)</v>
      </c>
      <c r="B23" s="137">
        <v>2</v>
      </c>
      <c r="C23" s="137" t="s">
        <v>1222</v>
      </c>
      <c r="D23" s="137">
        <v>0</v>
      </c>
      <c r="F23" s="137" t="str">
        <f>'Translate &amp; Prices'!B69</f>
        <v>Rocca černá (Vlevo a vpravo) + Varna černá (Nahoře a dole)</v>
      </c>
      <c r="G23" s="11"/>
      <c r="H23" s="11"/>
      <c r="I23" s="11"/>
      <c r="Q23" s="446" t="str">
        <f>'Translate &amp; Prices'!$B$107</f>
        <v xml:space="preserve">Master  Ray </v>
      </c>
      <c r="R23" s="446" t="str">
        <f>'Translate &amp; Prices'!$B$120</f>
        <v>Lacobel RAL 9006</v>
      </c>
      <c r="U23" s="446" t="str">
        <f>'Translate &amp; Prices'!$B$125</f>
        <v>Lacobel REF 0337</v>
      </c>
      <c r="V23" s="446" t="str">
        <f>'Translate &amp; Prices'!$B$125</f>
        <v>Lacobel REF 0337</v>
      </c>
      <c r="AA23" s="137" t="s">
        <v>2099</v>
      </c>
      <c r="AB23" s="137" t="s">
        <v>2107</v>
      </c>
      <c r="AC23" s="137">
        <v>1</v>
      </c>
      <c r="AD23" s="137">
        <v>0</v>
      </c>
      <c r="AF23" s="407" t="s">
        <v>245</v>
      </c>
      <c r="AG23" s="407" t="s">
        <v>2112</v>
      </c>
      <c r="BY23" s="137">
        <v>6</v>
      </c>
    </row>
    <row r="24" spans="1:119" x14ac:dyDescent="0.3">
      <c r="A24" s="446" t="str">
        <f>'Translate &amp; Prices'!B29</f>
        <v>Palio (elox.)</v>
      </c>
      <c r="B24" s="137">
        <v>2</v>
      </c>
      <c r="C24" s="137" t="s">
        <v>1222</v>
      </c>
      <c r="D24" s="137">
        <v>0</v>
      </c>
      <c r="G24" s="11"/>
      <c r="H24" s="11"/>
      <c r="I24" s="11"/>
      <c r="Q24" s="446" t="str">
        <f>'Translate &amp; Prices'!$B$108</f>
        <v>Master  Shine</v>
      </c>
      <c r="R24" s="446" t="str">
        <f>'Translate &amp; Prices'!$B$121</f>
        <v>Lacobel RAL 9007</v>
      </c>
      <c r="U24" s="446" t="str">
        <f>'Translate &amp; Prices'!$B$126</f>
        <v>Lacobel REF 0627</v>
      </c>
      <c r="V24" s="446" t="str">
        <f>'Translate &amp; Prices'!$B$126</f>
        <v>Lacobel REF 0627</v>
      </c>
      <c r="AF24" s="407" t="s">
        <v>246</v>
      </c>
      <c r="AG24" s="407" t="s">
        <v>2112</v>
      </c>
      <c r="BY24" s="137">
        <v>7</v>
      </c>
    </row>
    <row r="25" spans="1:119" x14ac:dyDescent="0.3">
      <c r="A25" s="446" t="str">
        <f>'Translate &amp; Prices'!B30</f>
        <v>Palio černá mat</v>
      </c>
      <c r="B25" s="137">
        <v>2</v>
      </c>
      <c r="C25" s="137" t="s">
        <v>1222</v>
      </c>
      <c r="D25" s="137">
        <v>0</v>
      </c>
      <c r="G25" s="11"/>
      <c r="H25" s="11"/>
      <c r="I25" s="11"/>
      <c r="Q25" s="446" t="str">
        <f>'Translate &amp; Prices'!$B$109</f>
        <v>Lacobel RAL 1013</v>
      </c>
      <c r="R25" s="446" t="str">
        <f>'Translate &amp; Prices'!$B$122</f>
        <v>Lacobel RAL 9010</v>
      </c>
      <c r="U25" s="446" t="str">
        <f>'Translate &amp; Prices'!$B$127</f>
        <v>Lacobel REF 0667</v>
      </c>
      <c r="V25" s="446" t="str">
        <f>'Translate &amp; Prices'!$B$127</f>
        <v>Lacobel REF 0667</v>
      </c>
      <c r="AF25" s="410" t="s">
        <v>245</v>
      </c>
      <c r="AG25" s="410" t="s">
        <v>2113</v>
      </c>
      <c r="BY25" s="137">
        <v>8</v>
      </c>
    </row>
    <row r="26" spans="1:119" x14ac:dyDescent="0.3">
      <c r="A26" s="446" t="str">
        <f>'Translate &amp; Prices'!B31</f>
        <v>Pisa (elox.)</v>
      </c>
      <c r="B26" s="137">
        <v>2</v>
      </c>
      <c r="C26" s="137" t="s">
        <v>2133</v>
      </c>
      <c r="D26" s="137">
        <v>0</v>
      </c>
      <c r="G26" s="11"/>
      <c r="H26" s="11"/>
      <c r="I26" s="11"/>
      <c r="Q26" s="446" t="str">
        <f>'Translate &amp; Prices'!$B$110</f>
        <v>Lacobel RAL 1014</v>
      </c>
      <c r="R26" s="446" t="str">
        <f>'Translate &amp; Prices'!$B$123</f>
        <v>Lacobel REF 0128</v>
      </c>
      <c r="U26" s="446" t="str">
        <f>'Translate &amp; Prices'!$B$128</f>
        <v>Lacobel REF 1164</v>
      </c>
      <c r="V26" s="446" t="str">
        <f>'Translate &amp; Prices'!$B$128</f>
        <v>Lacobel REF 1164</v>
      </c>
      <c r="AF26" s="410" t="s">
        <v>246</v>
      </c>
      <c r="AG26" s="410" t="s">
        <v>2113</v>
      </c>
      <c r="BY26" s="137">
        <v>9</v>
      </c>
    </row>
    <row r="27" spans="1:119" x14ac:dyDescent="0.3">
      <c r="A27" s="446" t="str">
        <f>'Translate &amp; Prices'!B32</f>
        <v>Pisa černá mat</v>
      </c>
      <c r="B27" s="137">
        <v>2</v>
      </c>
      <c r="C27" s="137" t="s">
        <v>2133</v>
      </c>
      <c r="D27" s="137">
        <v>0</v>
      </c>
      <c r="G27" s="11"/>
      <c r="H27" s="11"/>
      <c r="I27" s="11"/>
      <c r="Q27" s="446" t="str">
        <f>'Translate &amp; Prices'!$B$111</f>
        <v>Lacobel RAL 1015</v>
      </c>
      <c r="R27" s="446" t="str">
        <f>'Translate &amp; Prices'!$B$124</f>
        <v>Lacobel REF 0327</v>
      </c>
      <c r="U27" s="446" t="str">
        <f>'Translate &amp; Prices'!$B$129</f>
        <v>Lacobel REF 1236</v>
      </c>
      <c r="V27" s="446" t="str">
        <f>'Translate &amp; Prices'!$B$129</f>
        <v>Lacobel REF 1236</v>
      </c>
      <c r="AF27" s="407" t="s">
        <v>245</v>
      </c>
      <c r="AG27" s="407" t="s">
        <v>2114</v>
      </c>
      <c r="BY27" s="137">
        <v>10</v>
      </c>
    </row>
    <row r="28" spans="1:119" x14ac:dyDescent="0.3">
      <c r="A28" s="446" t="str">
        <f>'Translate &amp; Prices'!B34</f>
        <v>Ravena (elox.)</v>
      </c>
      <c r="B28" s="137">
        <v>1</v>
      </c>
      <c r="C28" s="137" t="s">
        <v>1222</v>
      </c>
      <c r="D28" s="137">
        <v>0</v>
      </c>
      <c r="G28" s="11"/>
      <c r="H28" s="11"/>
      <c r="I28" s="11"/>
      <c r="Q28" s="446" t="str">
        <f>'Translate &amp; Prices'!$B$112</f>
        <v>Lacobel RAL 2001</v>
      </c>
      <c r="R28" s="446" t="str">
        <f>'Translate &amp; Prices'!$B$125</f>
        <v>Lacobel REF 0337</v>
      </c>
      <c r="U28" s="446" t="str">
        <f>'Translate &amp; Prices'!$B$130</f>
        <v>Lacobel REF 1435</v>
      </c>
      <c r="V28" s="446" t="str">
        <f>'Translate &amp; Prices'!$B$130</f>
        <v>Lacobel REF 1435</v>
      </c>
      <c r="AA28" s="137" t="s">
        <v>2109</v>
      </c>
      <c r="AB28" s="137" t="s">
        <v>2147</v>
      </c>
      <c r="AF28" s="407" t="s">
        <v>246</v>
      </c>
      <c r="AG28" s="407" t="s">
        <v>2114</v>
      </c>
    </row>
    <row r="29" spans="1:119" x14ac:dyDescent="0.3">
      <c r="A29" s="446" t="str">
        <f>'Translate &amp; Prices'!B35</f>
        <v>Siena (elox.)</v>
      </c>
      <c r="B29" s="137">
        <v>2</v>
      </c>
      <c r="C29" s="137" t="s">
        <v>1222</v>
      </c>
      <c r="D29" s="137">
        <v>0</v>
      </c>
      <c r="G29" s="11"/>
      <c r="H29" s="11"/>
      <c r="I29" s="11"/>
      <c r="Q29" s="446" t="str">
        <f>'Translate &amp; Prices'!$B$113</f>
        <v>Lacobel RAL 3004</v>
      </c>
      <c r="R29" s="446" t="str">
        <f>'Translate &amp; Prices'!$B$126</f>
        <v>Lacobel REF 0627</v>
      </c>
      <c r="U29" s="446" t="str">
        <f>'Translate &amp; Prices'!$B$131</f>
        <v>Lacobel REF 1586</v>
      </c>
      <c r="V29" s="446" t="str">
        <f>'Translate &amp; Prices'!$B$131</f>
        <v>Lacobel REF 1586</v>
      </c>
      <c r="AA29" s="137" t="s">
        <v>2109</v>
      </c>
      <c r="AB29" s="137" t="s">
        <v>2108</v>
      </c>
      <c r="AC29" s="137">
        <v>1</v>
      </c>
      <c r="AD29" s="137">
        <v>0</v>
      </c>
      <c r="AF29" s="410" t="s">
        <v>245</v>
      </c>
      <c r="AG29" s="410" t="s">
        <v>2115</v>
      </c>
    </row>
    <row r="30" spans="1:119" x14ac:dyDescent="0.3">
      <c r="A30" s="446" t="str">
        <f>'Translate &amp; Prices'!$B$36</f>
        <v>Siena černá mat</v>
      </c>
      <c r="B30" s="137">
        <v>2</v>
      </c>
      <c r="C30" s="137" t="s">
        <v>1222</v>
      </c>
      <c r="D30" s="137">
        <v>0</v>
      </c>
      <c r="Q30" s="446" t="str">
        <f>'Translate &amp; Prices'!$B$114</f>
        <v>Lacobel RAL 4006</v>
      </c>
      <c r="R30" s="446" t="str">
        <f>'Translate &amp; Prices'!$B$127</f>
        <v>Lacobel REF 0667</v>
      </c>
      <c r="U30" s="446" t="str">
        <f>'Translate &amp; Prices'!$B$132</f>
        <v>Lacobel REF 1603</v>
      </c>
      <c r="V30" s="446" t="str">
        <f>'Translate &amp; Prices'!$B$132</f>
        <v>Lacobel REF 1603</v>
      </c>
      <c r="AA30" s="137" t="s">
        <v>2109</v>
      </c>
      <c r="AB30" s="137" t="s">
        <v>2269</v>
      </c>
      <c r="AC30" s="137">
        <v>1</v>
      </c>
      <c r="AD30" s="137">
        <v>0</v>
      </c>
      <c r="AF30" s="410" t="s">
        <v>246</v>
      </c>
      <c r="AG30" s="410" t="s">
        <v>2115</v>
      </c>
    </row>
    <row r="31" spans="1:119" x14ac:dyDescent="0.3">
      <c r="A31" s="446" t="str">
        <f>'Translate &amp; Prices'!B37</f>
        <v>Verona (elox.)</v>
      </c>
      <c r="B31" s="137">
        <v>1</v>
      </c>
      <c r="C31" s="137" t="s">
        <v>1222</v>
      </c>
      <c r="D31" s="137">
        <v>0</v>
      </c>
      <c r="G31" s="11"/>
      <c r="H31" s="11"/>
      <c r="I31" s="11"/>
      <c r="Q31" s="446" t="str">
        <f>'Translate &amp; Prices'!$B$115</f>
        <v>Lacobel RAL 5002</v>
      </c>
      <c r="R31" s="446" t="str">
        <f>'Translate &amp; Prices'!$B$128</f>
        <v>Lacobel REF 1164</v>
      </c>
      <c r="U31" s="446" t="str">
        <f>'Translate &amp; Prices'!$B$133</f>
        <v>Lacobel REF 1604</v>
      </c>
      <c r="V31" s="446" t="str">
        <f>'Translate &amp; Prices'!$B$133</f>
        <v>Lacobel REF 1604</v>
      </c>
      <c r="AA31" s="137" t="s">
        <v>2109</v>
      </c>
      <c r="AB31" s="137" t="s">
        <v>2111</v>
      </c>
      <c r="AC31" s="137">
        <v>1</v>
      </c>
      <c r="AD31" s="137">
        <v>0</v>
      </c>
      <c r="AF31" s="407" t="s">
        <v>245</v>
      </c>
      <c r="AG31" s="407" t="s">
        <v>2116</v>
      </c>
    </row>
    <row r="32" spans="1:119" x14ac:dyDescent="0.3">
      <c r="A32" s="446" t="str">
        <f>'Translate &amp; Prices'!B38</f>
        <v>Verona broušený hliník</v>
      </c>
      <c r="B32" s="137">
        <v>1</v>
      </c>
      <c r="C32" s="137" t="s">
        <v>1222</v>
      </c>
      <c r="D32" s="137">
        <v>0</v>
      </c>
      <c r="G32" s="11"/>
      <c r="H32" s="11"/>
      <c r="I32" s="11"/>
      <c r="Q32" s="446" t="str">
        <f>'Translate &amp; Prices'!$B$116</f>
        <v>Lacobel RAL 7035</v>
      </c>
      <c r="R32" s="446" t="str">
        <f>'Translate &amp; Prices'!$B$129</f>
        <v>Lacobel REF 1236</v>
      </c>
      <c r="U32" s="446" t="str">
        <f>'Translate &amp; Prices'!$B$134</f>
        <v>Matelac RAL 2001</v>
      </c>
      <c r="V32" s="446" t="str">
        <f>'Translate &amp; Prices'!$B$134</f>
        <v>Matelac RAL 2001</v>
      </c>
      <c r="AA32" s="137" t="s">
        <v>2109</v>
      </c>
      <c r="AB32" s="137" t="s">
        <v>2268</v>
      </c>
      <c r="AC32" s="137">
        <v>1</v>
      </c>
      <c r="AD32" s="137">
        <v>0</v>
      </c>
      <c r="AF32" s="407" t="s">
        <v>246</v>
      </c>
      <c r="AG32" s="407" t="s">
        <v>2116</v>
      </c>
      <c r="CD32" s="137" t="str">
        <f>'Translate &amp; Prices'!$O$569</f>
        <v>(dolnej)</v>
      </c>
    </row>
    <row r="33" spans="1:82" x14ac:dyDescent="0.3">
      <c r="A33" s="446" t="str">
        <f>'Translate &amp; Prices'!B39</f>
        <v>Verona černá lesk</v>
      </c>
      <c r="B33" s="137">
        <v>1</v>
      </c>
      <c r="C33" s="137" t="s">
        <v>1222</v>
      </c>
      <c r="D33" s="137">
        <v>0</v>
      </c>
      <c r="G33" s="11"/>
      <c r="H33" s="11"/>
      <c r="I33" s="11"/>
      <c r="Q33" s="446" t="str">
        <f>'Translate &amp; Prices'!$B$117</f>
        <v>Lacobel RAL 8017</v>
      </c>
      <c r="R33" s="446" t="str">
        <f>'Translate &amp; Prices'!$B$130</f>
        <v>Lacobel REF 1435</v>
      </c>
      <c r="U33" s="446" t="str">
        <f>'Translate &amp; Prices'!$B$135</f>
        <v>Matelac RAL 3004</v>
      </c>
      <c r="V33" s="446" t="str">
        <f>'Translate &amp; Prices'!$B$135</f>
        <v>Matelac RAL 3004</v>
      </c>
      <c r="AA33" s="137" t="s">
        <v>2109</v>
      </c>
      <c r="AB33" s="137" t="s">
        <v>2113</v>
      </c>
      <c r="AC33" s="137">
        <v>1</v>
      </c>
      <c r="AD33" s="137">
        <v>0</v>
      </c>
      <c r="AF33" s="410" t="s">
        <v>245</v>
      </c>
      <c r="AG33" s="410" t="s">
        <v>2119</v>
      </c>
      <c r="CD33" s="137" t="str">
        <f>'Translate &amp; Prices'!$O$569</f>
        <v>(dolnej)</v>
      </c>
    </row>
    <row r="34" spans="1:82" x14ac:dyDescent="0.3">
      <c r="A34" s="446" t="str">
        <f>'Translate &amp; Prices'!B40</f>
        <v>Verona černá mat</v>
      </c>
      <c r="B34" s="137">
        <v>1</v>
      </c>
      <c r="C34" s="137" t="s">
        <v>1222</v>
      </c>
      <c r="D34" s="137">
        <v>0</v>
      </c>
      <c r="G34" s="11"/>
      <c r="H34" s="11"/>
      <c r="I34" s="11"/>
      <c r="Q34" s="446" t="str">
        <f>'Translate &amp; Prices'!$B$118</f>
        <v>Lacobel RAL 9003</v>
      </c>
      <c r="R34" s="446" t="str">
        <f>'Translate &amp; Prices'!$B$131</f>
        <v>Lacobel REF 1586</v>
      </c>
      <c r="U34" s="446" t="str">
        <f>'Translate &amp; Prices'!$B$136</f>
        <v>Matelac RAL 7021</v>
      </c>
      <c r="V34" s="446" t="str">
        <f>'Translate &amp; Prices'!$B$136</f>
        <v>Matelac RAL 7021</v>
      </c>
      <c r="AB34" s="137" t="s">
        <v>2114</v>
      </c>
      <c r="AC34" s="137">
        <v>1</v>
      </c>
      <c r="AD34" s="137">
        <v>0</v>
      </c>
      <c r="AF34" s="410" t="s">
        <v>246</v>
      </c>
      <c r="AG34" s="410" t="s">
        <v>2119</v>
      </c>
      <c r="CD34" s="137" t="str">
        <f>'Translate &amp; Prices'!$O$572</f>
        <v>(prawej)</v>
      </c>
    </row>
    <row r="35" spans="1:82" x14ac:dyDescent="0.3">
      <c r="A35" s="446" t="str">
        <f>'Translate &amp; Prices'!B41</f>
        <v>Verona hnědá</v>
      </c>
      <c r="B35" s="137">
        <v>1</v>
      </c>
      <c r="C35" s="137" t="s">
        <v>1222</v>
      </c>
      <c r="D35" s="137">
        <v>0</v>
      </c>
      <c r="G35" s="11"/>
      <c r="H35" s="11"/>
      <c r="I35" s="11"/>
      <c r="Q35" s="446" t="str">
        <f>'Translate &amp; Prices'!$B$119</f>
        <v>Lacobel RAL 9005</v>
      </c>
      <c r="R35" s="446" t="str">
        <f>'Translate &amp; Prices'!$B$132</f>
        <v>Lacobel REF 1603</v>
      </c>
      <c r="U35" s="446" t="str">
        <f>'Translate &amp; Prices'!$B$137</f>
        <v>Matelac RAL 9003</v>
      </c>
      <c r="V35" s="446" t="str">
        <f>'Translate &amp; Prices'!$B$137</f>
        <v>Matelac RAL 9003</v>
      </c>
      <c r="CD35" s="137" t="str">
        <f>'Translate &amp; Prices'!$O$572</f>
        <v>(prawej)</v>
      </c>
    </row>
    <row r="36" spans="1:82" x14ac:dyDescent="0.3">
      <c r="A36" s="446" t="str">
        <f>'Translate &amp; Prices'!B42</f>
        <v>Verona champagne</v>
      </c>
      <c r="B36" s="137">
        <v>1</v>
      </c>
      <c r="C36" s="137" t="s">
        <v>1222</v>
      </c>
      <c r="D36" s="137">
        <v>0</v>
      </c>
      <c r="G36" s="11"/>
      <c r="H36" s="11"/>
      <c r="I36" s="11"/>
      <c r="Q36" s="446" t="str">
        <f>'Translate &amp; Prices'!$B$120</f>
        <v>Lacobel RAL 9006</v>
      </c>
      <c r="R36" s="446" t="str">
        <f>'Translate &amp; Prices'!$B$133</f>
        <v>Lacobel REF 1604</v>
      </c>
      <c r="U36" s="446" t="str">
        <f>'Translate &amp; Prices'!$B$138</f>
        <v>Matelac RAL 9005</v>
      </c>
      <c r="V36" s="446" t="str">
        <f>'Translate &amp; Prices'!$B$138</f>
        <v>Matelac RAL 9005</v>
      </c>
    </row>
    <row r="37" spans="1:82" x14ac:dyDescent="0.3">
      <c r="A37" s="446" t="str">
        <f>'Translate &amp; Prices'!B43</f>
        <v>Verona tmavá nerez broušená</v>
      </c>
      <c r="B37" s="137">
        <v>1</v>
      </c>
      <c r="C37" s="137" t="s">
        <v>1222</v>
      </c>
      <c r="D37" s="137">
        <v>0</v>
      </c>
      <c r="G37" s="11"/>
      <c r="H37" s="11"/>
      <c r="I37" s="11"/>
      <c r="Q37" s="446" t="str">
        <f>'Translate &amp; Prices'!$B$121</f>
        <v>Lacobel RAL 9007</v>
      </c>
      <c r="R37" s="446" t="str">
        <f>'Translate &amp; Prices'!$B$134</f>
        <v>Matelac RAL 2001</v>
      </c>
      <c r="U37" s="446" t="str">
        <f>'Translate &amp; Prices'!$B$139</f>
        <v>Matelac RAL 9006</v>
      </c>
      <c r="V37" s="446" t="str">
        <f>'Translate &amp; Prices'!$B$139</f>
        <v>Matelac RAL 9006</v>
      </c>
    </row>
    <row r="38" spans="1:82" x14ac:dyDescent="0.3">
      <c r="A38" s="446" t="str">
        <f>'Translate &amp; Prices'!B44</f>
        <v>Verona světlá nerez (Acier grata)</v>
      </c>
      <c r="B38" s="137">
        <v>1</v>
      </c>
      <c r="C38" s="137" t="s">
        <v>1222</v>
      </c>
      <c r="D38" s="137">
        <v>0</v>
      </c>
      <c r="Q38" s="446" t="str">
        <f>'Translate &amp; Prices'!$B$122</f>
        <v>Lacobel RAL 9010</v>
      </c>
      <c r="R38" s="446" t="str">
        <f>'Translate &amp; Prices'!$B$135</f>
        <v>Matelac RAL 3004</v>
      </c>
      <c r="U38" s="446" t="str">
        <f>'Translate &amp; Prices'!$B$140</f>
        <v>Matelac RAL 9010</v>
      </c>
      <c r="V38" s="446" t="str">
        <f>'Translate &amp; Prices'!$B$140</f>
        <v>Matelac RAL 9010</v>
      </c>
    </row>
    <row r="39" spans="1:82" x14ac:dyDescent="0.3">
      <c r="A39" s="446" t="str">
        <f>'Translate &amp; Prices'!B45</f>
        <v>Vivaro (elox.)</v>
      </c>
      <c r="B39" s="137">
        <v>2</v>
      </c>
      <c r="C39" s="137" t="s">
        <v>1222</v>
      </c>
      <c r="D39" s="137">
        <v>1</v>
      </c>
      <c r="Q39" s="446" t="str">
        <f>'Translate &amp; Prices'!$B$123</f>
        <v>Lacobel REF 0128</v>
      </c>
      <c r="R39" s="446" t="str">
        <f>'Translate &amp; Prices'!$B$136</f>
        <v>Matelac RAL 7021</v>
      </c>
      <c r="U39" s="446" t="str">
        <f>'Translate &amp; Prices'!$B$141</f>
        <v>Matelac REF 1435</v>
      </c>
      <c r="V39" s="446" t="str">
        <f>'Translate &amp; Prices'!$B$141</f>
        <v>Matelac REF 1435</v>
      </c>
      <c r="AA39" s="137" t="s">
        <v>1021</v>
      </c>
      <c r="AB39" s="137" t="s">
        <v>2145</v>
      </c>
    </row>
    <row r="40" spans="1:82" x14ac:dyDescent="0.3">
      <c r="A40" s="446" t="str">
        <f>'Translate &amp; Prices'!B46</f>
        <v>Vivaro černá mat</v>
      </c>
      <c r="B40" s="137">
        <v>2</v>
      </c>
      <c r="C40" s="137" t="s">
        <v>1222</v>
      </c>
      <c r="D40" s="137">
        <v>1</v>
      </c>
      <c r="Q40" s="446" t="str">
        <f>'Translate &amp; Prices'!$B$124</f>
        <v>Lacobel REF 0327</v>
      </c>
      <c r="R40" s="446" t="str">
        <f>'Translate &amp; Prices'!$B$137</f>
        <v>Matelac RAL 9003</v>
      </c>
      <c r="U40" s="446" t="str">
        <f>'Translate &amp; Prices'!$B$142</f>
        <v>Matelac REF 1586</v>
      </c>
      <c r="V40" s="446" t="str">
        <f>'Translate &amp; Prices'!$B$142</f>
        <v>Matelac REF 1586</v>
      </c>
      <c r="AA40" s="137" t="s">
        <v>1021</v>
      </c>
      <c r="AB40" s="137" t="s">
        <v>2638</v>
      </c>
      <c r="AC40" s="137">
        <v>1</v>
      </c>
      <c r="AD40" s="137">
        <v>0</v>
      </c>
    </row>
    <row r="41" spans="1:82" x14ac:dyDescent="0.3">
      <c r="A41" s="446" t="str">
        <f>'Translate &amp; Prices'!B48</f>
        <v>Vivaro tmavá nerez br. (inox lija)</v>
      </c>
      <c r="B41" s="137">
        <v>2</v>
      </c>
      <c r="C41" s="137" t="s">
        <v>1222</v>
      </c>
      <c r="D41" s="137">
        <v>0</v>
      </c>
      <c r="Q41" s="446" t="str">
        <f>'Translate &amp; Prices'!$B$125</f>
        <v>Lacobel REF 0337</v>
      </c>
      <c r="R41" s="446" t="str">
        <f>'Translate &amp; Prices'!$B$138</f>
        <v>Matelac RAL 9005</v>
      </c>
      <c r="U41" s="446" t="str">
        <f>'Translate &amp; Prices'!$B$143</f>
        <v>Matelac zrcadlo bronz</v>
      </c>
      <c r="V41" s="446" t="str">
        <f>'Translate &amp; Prices'!$B$143</f>
        <v>Matelac zrcadlo bronz</v>
      </c>
      <c r="AB41" s="137" t="s">
        <v>2639</v>
      </c>
      <c r="AC41" s="137">
        <v>1</v>
      </c>
      <c r="AD41" s="137">
        <v>0</v>
      </c>
    </row>
    <row r="42" spans="1:82" x14ac:dyDescent="0.3">
      <c r="A42" s="446" t="str">
        <f>'Translate &amp; Prices'!B49</f>
        <v>Vivaro bílá mat</v>
      </c>
      <c r="B42" s="137">
        <v>2</v>
      </c>
      <c r="C42" s="137" t="s">
        <v>1222</v>
      </c>
      <c r="D42" s="137">
        <v>0</v>
      </c>
      <c r="Q42" s="446" t="str">
        <f>'Translate &amp; Prices'!$B$126</f>
        <v>Lacobel REF 0627</v>
      </c>
      <c r="R42" s="446" t="str">
        <f>'Translate &amp; Prices'!$B$139</f>
        <v>Matelac RAL 9006</v>
      </c>
      <c r="U42" s="446" t="str">
        <f>'Translate &amp; Prices'!$B$145</f>
        <v>Matelac zrcadlo grafit</v>
      </c>
      <c r="V42" s="446" t="str">
        <f>'Translate &amp; Prices'!$B$145</f>
        <v>Matelac zrcadlo grafit</v>
      </c>
      <c r="AA42" s="137" t="s">
        <v>2117</v>
      </c>
      <c r="AB42" s="137" t="s">
        <v>2146</v>
      </c>
    </row>
    <row r="43" spans="1:82" x14ac:dyDescent="0.3">
      <c r="A43" s="446" t="str">
        <f>'Translate &amp; Prices'!B50</f>
        <v>Vivaro bílá lesk</v>
      </c>
      <c r="B43" s="137">
        <v>2</v>
      </c>
      <c r="C43" s="137" t="s">
        <v>1222</v>
      </c>
      <c r="D43" s="137">
        <v>0</v>
      </c>
      <c r="Q43" s="446" t="str">
        <f>'Translate &amp; Prices'!$B$127</f>
        <v>Lacobel REF 0667</v>
      </c>
      <c r="R43" s="446" t="str">
        <f>'Translate &amp; Prices'!$B$140</f>
        <v>Matelac RAL 9010</v>
      </c>
      <c r="U43" s="446" t="str">
        <f>'Translate &amp; Prices'!$B$146</f>
        <v>Matelac zrcadlo stříbr.</v>
      </c>
      <c r="V43" s="446" t="str">
        <f>'Translate &amp; Prices'!$B$146</f>
        <v>Matelac zrcadlo stříbr.</v>
      </c>
      <c r="AA43" s="137" t="s">
        <v>2117</v>
      </c>
      <c r="AB43" s="137" t="s">
        <v>2280</v>
      </c>
      <c r="AC43" s="137">
        <v>0</v>
      </c>
      <c r="AD43" s="137">
        <v>0</v>
      </c>
    </row>
    <row r="44" spans="1:82" x14ac:dyDescent="0.3">
      <c r="A44" s="404" t="str">
        <f>'Translate &amp; Prices'!$B$61</f>
        <v>Siena (Vlevo a vpravo) + Varna (Nahoře a dole)</v>
      </c>
      <c r="B44" s="137">
        <v>2</v>
      </c>
      <c r="C44" s="137" t="s">
        <v>1222</v>
      </c>
      <c r="D44" s="137">
        <v>0</v>
      </c>
      <c r="Q44" s="446" t="str">
        <f>'Translate &amp; Prices'!$B$128</f>
        <v>Lacobel REF 1164</v>
      </c>
      <c r="R44" s="446" t="str">
        <f>'Translate &amp; Prices'!$B$141</f>
        <v>Matelac REF 1435</v>
      </c>
      <c r="AA44" s="137" t="s">
        <v>2117</v>
      </c>
      <c r="AB44" s="137" t="s">
        <v>2119</v>
      </c>
      <c r="AC44" s="137">
        <v>1</v>
      </c>
      <c r="AD44" s="137">
        <v>0</v>
      </c>
    </row>
    <row r="45" spans="1:82" x14ac:dyDescent="0.3">
      <c r="A45" s="404" t="str">
        <f>'Translate &amp; Prices'!$B$63</f>
        <v>Siena černá (Vlevo a vpravo) + Varna černá (Nahoře a dole)</v>
      </c>
      <c r="B45" s="137">
        <v>2</v>
      </c>
      <c r="C45" s="137" t="s">
        <v>1222</v>
      </c>
      <c r="D45" s="137">
        <v>0</v>
      </c>
      <c r="Q45" s="446" t="str">
        <f>'Translate &amp; Prices'!$B$129</f>
        <v>Lacobel REF 1236</v>
      </c>
      <c r="R45" s="446" t="str">
        <f>'Translate &amp; Prices'!$B$142</f>
        <v>Matelac REF 1586</v>
      </c>
      <c r="AB45" s="137" t="s">
        <v>2281</v>
      </c>
      <c r="AC45" s="137">
        <v>0</v>
      </c>
      <c r="AD45" s="137">
        <v>0</v>
      </c>
    </row>
    <row r="46" spans="1:82" x14ac:dyDescent="0.3">
      <c r="A46" s="404" t="str">
        <f>'Translate &amp; Prices'!$B$65</f>
        <v>Palio (Vlevo a vpravo) + Varna (Nahoře a dole)</v>
      </c>
      <c r="B46" s="137">
        <v>2</v>
      </c>
      <c r="C46" s="137" t="s">
        <v>1222</v>
      </c>
      <c r="D46" s="137">
        <v>0</v>
      </c>
      <c r="Q46" s="446" t="str">
        <f>'Translate &amp; Prices'!$B$130</f>
        <v>Lacobel REF 1435</v>
      </c>
      <c r="R46" s="446" t="str">
        <f>'Translate &amp; Prices'!$B$143</f>
        <v>Matelac zrcadlo bronz</v>
      </c>
    </row>
    <row r="47" spans="1:82" x14ac:dyDescent="0.3">
      <c r="A47" s="137" t="str">
        <f>'Translate &amp; Prices'!$B$70</f>
        <v>Palio černá (Vlevo a vpravo) + Varna černá (Nahoře a dole)</v>
      </c>
      <c r="B47" s="137">
        <v>2</v>
      </c>
      <c r="C47" s="137" t="s">
        <v>1222</v>
      </c>
      <c r="D47" s="137">
        <v>0</v>
      </c>
      <c r="Q47" s="446" t="str">
        <f>'Translate &amp; Prices'!$B$131</f>
        <v>Lacobel REF 1586</v>
      </c>
      <c r="R47" s="446" t="str">
        <f>'Translate &amp; Prices'!$B$145</f>
        <v>Matelac zrcadlo grafit</v>
      </c>
    </row>
    <row r="48" spans="1:82" x14ac:dyDescent="0.3">
      <c r="A48" s="404" t="str">
        <f>'Translate &amp; Prices'!$B$67</f>
        <v>Rocca (Vlevo a vpravo) + Varna (Nahoře a dole)</v>
      </c>
      <c r="B48" s="137">
        <v>1</v>
      </c>
      <c r="C48" s="137" t="s">
        <v>1222</v>
      </c>
      <c r="D48" s="137">
        <v>0</v>
      </c>
      <c r="Q48" s="446" t="str">
        <f>'Translate &amp; Prices'!$B$132</f>
        <v>Lacobel REF 1603</v>
      </c>
      <c r="R48" s="446" t="str">
        <f>'Translate &amp; Prices'!$B$146</f>
        <v>Matelac zrcadlo stříbr.</v>
      </c>
    </row>
    <row r="49" spans="1:17" x14ac:dyDescent="0.3">
      <c r="A49" s="404" t="str">
        <f>'Translate &amp; Prices'!$B$69</f>
        <v>Rocca černá (Vlevo a vpravo) + Varna černá (Nahoře a dole)</v>
      </c>
      <c r="B49" s="137">
        <v>1</v>
      </c>
      <c r="C49" s="137" t="s">
        <v>1222</v>
      </c>
      <c r="D49" s="137">
        <v>0</v>
      </c>
      <c r="Q49" s="446" t="str">
        <f>'Translate &amp; Prices'!$B$133</f>
        <v>Lacobel REF 1604</v>
      </c>
    </row>
    <row r="50" spans="1:17" x14ac:dyDescent="0.3">
      <c r="A50" s="137" t="str">
        <f>'Translate &amp; Prices'!$B$13</f>
        <v>BRW zlatá</v>
      </c>
      <c r="B50" s="137">
        <v>1</v>
      </c>
      <c r="C50" s="137" t="s">
        <v>1222</v>
      </c>
      <c r="D50" s="137">
        <v>0</v>
      </c>
      <c r="Q50" s="446" t="str">
        <f>'Translate &amp; Prices'!$B$134</f>
        <v>Matelac RAL 2001</v>
      </c>
    </row>
    <row r="51" spans="1:17" x14ac:dyDescent="0.3">
      <c r="A51" s="137" t="str">
        <f>'Translate &amp; Prices'!$B$26</f>
        <v>Verona zlatá</v>
      </c>
      <c r="B51" s="137">
        <v>1</v>
      </c>
      <c r="C51" s="137" t="s">
        <v>1222</v>
      </c>
      <c r="D51" s="137">
        <v>0</v>
      </c>
      <c r="Q51" s="446" t="str">
        <f>'Translate &amp; Prices'!$B$135</f>
        <v>Matelac RAL 3004</v>
      </c>
    </row>
    <row r="52" spans="1:17" x14ac:dyDescent="0.3">
      <c r="A52" s="404" t="str">
        <f>'Translate &amp; Prices'!$B$33</f>
        <v>Vivaro zlatá</v>
      </c>
      <c r="B52" s="137">
        <v>2</v>
      </c>
      <c r="C52" s="137" t="s">
        <v>1222</v>
      </c>
      <c r="D52" s="137">
        <v>0</v>
      </c>
      <c r="Q52" s="446" t="str">
        <f>'Translate &amp; Prices'!$B$136</f>
        <v>Matelac RAL 7021</v>
      </c>
    </row>
    <row r="53" spans="1:17" x14ac:dyDescent="0.3">
      <c r="A53" s="137" t="str">
        <f>'Translate &amp; Prices'!$B$47</f>
        <v>Imola zlatá</v>
      </c>
      <c r="B53" s="137">
        <v>2</v>
      </c>
      <c r="C53" s="137" t="s">
        <v>2133</v>
      </c>
      <c r="D53" s="137">
        <v>0</v>
      </c>
      <c r="Q53" s="446" t="str">
        <f>'Translate &amp; Prices'!$B$137</f>
        <v>Matelac RAL 9003</v>
      </c>
    </row>
    <row r="54" spans="1:17" x14ac:dyDescent="0.3">
      <c r="A54" s="137" t="str">
        <f>'Translate &amp; Prices'!$B$57</f>
        <v>Pisa zlatá</v>
      </c>
      <c r="B54" s="137">
        <v>2</v>
      </c>
      <c r="C54" s="137" t="s">
        <v>2133</v>
      </c>
      <c r="D54" s="137">
        <v>0</v>
      </c>
      <c r="Q54" s="446" t="str">
        <f>'Translate &amp; Prices'!$B$138</f>
        <v>Matelac RAL 9005</v>
      </c>
    </row>
    <row r="55" spans="1:17" x14ac:dyDescent="0.3">
      <c r="Q55" s="446" t="str">
        <f>'Translate &amp; Prices'!$B$139</f>
        <v>Matelac RAL 9006</v>
      </c>
    </row>
    <row r="56" spans="1:17" x14ac:dyDescent="0.3">
      <c r="Q56" s="446" t="str">
        <f>'Translate &amp; Prices'!$B$140</f>
        <v>Matelac RAL 9010</v>
      </c>
    </row>
    <row r="57" spans="1:17" x14ac:dyDescent="0.3">
      <c r="Q57" s="446" t="str">
        <f>'Translate &amp; Prices'!$B$141</f>
        <v>Matelac REF 1435</v>
      </c>
    </row>
    <row r="58" spans="1:17" x14ac:dyDescent="0.3">
      <c r="Q58" s="446" t="str">
        <f>'Translate &amp; Prices'!$B$142</f>
        <v>Matelac REF 1586</v>
      </c>
    </row>
    <row r="59" spans="1:17" x14ac:dyDescent="0.3">
      <c r="Q59" s="446" t="str">
        <f>'Translate &amp; Prices'!$B$143</f>
        <v>Matelac zrcadlo bronz</v>
      </c>
    </row>
    <row r="60" spans="1:17" x14ac:dyDescent="0.3">
      <c r="Q60" s="446" t="str">
        <f>'Translate &amp; Prices'!$B$145</f>
        <v>Matelac zrcadlo grafit</v>
      </c>
    </row>
    <row r="61" spans="1:17" x14ac:dyDescent="0.3">
      <c r="Q61" s="446" t="str">
        <f>'Translate &amp; Prices'!$B$146</f>
        <v>Matelac zrcadlo stříbr.</v>
      </c>
    </row>
  </sheetData>
  <conditionalFormatting sqref="AC4:AC9 AC15:AC23 AC29:AC34 AC40:AC41 AC43:AC45">
    <cfRule type="cellIs" dxfId="416" priority="30" operator="equal">
      <formula>1</formula>
    </cfRule>
  </conditionalFormatting>
  <conditionalFormatting sqref="R5">
    <cfRule type="duplicateValues" dxfId="415" priority="25"/>
  </conditionalFormatting>
  <conditionalFormatting sqref="S20:S48">
    <cfRule type="duplicateValues" dxfId="414" priority="29"/>
  </conditionalFormatting>
  <conditionalFormatting sqref="R49:R55">
    <cfRule type="duplicateValues" dxfId="413" priority="27"/>
  </conditionalFormatting>
  <conditionalFormatting sqref="R56:R57">
    <cfRule type="duplicateValues" dxfId="412" priority="28"/>
  </conditionalFormatting>
  <conditionalFormatting sqref="Q2 Q63:Q1048576 Q4:Q61">
    <cfRule type="duplicateValues" dxfId="411" priority="31"/>
  </conditionalFormatting>
  <conditionalFormatting sqref="R2 R63:R1048576 R49:R61">
    <cfRule type="duplicateValues" dxfId="410" priority="32"/>
  </conditionalFormatting>
  <conditionalFormatting sqref="P63:P1048576 P2:P61">
    <cfRule type="duplicateValues" dxfId="409" priority="33"/>
  </conditionalFormatting>
  <conditionalFormatting sqref="R63 R58:R61">
    <cfRule type="duplicateValues" dxfId="408" priority="34"/>
  </conditionalFormatting>
  <conditionalFormatting sqref="R4">
    <cfRule type="duplicateValues" dxfId="407" priority="26"/>
  </conditionalFormatting>
  <conditionalFormatting sqref="R6:R8">
    <cfRule type="duplicateValues" dxfId="406" priority="24"/>
  </conditionalFormatting>
  <conditionalFormatting sqref="R9:R10">
    <cfRule type="duplicateValues" dxfId="405" priority="23"/>
  </conditionalFormatting>
  <conditionalFormatting sqref="R11">
    <cfRule type="duplicateValues" dxfId="404" priority="22"/>
  </conditionalFormatting>
  <conditionalFormatting sqref="R12:R36">
    <cfRule type="duplicateValues" dxfId="403" priority="21"/>
  </conditionalFormatting>
  <conditionalFormatting sqref="R37:R45">
    <cfRule type="duplicateValues" dxfId="402" priority="20"/>
  </conditionalFormatting>
  <conditionalFormatting sqref="R46:R48">
    <cfRule type="duplicateValues" dxfId="401" priority="19"/>
  </conditionalFormatting>
  <conditionalFormatting sqref="S4">
    <cfRule type="duplicateValues" dxfId="400" priority="18"/>
  </conditionalFormatting>
  <conditionalFormatting sqref="S5:S10">
    <cfRule type="duplicateValues" dxfId="399" priority="17"/>
  </conditionalFormatting>
  <conditionalFormatting sqref="S11:S12">
    <cfRule type="duplicateValues" dxfId="398" priority="16"/>
  </conditionalFormatting>
  <conditionalFormatting sqref="S13:S19">
    <cfRule type="duplicateValues" dxfId="397" priority="15"/>
  </conditionalFormatting>
  <conditionalFormatting sqref="T4">
    <cfRule type="duplicateValues" dxfId="396" priority="14"/>
  </conditionalFormatting>
  <conditionalFormatting sqref="T5:T6">
    <cfRule type="duplicateValues" dxfId="395" priority="13"/>
  </conditionalFormatting>
  <conditionalFormatting sqref="T7">
    <cfRule type="duplicateValues" dxfId="394" priority="12"/>
  </conditionalFormatting>
  <conditionalFormatting sqref="U4:U6">
    <cfRule type="duplicateValues" dxfId="393" priority="11"/>
  </conditionalFormatting>
  <conditionalFormatting sqref="U7:U31">
    <cfRule type="duplicateValues" dxfId="392" priority="10"/>
  </conditionalFormatting>
  <conditionalFormatting sqref="U32:U40">
    <cfRule type="duplicateValues" dxfId="391" priority="9"/>
  </conditionalFormatting>
  <conditionalFormatting sqref="U41:U43">
    <cfRule type="duplicateValues" dxfId="390" priority="8"/>
  </conditionalFormatting>
  <conditionalFormatting sqref="V4:V6">
    <cfRule type="duplicateValues" dxfId="389" priority="7"/>
  </conditionalFormatting>
  <conditionalFormatting sqref="V7:V31">
    <cfRule type="duplicateValues" dxfId="388" priority="6"/>
  </conditionalFormatting>
  <conditionalFormatting sqref="V32:V40">
    <cfRule type="duplicateValues" dxfId="387" priority="5"/>
  </conditionalFormatting>
  <conditionalFormatting sqref="V41:V43">
    <cfRule type="duplicateValues" dxfId="386" priority="4"/>
  </conditionalFormatting>
  <conditionalFormatting sqref="A55:A56 A58:A59">
    <cfRule type="duplicateValues" dxfId="385" priority="3"/>
  </conditionalFormatting>
  <conditionalFormatting sqref="A54 A52 A44:A49">
    <cfRule type="duplicateValues" dxfId="384" priority="2"/>
  </conditionalFormatting>
  <conditionalFormatting sqref="A3:A54">
    <cfRule type="duplicateValues" dxfId="383" priority="1"/>
  </conditionalFormatting>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55BD9-08C6-45C1-825F-75233ECD3F32}">
  <sheetPr codeName="List17">
    <tabColor rgb="FF00B0F0"/>
    <pageSetUpPr fitToPage="1"/>
  </sheetPr>
  <dimension ref="A1:BM138"/>
  <sheetViews>
    <sheetView showGridLines="0" showRowColHeaders="0" zoomScale="80" zoomScaleNormal="80" workbookViewId="0">
      <selection activeCell="AT17" sqref="AT1:XFD1048576"/>
    </sheetView>
  </sheetViews>
  <sheetFormatPr defaultColWidth="0" defaultRowHeight="14.4" customHeight="1" zeroHeight="1" x14ac:dyDescent="0.3"/>
  <cols>
    <col min="1" max="1" width="3.33203125" style="1244" customWidth="1"/>
    <col min="2" max="2" width="5.33203125" style="1245" customWidth="1"/>
    <col min="3" max="3" width="5.33203125" style="1252" customWidth="1"/>
    <col min="4" max="7" width="5.5546875" style="1250" customWidth="1"/>
    <col min="8" max="13" width="5.33203125" style="1250" customWidth="1"/>
    <col min="14" max="17" width="4.44140625" style="1250" customWidth="1"/>
    <col min="18" max="18" width="5.33203125" style="1250" customWidth="1"/>
    <col min="19" max="19" width="4.21875" style="1250" customWidth="1"/>
    <col min="20" max="21" width="5.33203125" style="1250" customWidth="1"/>
    <col min="22" max="22" width="3.33203125" style="1250" customWidth="1"/>
    <col min="23" max="25" width="5.33203125" style="1250" customWidth="1"/>
    <col min="26" max="26" width="5.33203125" style="1252" customWidth="1"/>
    <col min="27" max="27" width="3.88671875" style="1252" customWidth="1"/>
    <col min="28" max="28" width="5.33203125" style="1252" customWidth="1"/>
    <col min="29" max="29" width="3.5546875" style="1252" customWidth="1"/>
    <col min="30" max="30" width="5.33203125" style="1256" customWidth="1"/>
    <col min="31" max="31" width="5.33203125" style="1245" customWidth="1"/>
    <col min="32" max="33" width="5.33203125" style="1252" customWidth="1"/>
    <col min="34" max="34" width="4.21875" style="1252" customWidth="1"/>
    <col min="35" max="36" width="5.33203125" style="1252" customWidth="1"/>
    <col min="37" max="37" width="3.33203125" style="1252" customWidth="1"/>
    <col min="38" max="38" width="5.33203125" style="1252" customWidth="1"/>
    <col min="39" max="39" width="3.5546875" style="1252" customWidth="1"/>
    <col min="40" max="40" width="5.33203125" style="1252" customWidth="1"/>
    <col min="41" max="41" width="2.88671875" style="1252" customWidth="1"/>
    <col min="42" max="42" width="3.88671875" style="1252" customWidth="1"/>
    <col min="43" max="43" width="5.44140625" style="1252" customWidth="1"/>
    <col min="44" max="44" width="4.44140625" style="1252" customWidth="1"/>
    <col min="45" max="45" width="8.88671875" style="1252" customWidth="1"/>
    <col min="46" max="46" width="8.88671875" style="1252" hidden="1"/>
    <col min="47" max="48" width="8.88671875" style="1226" hidden="1"/>
    <col min="49" max="55" width="8.88671875" style="1250" hidden="1"/>
    <col min="56" max="16384" width="8.88671875" style="1251" hidden="1"/>
  </cols>
  <sheetData>
    <row r="1" spans="1:65" s="1228" customFormat="1" ht="8.4" customHeight="1" x14ac:dyDescent="0.3">
      <c r="A1" s="557"/>
      <c r="B1" s="557"/>
      <c r="C1" s="506"/>
      <c r="D1" s="506"/>
      <c r="E1" s="506"/>
      <c r="F1" s="506"/>
      <c r="G1" s="506"/>
      <c r="H1" s="506"/>
      <c r="I1" s="506"/>
      <c r="J1" s="506"/>
      <c r="K1" s="506"/>
      <c r="L1" s="506"/>
      <c r="M1" s="506"/>
      <c r="N1" s="506"/>
      <c r="O1" s="506"/>
      <c r="P1" s="506"/>
      <c r="Q1" s="506"/>
      <c r="R1" s="506"/>
      <c r="S1" s="506"/>
      <c r="T1" s="506"/>
      <c r="U1" s="506"/>
      <c r="V1" s="507"/>
      <c r="W1" s="507"/>
      <c r="X1" s="507"/>
      <c r="Y1" s="507"/>
      <c r="Z1" s="400"/>
      <c r="AA1" s="400"/>
      <c r="AB1" s="400"/>
      <c r="AC1" s="400"/>
      <c r="AD1" s="508"/>
      <c r="AE1" s="509"/>
      <c r="AF1" s="400"/>
      <c r="AG1" s="400"/>
      <c r="AH1" s="400"/>
      <c r="AI1" s="400"/>
      <c r="AJ1" s="400"/>
      <c r="AK1" s="400"/>
      <c r="AL1" s="400"/>
      <c r="AM1" s="400"/>
      <c r="AN1" s="400"/>
      <c r="AO1" s="400"/>
      <c r="AP1" s="400"/>
      <c r="AQ1" s="400"/>
      <c r="AR1" s="400"/>
      <c r="AS1" s="400"/>
      <c r="AT1" s="1225"/>
      <c r="AU1" s="1226"/>
      <c r="AV1" s="1226"/>
      <c r="AW1" s="1227"/>
      <c r="AX1" s="1227"/>
      <c r="AY1" s="1227"/>
      <c r="AZ1" s="1227"/>
      <c r="BA1" s="1227"/>
      <c r="BB1" s="1227"/>
      <c r="BC1" s="1227"/>
    </row>
    <row r="2" spans="1:65" s="1228" customFormat="1" ht="11.4" customHeight="1" x14ac:dyDescent="0.3">
      <c r="A2" s="860" t="str">
        <f>'Translate &amp; Prices'!$B$149&amp;" "&amp;" "&amp;5</f>
        <v>Rámeček  5</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560"/>
      <c r="AL2" s="560"/>
      <c r="AM2" s="560"/>
      <c r="AN2" s="560"/>
      <c r="AO2" s="511"/>
      <c r="AP2" s="745" t="str">
        <f>'Translate &amp; Prices'!$B$520</f>
        <v>Úvod</v>
      </c>
      <c r="AQ2" s="746"/>
      <c r="AR2" s="746"/>
      <c r="AS2" s="746"/>
      <c r="AT2" s="1225"/>
      <c r="AU2" s="1226"/>
      <c r="AV2" s="1226"/>
      <c r="AW2" s="1227"/>
      <c r="AX2" s="1229" t="e">
        <f>VLOOKUP(VLOOKUP(H8,'Translate &amp; Prices'!B60:D69,3,0),'Translate &amp; Prices'!B6:D57,2,0)</f>
        <v>#N/A</v>
      </c>
      <c r="AY2" s="1230" t="e">
        <f>((AR14/1000)*2)*AT8</f>
        <v>#N/A</v>
      </c>
      <c r="AZ2" s="1231" t="e">
        <f>((AI30/1000)*2)*AX2</f>
        <v>#N/A</v>
      </c>
      <c r="BA2" s="1231" t="e">
        <f>AY2+AZ2</f>
        <v>#N/A</v>
      </c>
      <c r="BB2" s="1229"/>
      <c r="BC2" s="1229"/>
      <c r="BD2" s="1232"/>
      <c r="BE2" s="1232"/>
      <c r="BF2" s="1232"/>
      <c r="BG2" s="1232"/>
      <c r="BH2" s="1233"/>
      <c r="BI2" s="1233"/>
      <c r="BJ2" s="1233"/>
      <c r="BK2" s="1233"/>
      <c r="BL2" s="1233"/>
      <c r="BM2" s="1233"/>
    </row>
    <row r="3" spans="1:65" s="1228" customFormat="1" ht="11.4" customHeight="1" x14ac:dyDescent="0.3">
      <c r="A3" s="860"/>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560"/>
      <c r="AL3" s="560"/>
      <c r="AM3" s="560"/>
      <c r="AN3" s="560"/>
      <c r="AO3" s="511"/>
      <c r="AP3" s="745"/>
      <c r="AQ3" s="746"/>
      <c r="AR3" s="746"/>
      <c r="AS3" s="746"/>
      <c r="AT3" s="1225"/>
      <c r="AU3" s="1226"/>
      <c r="AV3" s="1226"/>
      <c r="AW3" s="1227"/>
      <c r="AX3" s="1229" t="e">
        <f>VLOOKUP(VLOOKUP(H8,'Translate &amp; Prices'!B60:D69,3,0),'Translate &amp; Prices'!B:D,3,0)</f>
        <v>#N/A</v>
      </c>
      <c r="AY3" s="1234" t="e">
        <f>AT9+AX3</f>
        <v>#N/A</v>
      </c>
      <c r="AZ3" s="1231"/>
      <c r="BA3" s="1230"/>
      <c r="BB3" s="1229"/>
      <c r="BC3" s="1229"/>
      <c r="BD3" s="1235">
        <f>(AI30/1000)*H11</f>
        <v>0</v>
      </c>
      <c r="BE3" s="1235"/>
      <c r="BF3" s="1235"/>
      <c r="BG3" s="1235"/>
      <c r="BH3" s="1235"/>
      <c r="BI3" s="1235">
        <f>(AR14/1000)*M11</f>
        <v>0</v>
      </c>
      <c r="BJ3" s="1235"/>
      <c r="BK3" s="1235"/>
      <c r="BL3" s="1235"/>
      <c r="BM3" s="1235"/>
    </row>
    <row r="4" spans="1:65" s="1239" customFormat="1" ht="6.6" customHeight="1" x14ac:dyDescent="0.3">
      <c r="A4" s="552"/>
      <c r="B4" s="552"/>
      <c r="C4" s="553"/>
      <c r="D4" s="553"/>
      <c r="E4" s="553"/>
      <c r="F4" s="553"/>
      <c r="G4" s="553"/>
      <c r="H4" s="553"/>
      <c r="I4" s="553"/>
      <c r="J4" s="554"/>
      <c r="K4" s="554"/>
      <c r="L4" s="554"/>
      <c r="M4" s="554"/>
      <c r="N4" s="554"/>
      <c r="O4" s="554"/>
      <c r="P4" s="555"/>
      <c r="Q4" s="555"/>
      <c r="R4" s="555"/>
      <c r="S4" s="555"/>
      <c r="T4" s="555"/>
      <c r="U4" s="555"/>
      <c r="V4" s="555"/>
      <c r="W4" s="555"/>
      <c r="X4" s="555"/>
      <c r="Y4" s="555"/>
      <c r="Z4" s="555"/>
      <c r="AA4" s="555"/>
      <c r="AB4" s="555"/>
      <c r="AC4" s="555"/>
      <c r="AD4" s="508"/>
      <c r="AE4" s="509"/>
      <c r="AF4" s="529"/>
      <c r="AG4" s="529"/>
      <c r="AH4" s="529"/>
      <c r="AI4" s="529"/>
      <c r="AJ4" s="529"/>
      <c r="AK4" s="529"/>
      <c r="AL4" s="529"/>
      <c r="AM4" s="529"/>
      <c r="AN4" s="529"/>
      <c r="AO4" s="529"/>
      <c r="AP4" s="529"/>
      <c r="AQ4" s="529"/>
      <c r="AR4" s="529"/>
      <c r="AS4" s="558"/>
      <c r="AT4" s="1236"/>
      <c r="AU4" s="1237"/>
      <c r="AV4" s="1237"/>
      <c r="AW4" s="1238"/>
      <c r="AX4" s="1238"/>
      <c r="AY4" s="1238"/>
      <c r="AZ4" s="1238"/>
      <c r="BA4" s="1238"/>
      <c r="BB4" s="1238"/>
      <c r="BC4" s="1238"/>
    </row>
    <row r="5" spans="1:65" s="1228" customFormat="1" ht="14.4" customHeight="1" thickBot="1" x14ac:dyDescent="0.35">
      <c r="A5" s="510"/>
      <c r="B5" s="845" t="str">
        <f>'Translate &amp; Prices'!$B$149&amp;" "&amp;" "&amp;1</f>
        <v>Rámeček  1</v>
      </c>
      <c r="C5" s="845"/>
      <c r="D5" s="845"/>
      <c r="E5" s="561"/>
      <c r="F5" s="845" t="str">
        <f>'Translate &amp; Prices'!$B$149&amp;" "&amp;" "&amp;2</f>
        <v>Rámeček  2</v>
      </c>
      <c r="G5" s="845"/>
      <c r="H5" s="845"/>
      <c r="I5" s="512"/>
      <c r="J5" s="845" t="str">
        <f>'Translate &amp; Prices'!$B$149&amp;" "&amp;" "&amp;3</f>
        <v>Rámeček  3</v>
      </c>
      <c r="K5" s="845"/>
      <c r="L5" s="845"/>
      <c r="M5" s="512"/>
      <c r="N5" s="845" t="str">
        <f>'Translate &amp; Prices'!$B$149&amp;" "&amp;" "&amp;4</f>
        <v>Rámeček  4</v>
      </c>
      <c r="O5" s="845"/>
      <c r="P5" s="845"/>
      <c r="Q5" s="512"/>
      <c r="R5" s="845" t="str">
        <f>'Translate &amp; Prices'!$B$149&amp;" "&amp;" "&amp;5</f>
        <v>Rámeček  5</v>
      </c>
      <c r="S5" s="845"/>
      <c r="T5" s="845"/>
      <c r="U5" s="512"/>
      <c r="V5" s="845" t="str">
        <f>'Translate &amp; Prices'!$B$149&amp;" "&amp;" "&amp;6</f>
        <v>Rámeček  6</v>
      </c>
      <c r="W5" s="845"/>
      <c r="X5" s="845"/>
      <c r="Y5" s="510"/>
      <c r="Z5" s="510"/>
      <c r="AA5" s="400"/>
      <c r="AB5" s="400"/>
      <c r="AC5" s="400"/>
      <c r="AD5" s="508"/>
      <c r="AE5" s="509"/>
      <c r="AF5" s="400"/>
      <c r="AG5" s="400"/>
      <c r="AH5" s="400"/>
      <c r="AI5" s="400"/>
      <c r="AJ5" s="400"/>
      <c r="AK5" s="400"/>
      <c r="AL5" s="400"/>
      <c r="AM5" s="400"/>
      <c r="AN5" s="400"/>
      <c r="AO5" s="400"/>
      <c r="AP5" s="400"/>
      <c r="AQ5" s="400"/>
      <c r="AR5" s="400"/>
      <c r="AS5" s="557"/>
      <c r="AT5" s="1229"/>
      <c r="AU5" s="1226"/>
      <c r="AV5" s="1226"/>
      <c r="AW5" s="1227"/>
      <c r="AX5" s="1227"/>
      <c r="AY5" s="1227"/>
      <c r="AZ5" s="1227"/>
      <c r="BA5" s="1227"/>
      <c r="BB5" s="1227"/>
      <c r="BC5" s="1227"/>
    </row>
    <row r="6" spans="1:65" s="1228" customFormat="1" ht="16.8" customHeight="1" thickTop="1" thickBot="1" x14ac:dyDescent="0.35">
      <c r="A6" s="510"/>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3"/>
      <c r="AB6" s="514"/>
      <c r="AC6" s="515"/>
      <c r="AD6" s="515"/>
      <c r="AE6" s="514"/>
      <c r="AF6" s="514"/>
      <c r="AG6" s="514"/>
      <c r="AH6" s="514"/>
      <c r="AI6" s="516"/>
      <c r="AJ6" s="517"/>
      <c r="AK6" s="514"/>
      <c r="AL6" s="514"/>
      <c r="AM6" s="515"/>
      <c r="AN6" s="515"/>
      <c r="AO6" s="514"/>
      <c r="AP6" s="518"/>
      <c r="AQ6" s="400"/>
      <c r="AR6" s="400"/>
      <c r="AS6" s="400"/>
      <c r="AT6" s="1240"/>
      <c r="AU6" s="1226"/>
      <c r="AV6" s="1226"/>
      <c r="AW6" s="1227"/>
      <c r="AX6" s="1227"/>
      <c r="AY6" s="1227"/>
      <c r="AZ6" s="1227"/>
      <c r="BA6" s="1227"/>
      <c r="BB6" s="1227"/>
      <c r="BC6" s="1227"/>
    </row>
    <row r="7" spans="1:65" s="1228" customFormat="1" ht="14.4" customHeight="1" thickBot="1" x14ac:dyDescent="0.35">
      <c r="A7" s="510"/>
      <c r="B7" s="849" t="str">
        <f>'Translate &amp; Prices'!$B$522</f>
        <v>Kombinace 2 profilů</v>
      </c>
      <c r="C7" s="850"/>
      <c r="D7" s="850"/>
      <c r="E7" s="850"/>
      <c r="F7" s="850"/>
      <c r="G7" s="855">
        <f>IF(H8='Translate &amp; Prices'!B18,'Translate &amp; Prices'!B567,IF(H8='Translate &amp; Prices'!B19,'Translate &amp; Prices'!B567,IF(H8='Translate &amp; Prices'!B20,'Translate &amp; Prices'!B567,0)))</f>
        <v>0</v>
      </c>
      <c r="H7" s="855"/>
      <c r="I7" s="855"/>
      <c r="J7" s="855"/>
      <c r="K7" s="855"/>
      <c r="L7" s="855"/>
      <c r="M7" s="855"/>
      <c r="N7" s="855"/>
      <c r="O7" s="855"/>
      <c r="P7" s="855"/>
      <c r="Q7" s="855"/>
      <c r="R7" s="856"/>
      <c r="S7" s="798" t="str">
        <f>'Translate &amp; Prices'!$B$552</f>
        <v>Upozornění</v>
      </c>
      <c r="T7" s="798"/>
      <c r="U7" s="798"/>
      <c r="V7" s="400"/>
      <c r="W7" s="510"/>
      <c r="X7" s="400"/>
      <c r="Y7" s="400"/>
      <c r="Z7" s="400"/>
      <c r="AA7" s="519"/>
      <c r="AB7" s="520"/>
      <c r="AC7" s="521"/>
      <c r="AD7" s="521"/>
      <c r="AE7" s="521"/>
      <c r="AF7" s="521"/>
      <c r="AG7" s="522"/>
      <c r="AH7" s="522"/>
      <c r="AI7" s="523"/>
      <c r="AJ7" s="800">
        <v>0</v>
      </c>
      <c r="AK7" s="521"/>
      <c r="AL7" s="521"/>
      <c r="AM7" s="521"/>
      <c r="AN7" s="521"/>
      <c r="AO7" s="524"/>
      <c r="AP7" s="525"/>
      <c r="AQ7" s="858">
        <f>IFERROR(IF($AU$17&gt;2,'Translate &amp; Prices'!$B$557,0),0)</f>
        <v>0</v>
      </c>
      <c r="AR7" s="400"/>
      <c r="AS7" s="400"/>
      <c r="AT7" s="1229"/>
      <c r="AU7" s="1241" t="e">
        <f>VLOOKUP(H8,kombinace_5!$A:$B,2,0)</f>
        <v>#N/A</v>
      </c>
      <c r="AV7" s="1230" t="e">
        <f>IF(AU7=2,"Široký","Úzký")</f>
        <v>#N/A</v>
      </c>
      <c r="AW7" s="1227"/>
      <c r="AX7" s="1227"/>
      <c r="AY7" s="1227"/>
      <c r="AZ7" s="1227"/>
      <c r="BA7" s="1227"/>
      <c r="BB7" s="1227"/>
      <c r="BC7" s="1227"/>
    </row>
    <row r="8" spans="1:65" s="1228" customFormat="1" ht="30" customHeight="1" x14ac:dyDescent="0.3">
      <c r="A8" s="559"/>
      <c r="B8" s="823" t="str">
        <f>'Translate &amp; Prices'!$B$152</f>
        <v>Typ profilu</v>
      </c>
      <c r="C8" s="824"/>
      <c r="D8" s="824"/>
      <c r="E8" s="824"/>
      <c r="F8" s="824"/>
      <c r="G8" s="550"/>
      <c r="H8" s="852"/>
      <c r="I8" s="852"/>
      <c r="J8" s="852"/>
      <c r="K8" s="852"/>
      <c r="L8" s="852"/>
      <c r="M8" s="852"/>
      <c r="N8" s="852"/>
      <c r="O8" s="852"/>
      <c r="P8" s="852"/>
      <c r="Q8" s="853"/>
      <c r="R8" s="598"/>
      <c r="S8" s="868">
        <f>IF(AU10&gt;0,'Translate &amp; Prices'!B283,IF(H8=kombinace_1!A51,'Translate &amp; Prices'!B558,IF(H8=kombinace_1!A53,'Translate &amp; Prices'!B559,IF(H8=kombinace_1!A55,'Translate &amp; Prices'!B560,0))))</f>
        <v>0</v>
      </c>
      <c r="T8" s="869"/>
      <c r="U8" s="869"/>
      <c r="V8" s="869"/>
      <c r="W8" s="869"/>
      <c r="X8" s="869"/>
      <c r="Y8" s="870"/>
      <c r="Z8" s="400"/>
      <c r="AA8" s="527"/>
      <c r="AB8" s="507"/>
      <c r="AC8" s="806" t="str">
        <f>'Translate &amp; Prices'!$B$222</f>
        <v>Vzdálenost od kraje</v>
      </c>
      <c r="AD8" s="806"/>
      <c r="AE8" s="806"/>
      <c r="AF8" s="806"/>
      <c r="AG8" s="806"/>
      <c r="AH8" s="400"/>
      <c r="AI8" s="508"/>
      <c r="AJ8" s="800"/>
      <c r="AK8" s="400"/>
      <c r="AL8" s="400"/>
      <c r="AM8" s="400"/>
      <c r="AN8" s="400"/>
      <c r="AO8" s="400"/>
      <c r="AP8" s="527"/>
      <c r="AQ8" s="858"/>
      <c r="AR8" s="400"/>
      <c r="AS8" s="400"/>
      <c r="AT8" s="1232" t="e">
        <f>VLOOKUP(VLOOKUP(H8,'Translate &amp; Prices'!B60:C69,2,0),'Translate &amp; Prices'!B6:C570,2,0)</f>
        <v>#N/A</v>
      </c>
      <c r="AU8" s="1230"/>
      <c r="AV8" s="1230"/>
      <c r="AW8" s="1227"/>
    </row>
    <row r="9" spans="1:65" s="1228" customFormat="1" ht="15.6" customHeight="1" x14ac:dyDescent="0.3">
      <c r="A9" s="559"/>
      <c r="B9" s="823">
        <f>IFERROR(IF(VLOOKUP(H8,kombinace_5!$A:$D,4,0)=1,'Translate &amp; Prices'!$B$523,0),0)</f>
        <v>0</v>
      </c>
      <c r="C9" s="824"/>
      <c r="D9" s="824"/>
      <c r="E9" s="824"/>
      <c r="F9" s="824"/>
      <c r="G9" s="550"/>
      <c r="H9" s="756"/>
      <c r="I9" s="756"/>
      <c r="J9" s="756"/>
      <c r="K9" s="756"/>
      <c r="L9" s="756"/>
      <c r="M9" s="756"/>
      <c r="N9" s="756"/>
      <c r="O9" s="756"/>
      <c r="P9" s="756"/>
      <c r="Q9" s="825"/>
      <c r="R9" s="510"/>
      <c r="S9" s="846"/>
      <c r="T9" s="847"/>
      <c r="U9" s="847"/>
      <c r="V9" s="847"/>
      <c r="W9" s="847"/>
      <c r="X9" s="847"/>
      <c r="Y9" s="848"/>
      <c r="Z9" s="510"/>
      <c r="AA9" s="528"/>
      <c r="AB9" s="507"/>
      <c r="AC9" s="821">
        <v>0</v>
      </c>
      <c r="AD9" s="821"/>
      <c r="AE9" s="526"/>
      <c r="AF9" s="830" t="str">
        <f>('Translate &amp; Prices'!$B$528)&amp;" "&amp;H26&amp;" "&amp;"mm"</f>
        <v>Rozteč  mm</v>
      </c>
      <c r="AG9" s="830"/>
      <c r="AH9" s="830"/>
      <c r="AI9" s="830"/>
      <c r="AJ9" s="830"/>
      <c r="AK9" s="830"/>
      <c r="AL9" s="400"/>
      <c r="AM9" s="400"/>
      <c r="AN9" s="400"/>
      <c r="AO9" s="400"/>
      <c r="AP9" s="528"/>
      <c r="AQ9" s="858"/>
      <c r="AR9" s="400"/>
      <c r="AS9" s="400"/>
      <c r="AT9" s="1229">
        <f>VLOOKUP(VLOOKUP(H8,'Translate &amp; Prices'!B60:C651,2,0),'Translate &amp; Prices'!B3:D567,3,0)</f>
        <v>0</v>
      </c>
      <c r="AU9" s="1241" t="e">
        <f>VLOOKUP(H12,kombinace_5!$DP:$DQ,2,0)</f>
        <v>#N/A</v>
      </c>
      <c r="AV9" s="1230"/>
      <c r="AW9" s="1227"/>
    </row>
    <row r="10" spans="1:65" s="1228" customFormat="1" ht="18" customHeight="1" x14ac:dyDescent="0.3">
      <c r="A10" s="559"/>
      <c r="B10" s="562"/>
      <c r="C10" s="551"/>
      <c r="D10" s="551"/>
      <c r="E10" s="551"/>
      <c r="F10" s="551"/>
      <c r="G10" s="551"/>
      <c r="H10" s="871" t="str">
        <f>'Translate &amp; Prices'!$B$538</f>
        <v>Horizontálně</v>
      </c>
      <c r="I10" s="871"/>
      <c r="J10" s="871"/>
      <c r="K10" s="871"/>
      <c r="L10" s="873"/>
      <c r="M10" s="871" t="str">
        <f>'Translate &amp; Prices'!$B$539</f>
        <v>Vertikálně</v>
      </c>
      <c r="N10" s="871"/>
      <c r="O10" s="871"/>
      <c r="P10" s="871"/>
      <c r="Q10" s="872"/>
      <c r="R10" s="559"/>
      <c r="S10" s="846">
        <f>IF(AU10&gt;0,'Translate &amp; Prices'!B551,0)</f>
        <v>0</v>
      </c>
      <c r="T10" s="847"/>
      <c r="U10" s="847"/>
      <c r="V10" s="847"/>
      <c r="W10" s="847"/>
      <c r="X10" s="847"/>
      <c r="Y10" s="848"/>
      <c r="Z10" s="510"/>
      <c r="AA10" s="528"/>
      <c r="AB10" s="507"/>
      <c r="AC10" s="507"/>
      <c r="AD10" s="802">
        <v>0</v>
      </c>
      <c r="AE10" s="804" t="str">
        <f>'Translate &amp; Prices'!$B$222</f>
        <v>Vzdálenost od kraje</v>
      </c>
      <c r="AF10" s="400"/>
      <c r="AG10" s="400"/>
      <c r="AH10" s="400"/>
      <c r="AI10" s="508"/>
      <c r="AJ10" s="509"/>
      <c r="AK10" s="400"/>
      <c r="AL10" s="400"/>
      <c r="AM10" s="400"/>
      <c r="AN10" s="400"/>
      <c r="AO10" s="400"/>
      <c r="AP10" s="528"/>
      <c r="AQ10" s="858"/>
      <c r="AR10" s="400"/>
      <c r="AS10" s="400"/>
      <c r="AT10" s="1232" t="s">
        <v>2429</v>
      </c>
      <c r="AU10" s="1230">
        <f>IFERROR(VLOOKUP(H9,kombinace_5!$BY$13:$BZ$16,2,0),0)</f>
        <v>0</v>
      </c>
      <c r="AV10" s="1230"/>
      <c r="AW10" s="1227"/>
    </row>
    <row r="11" spans="1:65" s="1228" customFormat="1" ht="18" customHeight="1" x14ac:dyDescent="0.3">
      <c r="A11" s="559"/>
      <c r="B11" s="823" t="str">
        <f>('Translate &amp; Prices'!$B$523)&amp;" "&amp;"("&amp;'Translate &amp; Prices'!$B$154&amp;")"</f>
        <v>Dělící lišty (Počet kusů)</v>
      </c>
      <c r="C11" s="824"/>
      <c r="D11" s="824"/>
      <c r="E11" s="824"/>
      <c r="F11" s="824"/>
      <c r="G11" s="550"/>
      <c r="H11" s="756"/>
      <c r="I11" s="756"/>
      <c r="J11" s="756"/>
      <c r="K11" s="756"/>
      <c r="L11" s="863"/>
      <c r="M11" s="756"/>
      <c r="N11" s="756"/>
      <c r="O11" s="756"/>
      <c r="P11" s="756"/>
      <c r="Q11" s="825"/>
      <c r="R11" s="559"/>
      <c r="S11" s="846"/>
      <c r="T11" s="847"/>
      <c r="U11" s="847"/>
      <c r="V11" s="847"/>
      <c r="W11" s="847"/>
      <c r="X11" s="847"/>
      <c r="Y11" s="848"/>
      <c r="Z11" s="510"/>
      <c r="AA11" s="530"/>
      <c r="AB11" s="531"/>
      <c r="AC11" s="400"/>
      <c r="AD11" s="802"/>
      <c r="AE11" s="804"/>
      <c r="AF11" s="400"/>
      <c r="AG11" s="400"/>
      <c r="AH11" s="400"/>
      <c r="AI11" s="508"/>
      <c r="AJ11" s="509"/>
      <c r="AK11" s="400"/>
      <c r="AL11" s="400"/>
      <c r="AM11" s="400"/>
      <c r="AN11" s="400"/>
      <c r="AO11" s="532"/>
      <c r="AP11" s="525"/>
      <c r="AQ11" s="858"/>
      <c r="AR11" s="400"/>
      <c r="AS11" s="400"/>
      <c r="AT11" s="1242">
        <f>IFERROR(IF(kombinace_5!$H$1=TRUE,BA2+AY3,0),0)</f>
        <v>0</v>
      </c>
      <c r="AU11" s="1241"/>
      <c r="AV11" s="1230"/>
      <c r="AW11" s="1227"/>
    </row>
    <row r="12" spans="1:65" s="1228" customFormat="1" ht="18" customHeight="1" x14ac:dyDescent="0.3">
      <c r="A12" s="559"/>
      <c r="B12" s="823" t="str">
        <f>'Translate &amp; Prices'!$B$238</f>
        <v>Typ kování</v>
      </c>
      <c r="C12" s="824"/>
      <c r="D12" s="824"/>
      <c r="E12" s="824"/>
      <c r="F12" s="824"/>
      <c r="G12" s="550"/>
      <c r="H12" s="756"/>
      <c r="I12" s="756"/>
      <c r="J12" s="756"/>
      <c r="K12" s="756"/>
      <c r="L12" s="756"/>
      <c r="M12" s="756"/>
      <c r="N12" s="756"/>
      <c r="O12" s="756"/>
      <c r="P12" s="756"/>
      <c r="Q12" s="825"/>
      <c r="R12" s="559"/>
      <c r="S12" s="846"/>
      <c r="T12" s="847"/>
      <c r="U12" s="847"/>
      <c r="V12" s="847"/>
      <c r="W12" s="847"/>
      <c r="X12" s="847"/>
      <c r="Y12" s="848"/>
      <c r="Z12" s="510"/>
      <c r="AA12" s="530"/>
      <c r="AB12" s="531"/>
      <c r="AC12" s="400"/>
      <c r="AD12" s="802"/>
      <c r="AE12" s="804"/>
      <c r="AF12" s="400"/>
      <c r="AG12" s="400"/>
      <c r="AH12" s="400"/>
      <c r="AI12" s="508"/>
      <c r="AJ12" s="509"/>
      <c r="AK12" s="400"/>
      <c r="AL12" s="400"/>
      <c r="AM12" s="400"/>
      <c r="AN12" s="400"/>
      <c r="AO12" s="532"/>
      <c r="AP12" s="525"/>
      <c r="AQ12" s="858"/>
      <c r="AR12" s="400"/>
      <c r="AS12" s="400"/>
      <c r="AT12" s="1233"/>
      <c r="AU12" s="1230"/>
      <c r="AV12" s="1230"/>
      <c r="AW12" s="1227"/>
    </row>
    <row r="13" spans="1:65" s="1228" customFormat="1" ht="18" customHeight="1" x14ac:dyDescent="0.3">
      <c r="A13" s="559"/>
      <c r="B13" s="823" t="str">
        <f>'Translate &amp; Prices'!$B$524</f>
        <v>Značka kování</v>
      </c>
      <c r="C13" s="824"/>
      <c r="D13" s="824"/>
      <c r="E13" s="824"/>
      <c r="F13" s="824"/>
      <c r="G13" s="550"/>
      <c r="H13" s="756"/>
      <c r="I13" s="756"/>
      <c r="J13" s="756"/>
      <c r="K13" s="756"/>
      <c r="L13" s="756"/>
      <c r="M13" s="756"/>
      <c r="N13" s="756"/>
      <c r="O13" s="756"/>
      <c r="P13" s="756"/>
      <c r="Q13" s="825"/>
      <c r="R13" s="559"/>
      <c r="S13" s="846">
        <f>IF(H19&gt;=2,'Translate &amp; Prices'!B555,0)</f>
        <v>0</v>
      </c>
      <c r="T13" s="847"/>
      <c r="U13" s="847"/>
      <c r="V13" s="847"/>
      <c r="W13" s="847"/>
      <c r="X13" s="847"/>
      <c r="Y13" s="848"/>
      <c r="Z13" s="510"/>
      <c r="AA13" s="530"/>
      <c r="AB13" s="531"/>
      <c r="AC13" s="507"/>
      <c r="AD13" s="526"/>
      <c r="AE13" s="804"/>
      <c r="AF13" s="400"/>
      <c r="AG13" s="400"/>
      <c r="AH13" s="400"/>
      <c r="AI13" s="508"/>
      <c r="AJ13" s="509"/>
      <c r="AK13" s="400"/>
      <c r="AL13" s="400"/>
      <c r="AM13" s="400"/>
      <c r="AN13" s="400"/>
      <c r="AO13" s="532"/>
      <c r="AP13" s="525"/>
      <c r="AQ13" s="858"/>
      <c r="AR13" s="529"/>
      <c r="AS13" s="400"/>
      <c r="AT13" s="1243">
        <f>IFERROR((((AI30/1000)+(AR14/1000))*2)*(VLOOKUP(H8,'Translate &amp; Prices'!B6:C67,2,0))+(VLOOKUP(H8,'Translate &amp; Prices'!B6:D67,3,0)),0)</f>
        <v>0</v>
      </c>
      <c r="AU13" s="1241"/>
      <c r="AV13" s="1230"/>
      <c r="AW13" s="1227"/>
    </row>
    <row r="14" spans="1:65" s="1228" customFormat="1" ht="18" customHeight="1" x14ac:dyDescent="0.3">
      <c r="A14" s="559"/>
      <c r="B14" s="823">
        <f>IFERROR(IF(H12='Translate &amp; Prices'!B531,'Translate &amp; Prices'!$B$526,0),0)</f>
        <v>0</v>
      </c>
      <c r="C14" s="824"/>
      <c r="D14" s="824"/>
      <c r="E14" s="824"/>
      <c r="F14" s="824"/>
      <c r="G14" s="550"/>
      <c r="H14" s="756"/>
      <c r="I14" s="756"/>
      <c r="J14" s="756"/>
      <c r="K14" s="756"/>
      <c r="L14" s="756"/>
      <c r="M14" s="756"/>
      <c r="N14" s="756"/>
      <c r="O14" s="756"/>
      <c r="P14" s="756"/>
      <c r="Q14" s="825"/>
      <c r="R14" s="559"/>
      <c r="S14" s="846"/>
      <c r="T14" s="847"/>
      <c r="U14" s="847"/>
      <c r="V14" s="847"/>
      <c r="W14" s="847"/>
      <c r="X14" s="847"/>
      <c r="Y14" s="848"/>
      <c r="Z14" s="510"/>
      <c r="AA14" s="530"/>
      <c r="AB14" s="531"/>
      <c r="AC14" s="507"/>
      <c r="AD14" s="851" t="str">
        <f>('Translate &amp; Prices'!$B$528)&amp;" "&amp;H26&amp;" "&amp;"mm"</f>
        <v>Rozteč  mm</v>
      </c>
      <c r="AE14" s="804"/>
      <c r="AF14" s="400"/>
      <c r="AG14" s="400"/>
      <c r="AH14" s="400"/>
      <c r="AI14" s="508"/>
      <c r="AJ14" s="509"/>
      <c r="AK14" s="400"/>
      <c r="AL14" s="400"/>
      <c r="AM14" s="799" t="str">
        <f>('Translate &amp; Prices'!$B$528)&amp;" "&amp;H26&amp;" "&amp;"mm"</f>
        <v>Rozteč  mm</v>
      </c>
      <c r="AN14" s="400"/>
      <c r="AO14" s="533"/>
      <c r="AP14" s="525"/>
      <c r="AQ14" s="858"/>
      <c r="AR14" s="859"/>
      <c r="AS14" s="400"/>
      <c r="AT14" s="1242"/>
      <c r="AU14" s="1244"/>
      <c r="AV14" s="1230"/>
      <c r="AW14" s="1227"/>
    </row>
    <row r="15" spans="1:65" s="1228" customFormat="1" ht="18" customHeight="1" x14ac:dyDescent="0.3">
      <c r="A15" s="559"/>
      <c r="B15" s="823" t="str">
        <f>'Translate &amp; Prices'!$B$525</f>
        <v>Varianta kování</v>
      </c>
      <c r="C15" s="824"/>
      <c r="D15" s="824"/>
      <c r="E15" s="824"/>
      <c r="F15" s="824"/>
      <c r="G15" s="550"/>
      <c r="H15" s="837"/>
      <c r="I15" s="837"/>
      <c r="J15" s="837"/>
      <c r="K15" s="837"/>
      <c r="L15" s="837"/>
      <c r="M15" s="837"/>
      <c r="N15" s="837"/>
      <c r="O15" s="837"/>
      <c r="P15" s="837"/>
      <c r="Q15" s="838"/>
      <c r="R15" s="559"/>
      <c r="S15" s="846"/>
      <c r="T15" s="847"/>
      <c r="U15" s="847"/>
      <c r="V15" s="847"/>
      <c r="W15" s="847"/>
      <c r="X15" s="847"/>
      <c r="Y15" s="848"/>
      <c r="Z15" s="510"/>
      <c r="AA15" s="530"/>
      <c r="AB15" s="534"/>
      <c r="AC15" s="400"/>
      <c r="AD15" s="851"/>
      <c r="AE15" s="804"/>
      <c r="AF15" s="400"/>
      <c r="AG15" s="400"/>
      <c r="AH15" s="400"/>
      <c r="AI15" s="508"/>
      <c r="AJ15" s="509"/>
      <c r="AK15" s="400"/>
      <c r="AL15" s="400"/>
      <c r="AM15" s="799"/>
      <c r="AN15" s="400"/>
      <c r="AO15" s="533"/>
      <c r="AP15" s="525"/>
      <c r="AQ15" s="858"/>
      <c r="AR15" s="859"/>
      <c r="AS15" s="400"/>
      <c r="AT15" s="1242">
        <f>((BD3+BI3)*2)*'Translate &amp; Prices'!C80</f>
        <v>0</v>
      </c>
      <c r="AU15" s="1244"/>
      <c r="AV15" s="1230"/>
      <c r="AW15" s="1227"/>
    </row>
    <row r="16" spans="1:65" s="1228" customFormat="1" ht="18" customHeight="1" x14ac:dyDescent="0.3">
      <c r="A16" s="559"/>
      <c r="B16" s="843" t="str">
        <f>IF(H15=kombinace_1!AB40,'Translate &amp; Prices'!$B$204,IF(H15=kombinace_1!AB41,'Translate &amp; Prices'!$B$204,'Translate &amp; Prices'!$B$198))</f>
        <v>Výběr pozice rámečku</v>
      </c>
      <c r="C16" s="835"/>
      <c r="D16" s="835"/>
      <c r="E16" s="835"/>
      <c r="F16" s="854"/>
      <c r="G16" s="854"/>
      <c r="H16" s="854"/>
      <c r="I16" s="854"/>
      <c r="J16" s="835" t="str">
        <f>IF(H15=kombinace_1!AB40,'Translate &amp; Prices'!$B$206,IF(H15=kombinace_1!AB41,'Translate &amp; Prices'!$B$206,'Translate &amp; Prices'!$B$212))</f>
        <v>Provedení druhého dvířka</v>
      </c>
      <c r="K16" s="835"/>
      <c r="L16" s="835"/>
      <c r="M16" s="835"/>
      <c r="N16" s="833"/>
      <c r="O16" s="833"/>
      <c r="P16" s="833"/>
      <c r="Q16" s="834"/>
      <c r="R16" s="559"/>
      <c r="S16" s="846"/>
      <c r="T16" s="847"/>
      <c r="U16" s="847"/>
      <c r="V16" s="847"/>
      <c r="W16" s="847"/>
      <c r="X16" s="847"/>
      <c r="Y16" s="848"/>
      <c r="Z16" s="510"/>
      <c r="AA16" s="530"/>
      <c r="AB16" s="534"/>
      <c r="AC16" s="507"/>
      <c r="AD16" s="851"/>
      <c r="AE16" s="804"/>
      <c r="AF16" s="400"/>
      <c r="AG16" s="400"/>
      <c r="AH16" s="400"/>
      <c r="AI16" s="508"/>
      <c r="AJ16" s="509"/>
      <c r="AK16" s="400"/>
      <c r="AL16" s="400"/>
      <c r="AM16" s="799"/>
      <c r="AN16" s="400"/>
      <c r="AO16" s="533"/>
      <c r="AP16" s="525"/>
      <c r="AQ16" s="858"/>
      <c r="AR16" s="859"/>
      <c r="AS16" s="400"/>
      <c r="AT16" s="1242"/>
      <c r="AU16" s="1244"/>
      <c r="AV16" s="1230"/>
      <c r="AW16" s="1227"/>
    </row>
    <row r="17" spans="1:49" s="1228" customFormat="1" ht="18" customHeight="1" x14ac:dyDescent="0.3">
      <c r="A17" s="559"/>
      <c r="B17" s="823">
        <f>IF(H12='Translate &amp; Prices'!B531,"Umístění závěsů",IF(H15=kombinace_1!AB8,'Translate &amp; Prices'!B264,0))</f>
        <v>0</v>
      </c>
      <c r="C17" s="824"/>
      <c r="D17" s="824"/>
      <c r="E17" s="824"/>
      <c r="F17" s="824"/>
      <c r="G17" s="550"/>
      <c r="H17" s="756"/>
      <c r="I17" s="756"/>
      <c r="J17" s="756"/>
      <c r="K17" s="756"/>
      <c r="L17" s="756"/>
      <c r="M17" s="756"/>
      <c r="N17" s="756"/>
      <c r="O17" s="756"/>
      <c r="P17" s="756"/>
      <c r="Q17" s="825"/>
      <c r="R17" s="559"/>
      <c r="S17" s="846"/>
      <c r="T17" s="847"/>
      <c r="U17" s="847"/>
      <c r="V17" s="847"/>
      <c r="W17" s="847"/>
      <c r="X17" s="847"/>
      <c r="Y17" s="848"/>
      <c r="Z17" s="510"/>
      <c r="AA17" s="530"/>
      <c r="AB17" s="534"/>
      <c r="AC17" s="507"/>
      <c r="AD17" s="851"/>
      <c r="AE17" s="400"/>
      <c r="AF17" s="400"/>
      <c r="AG17" s="400"/>
      <c r="AH17" s="400"/>
      <c r="AI17" s="508"/>
      <c r="AJ17" s="509"/>
      <c r="AK17" s="400"/>
      <c r="AL17" s="400"/>
      <c r="AM17" s="799"/>
      <c r="AN17" s="400"/>
      <c r="AO17" s="533"/>
      <c r="AP17" s="525"/>
      <c r="AQ17" s="858"/>
      <c r="AR17" s="859"/>
      <c r="AS17" s="400"/>
      <c r="AT17" s="1242">
        <f>IF(AU10=1,BD3*'Translate &amp; Prices'!C53,IF(AU10=2,BI3*'Translate &amp; Prices'!C53,IF(AU10=3,(BD3+BI3)*'Translate &amp; Prices'!C53,IF(AU10=0,0))))</f>
        <v>0</v>
      </c>
      <c r="AU17" s="1245" t="e">
        <f>VLOOKUP(H17,kombinace_5!$BY:$BZ,2,0)</f>
        <v>#N/A</v>
      </c>
      <c r="AV17" s="1230"/>
      <c r="AW17" s="1227"/>
    </row>
    <row r="18" spans="1:49" s="1228" customFormat="1" ht="18" customHeight="1" x14ac:dyDescent="0.3">
      <c r="A18" s="559"/>
      <c r="B18" s="823">
        <f>IFERROR(IF(VLOOKUP(H15,kombinace_5!CD:CE,2,0)=1,'Translate &amp; Prices'!$B$527,0),0)</f>
        <v>0</v>
      </c>
      <c r="C18" s="824"/>
      <c r="D18" s="824"/>
      <c r="E18" s="824"/>
      <c r="F18" s="824"/>
      <c r="G18" s="550"/>
      <c r="H18" s="756"/>
      <c r="I18" s="756"/>
      <c r="J18" s="756"/>
      <c r="K18" s="756"/>
      <c r="L18" s="756"/>
      <c r="M18" s="756"/>
      <c r="N18" s="756"/>
      <c r="O18" s="756"/>
      <c r="P18" s="756"/>
      <c r="Q18" s="825"/>
      <c r="R18" s="559"/>
      <c r="S18" s="846">
        <f>IF(H27&gt;"",'Translate &amp; Prices'!B556,0)</f>
        <v>0</v>
      </c>
      <c r="T18" s="847"/>
      <c r="U18" s="847"/>
      <c r="V18" s="847"/>
      <c r="W18" s="847"/>
      <c r="X18" s="847"/>
      <c r="Y18" s="848"/>
      <c r="Z18" s="510"/>
      <c r="AA18" s="530"/>
      <c r="AB18" s="534"/>
      <c r="AC18" s="507"/>
      <c r="AD18" s="851"/>
      <c r="AE18" s="400"/>
      <c r="AF18" s="400"/>
      <c r="AG18" s="400"/>
      <c r="AH18" s="400"/>
      <c r="AI18" s="508"/>
      <c r="AJ18" s="509"/>
      <c r="AK18" s="400"/>
      <c r="AL18" s="400"/>
      <c r="AM18" s="799"/>
      <c r="AN18" s="400"/>
      <c r="AO18" s="533"/>
      <c r="AP18" s="525"/>
      <c r="AQ18" s="858"/>
      <c r="AR18" s="859"/>
      <c r="AS18" s="400"/>
      <c r="AT18" s="1242"/>
      <c r="AU18" s="1244"/>
      <c r="AV18" s="1230"/>
      <c r="AW18" s="1227"/>
    </row>
    <row r="19" spans="1:49" s="1228" customFormat="1" ht="18" customHeight="1" x14ac:dyDescent="0.3">
      <c r="A19" s="559"/>
      <c r="B19" s="823">
        <f>IFERROR(IF(H12='Translate &amp; Prices'!B531,'Translate &amp; Prices'!$B$203,IF(VLOOKUP(H15,kombinace_5!CD:CE,2,0)=1,'Translate &amp; Prices'!$B$203,)),0)</f>
        <v>0</v>
      </c>
      <c r="C19" s="824"/>
      <c r="D19" s="824"/>
      <c r="E19" s="824"/>
      <c r="F19" s="824"/>
      <c r="G19" s="550"/>
      <c r="H19" s="756"/>
      <c r="I19" s="756"/>
      <c r="J19" s="756"/>
      <c r="K19" s="756"/>
      <c r="L19" s="756"/>
      <c r="M19" s="756"/>
      <c r="N19" s="756"/>
      <c r="O19" s="756"/>
      <c r="P19" s="756"/>
      <c r="Q19" s="825"/>
      <c r="R19" s="559"/>
      <c r="S19" s="846"/>
      <c r="T19" s="847"/>
      <c r="U19" s="847"/>
      <c r="V19" s="847"/>
      <c r="W19" s="847"/>
      <c r="X19" s="847"/>
      <c r="Y19" s="848"/>
      <c r="Z19" s="510"/>
      <c r="AA19" s="528"/>
      <c r="AB19" s="803">
        <v>0</v>
      </c>
      <c r="AC19" s="803"/>
      <c r="AD19" s="851"/>
      <c r="AE19" s="400"/>
      <c r="AF19" s="400"/>
      <c r="AG19" s="400"/>
      <c r="AH19" s="400"/>
      <c r="AI19" s="508"/>
      <c r="AJ19" s="509"/>
      <c r="AK19" s="400"/>
      <c r="AL19" s="807" t="str">
        <f>'Translate &amp; Prices'!$B$222</f>
        <v>Vzdálenost od kraje</v>
      </c>
      <c r="AM19" s="799"/>
      <c r="AN19" s="803">
        <v>0</v>
      </c>
      <c r="AO19" s="803"/>
      <c r="AP19" s="527"/>
      <c r="AQ19" s="858"/>
      <c r="AR19" s="805" t="str">
        <f>'Translate &amp; Prices'!$B$156</f>
        <v>Výška</v>
      </c>
      <c r="AS19" s="400"/>
      <c r="AT19" s="1242"/>
      <c r="AU19" s="1244">
        <f>IFERROR(VLOOKUP(H15,kombinace_5!$CD:$CF,3,0),0)</f>
        <v>0</v>
      </c>
      <c r="AV19" s="1230"/>
      <c r="AW19" s="1227"/>
    </row>
    <row r="20" spans="1:49" s="1228" customFormat="1" ht="18" customHeight="1" x14ac:dyDescent="0.3">
      <c r="A20" s="559"/>
      <c r="B20" s="827">
        <f>IFERROR('Translate &amp; Prices'!$B$222&amp;" "&amp;(VLOOKUP(H17,kombinace_1!$BY$32:$CA$35,2,0)),0)</f>
        <v>0</v>
      </c>
      <c r="C20" s="828"/>
      <c r="D20" s="828"/>
      <c r="E20" s="828"/>
      <c r="F20" s="829">
        <v>100</v>
      </c>
      <c r="G20" s="829"/>
      <c r="H20" s="829"/>
      <c r="I20" s="829"/>
      <c r="J20" s="828">
        <f>IFERROR('Translate &amp; Prices'!$B$222&amp;" "&amp;(VLOOKUP(H17,kombinace_1!$BY$32:$CA$35,3,0)),0)</f>
        <v>0</v>
      </c>
      <c r="K20" s="828"/>
      <c r="L20" s="828"/>
      <c r="M20" s="828"/>
      <c r="N20" s="829">
        <v>100</v>
      </c>
      <c r="O20" s="829"/>
      <c r="P20" s="829"/>
      <c r="Q20" s="839"/>
      <c r="R20" s="559"/>
      <c r="S20" s="846"/>
      <c r="T20" s="847"/>
      <c r="U20" s="847"/>
      <c r="V20" s="847"/>
      <c r="W20" s="847"/>
      <c r="X20" s="847"/>
      <c r="Y20" s="848"/>
      <c r="Z20" s="510"/>
      <c r="AA20" s="530"/>
      <c r="AB20" s="531"/>
      <c r="AC20" s="507"/>
      <c r="AD20" s="851"/>
      <c r="AE20" s="400"/>
      <c r="AF20" s="400"/>
      <c r="AG20" s="400"/>
      <c r="AH20" s="400"/>
      <c r="AI20" s="508"/>
      <c r="AJ20" s="509"/>
      <c r="AK20" s="400"/>
      <c r="AL20" s="807"/>
      <c r="AM20" s="799"/>
      <c r="AN20" s="400"/>
      <c r="AO20" s="533"/>
      <c r="AP20" s="525"/>
      <c r="AQ20" s="858"/>
      <c r="AR20" s="805"/>
      <c r="AS20" s="400"/>
      <c r="AT20" s="1242"/>
      <c r="AU20" s="1244"/>
      <c r="AV20" s="1230"/>
      <c r="AW20" s="1227"/>
    </row>
    <row r="21" spans="1:49" s="1228" customFormat="1" ht="18" customHeight="1" x14ac:dyDescent="0.3">
      <c r="A21" s="559"/>
      <c r="B21" s="823" t="str">
        <f>'Translate &amp; Prices'!$B$153</f>
        <v>Typ skla</v>
      </c>
      <c r="C21" s="824"/>
      <c r="D21" s="824"/>
      <c r="E21" s="824"/>
      <c r="F21" s="824"/>
      <c r="G21" s="550"/>
      <c r="H21" s="775" t="str">
        <f>'Translate &amp; Prices'!$B$85</f>
        <v>Bez úprav</v>
      </c>
      <c r="I21" s="776"/>
      <c r="J21" s="776"/>
      <c r="K21" s="770" t="str">
        <f>'Translate &amp; Prices'!$B$83</f>
        <v>Kalené</v>
      </c>
      <c r="L21" s="770"/>
      <c r="M21" s="770"/>
      <c r="N21" s="770" t="str">
        <f>'Translate &amp; Prices'!$B$84</f>
        <v>Folie</v>
      </c>
      <c r="O21" s="770"/>
      <c r="P21" s="770"/>
      <c r="Q21" s="840"/>
      <c r="R21" s="559"/>
      <c r="S21" s="846"/>
      <c r="T21" s="847"/>
      <c r="U21" s="847"/>
      <c r="V21" s="847"/>
      <c r="W21" s="847"/>
      <c r="X21" s="847"/>
      <c r="Y21" s="848"/>
      <c r="Z21" s="510"/>
      <c r="AA21" s="530"/>
      <c r="AB21" s="531"/>
      <c r="AC21" s="400"/>
      <c r="AD21" s="851"/>
      <c r="AE21" s="400"/>
      <c r="AF21" s="400"/>
      <c r="AG21" s="400"/>
      <c r="AH21" s="400"/>
      <c r="AI21" s="508"/>
      <c r="AJ21" s="509"/>
      <c r="AK21" s="400"/>
      <c r="AL21" s="807"/>
      <c r="AM21" s="799"/>
      <c r="AN21" s="400"/>
      <c r="AO21" s="532"/>
      <c r="AP21" s="525"/>
      <c r="AQ21" s="858"/>
      <c r="AR21" s="805"/>
      <c r="AS21" s="400"/>
      <c r="AT21" s="1242"/>
      <c r="AU21" s="1244"/>
      <c r="AV21" s="1230"/>
      <c r="AW21" s="1227"/>
    </row>
    <row r="22" spans="1:49" s="1228" customFormat="1" ht="18" customHeight="1" x14ac:dyDescent="0.3">
      <c r="A22" s="559"/>
      <c r="B22" s="562"/>
      <c r="C22" s="551"/>
      <c r="D22" s="551"/>
      <c r="E22" s="551"/>
      <c r="F22" s="551"/>
      <c r="G22" s="551"/>
      <c r="H22" s="775"/>
      <c r="I22" s="776"/>
      <c r="J22" s="776"/>
      <c r="K22" s="770"/>
      <c r="L22" s="770"/>
      <c r="M22" s="770"/>
      <c r="N22" s="770"/>
      <c r="O22" s="770"/>
      <c r="P22" s="770"/>
      <c r="Q22" s="840"/>
      <c r="R22" s="559"/>
      <c r="S22" s="846"/>
      <c r="T22" s="847"/>
      <c r="U22" s="847"/>
      <c r="V22" s="847"/>
      <c r="W22" s="847"/>
      <c r="X22" s="847"/>
      <c r="Y22" s="848"/>
      <c r="Z22" s="510"/>
      <c r="AA22" s="530"/>
      <c r="AB22" s="531"/>
      <c r="AC22" s="400"/>
      <c r="AD22" s="400"/>
      <c r="AE22" s="400"/>
      <c r="AF22" s="400"/>
      <c r="AG22" s="400"/>
      <c r="AH22" s="400"/>
      <c r="AI22" s="508"/>
      <c r="AJ22" s="509"/>
      <c r="AK22" s="400"/>
      <c r="AL22" s="807"/>
      <c r="AM22" s="526"/>
      <c r="AN22" s="400"/>
      <c r="AO22" s="532"/>
      <c r="AP22" s="525"/>
      <c r="AQ22" s="858"/>
      <c r="AR22" s="805"/>
      <c r="AS22" s="400"/>
      <c r="AT22" s="1242"/>
      <c r="AU22" s="1244"/>
      <c r="AV22" s="1230"/>
      <c r="AW22" s="1227"/>
    </row>
    <row r="23" spans="1:49" s="1228" customFormat="1" ht="18" customHeight="1" x14ac:dyDescent="0.3">
      <c r="A23" s="559"/>
      <c r="B23" s="562"/>
      <c r="C23" s="551"/>
      <c r="D23" s="551"/>
      <c r="E23" s="551"/>
      <c r="F23" s="551"/>
      <c r="G23" s="551"/>
      <c r="H23" s="771" t="str">
        <f>"↥↥"&amp;"   "&amp;'Translate &amp; Prices'!$B$553&amp;" "&amp;B25&amp;"   "&amp;"↥↥"</f>
        <v>↥↥   Již neměnit po tom co vyberete Typ skla   ↥↥</v>
      </c>
      <c r="I23" s="771"/>
      <c r="J23" s="771"/>
      <c r="K23" s="771"/>
      <c r="L23" s="771"/>
      <c r="M23" s="771"/>
      <c r="N23" s="771"/>
      <c r="O23" s="771"/>
      <c r="P23" s="771"/>
      <c r="Q23" s="844"/>
      <c r="R23" s="559"/>
      <c r="S23" s="865"/>
      <c r="T23" s="866"/>
      <c r="U23" s="866"/>
      <c r="V23" s="866"/>
      <c r="W23" s="866"/>
      <c r="X23" s="866"/>
      <c r="Y23" s="867"/>
      <c r="Z23" s="510"/>
      <c r="AA23" s="530"/>
      <c r="AB23" s="531"/>
      <c r="AC23" s="507"/>
      <c r="AD23" s="400"/>
      <c r="AE23" s="400"/>
      <c r="AF23" s="400"/>
      <c r="AG23" s="400"/>
      <c r="AH23" s="400"/>
      <c r="AI23" s="508"/>
      <c r="AJ23" s="509"/>
      <c r="AK23" s="400"/>
      <c r="AL23" s="807"/>
      <c r="AM23" s="800">
        <v>0</v>
      </c>
      <c r="AN23" s="400"/>
      <c r="AO23" s="532"/>
      <c r="AP23" s="525"/>
      <c r="AQ23" s="858"/>
      <c r="AR23" s="805"/>
      <c r="AS23" s="400"/>
      <c r="AT23" s="1242"/>
      <c r="AU23" s="1244" t="e">
        <f>VLOOKUP(H17,kombinace_5!$BY:$BZ,2,0)</f>
        <v>#N/A</v>
      </c>
      <c r="AV23" s="1230"/>
      <c r="AW23" s="1227"/>
    </row>
    <row r="24" spans="1:49" s="1228" customFormat="1" ht="18" customHeight="1" x14ac:dyDescent="0.3">
      <c r="A24" s="559"/>
      <c r="B24" s="823" t="str">
        <f>'Translate &amp; Prices'!$B$542</f>
        <v>Typ folie</v>
      </c>
      <c r="C24" s="824"/>
      <c r="D24" s="824"/>
      <c r="E24" s="824"/>
      <c r="F24" s="824"/>
      <c r="G24" s="550"/>
      <c r="H24" s="756"/>
      <c r="I24" s="756"/>
      <c r="J24" s="756"/>
      <c r="K24" s="756"/>
      <c r="L24" s="756"/>
      <c r="M24" s="756"/>
      <c r="N24" s="756"/>
      <c r="O24" s="756"/>
      <c r="P24" s="756"/>
      <c r="Q24" s="825"/>
      <c r="R24" s="559"/>
      <c r="S24" s="798" t="str">
        <f>'Translate &amp; Prices'!$B$157</f>
        <v>Poznámky</v>
      </c>
      <c r="T24" s="798"/>
      <c r="U24" s="798"/>
      <c r="V24" s="570"/>
      <c r="W24" s="570"/>
      <c r="X24" s="570"/>
      <c r="Y24" s="570"/>
      <c r="Z24" s="510"/>
      <c r="AA24" s="530"/>
      <c r="AB24" s="531"/>
      <c r="AC24" s="822" t="str">
        <f>'Translate &amp; Prices'!$B$222</f>
        <v>Vzdálenost od kraje</v>
      </c>
      <c r="AD24" s="822"/>
      <c r="AE24" s="822"/>
      <c r="AF24" s="822"/>
      <c r="AG24" s="822"/>
      <c r="AH24" s="400"/>
      <c r="AI24" s="508"/>
      <c r="AJ24" s="509"/>
      <c r="AK24" s="400"/>
      <c r="AL24" s="807"/>
      <c r="AM24" s="800"/>
      <c r="AN24" s="400"/>
      <c r="AO24" s="532"/>
      <c r="AP24" s="535"/>
      <c r="AQ24" s="858"/>
      <c r="AR24" s="529"/>
      <c r="AS24" s="400"/>
      <c r="AT24" s="1242"/>
      <c r="AU24" s="1244" t="e">
        <f>CONCATENATE(AU23,"_",H19)</f>
        <v>#N/A</v>
      </c>
      <c r="AV24" s="1230"/>
      <c r="AW24" s="1227"/>
    </row>
    <row r="25" spans="1:49" s="1228" customFormat="1" ht="18" customHeight="1" x14ac:dyDescent="0.3">
      <c r="A25" s="559"/>
      <c r="B25" s="823" t="str">
        <f>'Translate &amp; Prices'!$B$153</f>
        <v>Typ skla</v>
      </c>
      <c r="C25" s="824"/>
      <c r="D25" s="824"/>
      <c r="E25" s="824"/>
      <c r="F25" s="824"/>
      <c r="G25" s="550"/>
      <c r="H25" s="756"/>
      <c r="I25" s="756"/>
      <c r="J25" s="756"/>
      <c r="K25" s="756"/>
      <c r="L25" s="756"/>
      <c r="M25" s="756"/>
      <c r="N25" s="756"/>
      <c r="O25" s="756"/>
      <c r="P25" s="756"/>
      <c r="Q25" s="825"/>
      <c r="R25" s="559"/>
      <c r="S25" s="808"/>
      <c r="T25" s="809"/>
      <c r="U25" s="809"/>
      <c r="V25" s="809"/>
      <c r="W25" s="809"/>
      <c r="X25" s="809"/>
      <c r="Y25" s="810"/>
      <c r="Z25" s="510"/>
      <c r="AA25" s="530"/>
      <c r="AB25" s="531"/>
      <c r="AC25" s="803">
        <v>0</v>
      </c>
      <c r="AD25" s="803"/>
      <c r="AE25" s="526"/>
      <c r="AF25" s="830" t="str">
        <f>('Translate &amp; Prices'!$B$528)&amp;" "&amp;H26&amp;" "&amp;"mm"</f>
        <v>Rozteč  mm</v>
      </c>
      <c r="AG25" s="830"/>
      <c r="AH25" s="830"/>
      <c r="AI25" s="830"/>
      <c r="AJ25" s="830"/>
      <c r="AK25" s="830"/>
      <c r="AL25" s="807"/>
      <c r="AM25" s="800"/>
      <c r="AN25" s="400"/>
      <c r="AO25" s="532"/>
      <c r="AP25" s="535"/>
      <c r="AQ25" s="858"/>
      <c r="AR25" s="400"/>
      <c r="AS25" s="400"/>
      <c r="AT25" s="1242"/>
      <c r="AU25" s="1245" t="e">
        <f>VLOOKUP(H27,kombinace_5!$BY:$BZ,2,0)</f>
        <v>#N/A</v>
      </c>
      <c r="AV25" s="1230"/>
      <c r="AW25" s="1227"/>
    </row>
    <row r="26" spans="1:49" s="1228" customFormat="1" ht="18" customHeight="1" x14ac:dyDescent="0.3">
      <c r="A26" s="559"/>
      <c r="B26" s="823" t="str">
        <f>'Translate &amp; Prices'!$B$529</f>
        <v>Rozteč úchytky (mm)</v>
      </c>
      <c r="C26" s="824"/>
      <c r="D26" s="824"/>
      <c r="E26" s="824"/>
      <c r="F26" s="824"/>
      <c r="G26" s="550"/>
      <c r="H26" s="773"/>
      <c r="I26" s="773"/>
      <c r="J26" s="773"/>
      <c r="K26" s="773"/>
      <c r="L26" s="773"/>
      <c r="M26" s="773"/>
      <c r="N26" s="773"/>
      <c r="O26" s="773"/>
      <c r="P26" s="773"/>
      <c r="Q26" s="836"/>
      <c r="R26" s="559"/>
      <c r="S26" s="811"/>
      <c r="T26" s="812"/>
      <c r="U26" s="812"/>
      <c r="V26" s="812"/>
      <c r="W26" s="812"/>
      <c r="X26" s="812"/>
      <c r="Y26" s="813"/>
      <c r="Z26" s="510"/>
      <c r="AA26" s="530"/>
      <c r="AB26" s="531"/>
      <c r="AC26" s="400"/>
      <c r="AD26" s="400"/>
      <c r="AE26" s="400"/>
      <c r="AF26" s="400"/>
      <c r="AG26" s="400"/>
      <c r="AH26" s="400"/>
      <c r="AI26" s="508"/>
      <c r="AJ26" s="802">
        <v>0</v>
      </c>
      <c r="AK26" s="400"/>
      <c r="AL26" s="400"/>
      <c r="AM26" s="400"/>
      <c r="AN26" s="400"/>
      <c r="AO26" s="532"/>
      <c r="AP26" s="525"/>
      <c r="AQ26" s="858"/>
      <c r="AR26" s="400"/>
      <c r="AS26" s="400"/>
      <c r="AT26" s="1242"/>
      <c r="AU26" s="1226"/>
      <c r="AV26" s="1226"/>
      <c r="AW26" s="1227"/>
    </row>
    <row r="27" spans="1:49" s="1228" customFormat="1" ht="18" customHeight="1" x14ac:dyDescent="0.3">
      <c r="A27" s="559"/>
      <c r="B27" s="823" t="str">
        <f>'Translate &amp; Prices'!$B$530</f>
        <v>Umístění úchytky</v>
      </c>
      <c r="C27" s="824"/>
      <c r="D27" s="824"/>
      <c r="E27" s="824"/>
      <c r="F27" s="824"/>
      <c r="G27" s="550"/>
      <c r="H27" s="756"/>
      <c r="I27" s="756"/>
      <c r="J27" s="756"/>
      <c r="K27" s="756"/>
      <c r="L27" s="756"/>
      <c r="M27" s="756"/>
      <c r="N27" s="756"/>
      <c r="O27" s="756"/>
      <c r="P27" s="756"/>
      <c r="Q27" s="825"/>
      <c r="R27" s="559"/>
      <c r="S27" s="811"/>
      <c r="T27" s="812"/>
      <c r="U27" s="812"/>
      <c r="V27" s="812"/>
      <c r="W27" s="812"/>
      <c r="X27" s="812"/>
      <c r="Y27" s="813"/>
      <c r="Z27" s="510"/>
      <c r="AA27" s="519"/>
      <c r="AB27" s="536"/>
      <c r="AC27" s="537"/>
      <c r="AD27" s="537"/>
      <c r="AE27" s="537"/>
      <c r="AF27" s="537"/>
      <c r="AG27" s="537"/>
      <c r="AH27" s="538"/>
      <c r="AI27" s="539"/>
      <c r="AJ27" s="802"/>
      <c r="AK27" s="537"/>
      <c r="AL27" s="537"/>
      <c r="AM27" s="537"/>
      <c r="AN27" s="537"/>
      <c r="AO27" s="540"/>
      <c r="AP27" s="525"/>
      <c r="AQ27" s="858"/>
      <c r="AR27" s="400"/>
      <c r="AS27" s="400"/>
      <c r="AT27" s="1242"/>
      <c r="AU27" s="1226"/>
      <c r="AV27" s="1226"/>
      <c r="AW27" s="1227"/>
    </row>
    <row r="28" spans="1:49" s="1228" customFormat="1" ht="18" customHeight="1" x14ac:dyDescent="0.3">
      <c r="A28" s="559"/>
      <c r="B28" s="823" t="str">
        <f>('Translate &amp; Prices'!$B$154)&amp;" "&amp;"-"&amp;" "&amp;('Translate &amp; Prices'!$B$149)&amp;" "&amp;" "&amp;5</f>
        <v>Počet kusů - Rámeček  5</v>
      </c>
      <c r="C28" s="824"/>
      <c r="D28" s="824"/>
      <c r="E28" s="824"/>
      <c r="F28" s="824"/>
      <c r="G28" s="550"/>
      <c r="H28" s="756"/>
      <c r="I28" s="756"/>
      <c r="J28" s="756"/>
      <c r="K28" s="756"/>
      <c r="L28" s="756"/>
      <c r="M28" s="756"/>
      <c r="N28" s="756"/>
      <c r="O28" s="756"/>
      <c r="P28" s="756"/>
      <c r="Q28" s="825"/>
      <c r="R28" s="559"/>
      <c r="S28" s="811"/>
      <c r="T28" s="812"/>
      <c r="U28" s="812"/>
      <c r="V28" s="812"/>
      <c r="W28" s="812"/>
      <c r="X28" s="812"/>
      <c r="Y28" s="813"/>
      <c r="Z28" s="510"/>
      <c r="AA28" s="541"/>
      <c r="AB28" s="542"/>
      <c r="AC28" s="543"/>
      <c r="AD28" s="543"/>
      <c r="AE28" s="542"/>
      <c r="AF28" s="542"/>
      <c r="AG28" s="542"/>
      <c r="AH28" s="542"/>
      <c r="AI28" s="544"/>
      <c r="AJ28" s="517"/>
      <c r="AK28" s="542"/>
      <c r="AL28" s="542"/>
      <c r="AM28" s="543"/>
      <c r="AN28" s="543"/>
      <c r="AO28" s="542"/>
      <c r="AP28" s="545"/>
      <c r="AQ28" s="529"/>
      <c r="AR28" s="400"/>
      <c r="AS28" s="507"/>
      <c r="AT28" s="1242"/>
      <c r="AU28" s="1226"/>
      <c r="AV28" s="1226"/>
      <c r="AW28" s="1227"/>
    </row>
    <row r="29" spans="1:49" s="1228" customFormat="1" ht="18" customHeight="1" x14ac:dyDescent="0.3">
      <c r="A29" s="559"/>
      <c r="B29" s="563"/>
      <c r="C29" s="549"/>
      <c r="D29" s="549"/>
      <c r="E29" s="549"/>
      <c r="F29" s="549"/>
      <c r="G29" s="549"/>
      <c r="H29" s="831"/>
      <c r="I29" s="831"/>
      <c r="J29" s="841" t="str">
        <f>S44&amp;" "&amp;'Translate &amp; Prices'!$B$205</f>
        <v xml:space="preserve"> Dodat včetně uvedeného kování</v>
      </c>
      <c r="K29" s="841"/>
      <c r="L29" s="841"/>
      <c r="M29" s="841"/>
      <c r="N29" s="841"/>
      <c r="O29" s="841"/>
      <c r="P29" s="841"/>
      <c r="Q29" s="842"/>
      <c r="R29" s="559"/>
      <c r="S29" s="811"/>
      <c r="T29" s="812"/>
      <c r="U29" s="812"/>
      <c r="V29" s="812"/>
      <c r="W29" s="812"/>
      <c r="X29" s="812"/>
      <c r="Y29" s="813"/>
      <c r="Z29" s="510"/>
      <c r="AA29" s="572" t="e">
        <f>VLOOKUP(H14,kombinace_1!$DN$7:$DO$21,2,0)</f>
        <v>#N/A</v>
      </c>
      <c r="AB29" s="857">
        <f>IFERROR(IF(AND($AU$17&lt;=2,H12=kombinace_1!BQ2),'Translate &amp; Prices'!$B$557,0),0)</f>
        <v>0</v>
      </c>
      <c r="AC29" s="857"/>
      <c r="AD29" s="857"/>
      <c r="AE29" s="857"/>
      <c r="AF29" s="857"/>
      <c r="AG29" s="857"/>
      <c r="AH29" s="857"/>
      <c r="AI29" s="857"/>
      <c r="AJ29" s="857"/>
      <c r="AK29" s="857"/>
      <c r="AL29" s="857"/>
      <c r="AM29" s="857"/>
      <c r="AN29" s="857"/>
      <c r="AO29" s="857"/>
      <c r="AP29" s="400"/>
      <c r="AQ29" s="400"/>
      <c r="AR29" s="400"/>
      <c r="AS29" s="400"/>
      <c r="AT29" s="1242"/>
      <c r="AU29" s="1226"/>
      <c r="AV29" s="1226"/>
      <c r="AW29" s="1227"/>
    </row>
    <row r="30" spans="1:49" s="1228" customFormat="1" ht="13.8" customHeight="1" x14ac:dyDescent="0.3">
      <c r="A30" s="559"/>
      <c r="B30" s="817" t="str">
        <f>'Translate &amp; Prices'!$B$158</f>
        <v>Cena rámečků celkem</v>
      </c>
      <c r="C30" s="761"/>
      <c r="D30" s="761"/>
      <c r="E30" s="761"/>
      <c r="F30" s="761"/>
      <c r="G30" s="761"/>
      <c r="H30" s="761"/>
      <c r="I30" s="761"/>
      <c r="J30" s="761"/>
      <c r="K30" s="764"/>
      <c r="L30" s="766">
        <f>((AT11+AT13+AT15+AT17+AT33+AT35+AT37)*AT43)*(1-Zakaznik!K23)</f>
        <v>0</v>
      </c>
      <c r="M30" s="766"/>
      <c r="N30" s="766"/>
      <c r="O30" s="766"/>
      <c r="P30" s="766"/>
      <c r="Q30" s="819"/>
      <c r="R30" s="559"/>
      <c r="S30" s="811"/>
      <c r="T30" s="812"/>
      <c r="U30" s="812"/>
      <c r="V30" s="812"/>
      <c r="W30" s="812"/>
      <c r="X30" s="812"/>
      <c r="Y30" s="813"/>
      <c r="Z30" s="510"/>
      <c r="AA30" s="507"/>
      <c r="AB30" s="507"/>
      <c r="AC30" s="507"/>
      <c r="AD30" s="507"/>
      <c r="AE30" s="529"/>
      <c r="AF30" s="826" t="str">
        <f>'Translate &amp; Prices'!$B$155</f>
        <v xml:space="preserve">Šířka </v>
      </c>
      <c r="AG30" s="826"/>
      <c r="AH30" s="826"/>
      <c r="AI30" s="801"/>
      <c r="AJ30" s="801"/>
      <c r="AK30" s="801"/>
      <c r="AL30" s="529"/>
      <c r="AM30" s="529"/>
      <c r="AN30" s="400"/>
      <c r="AO30" s="400"/>
      <c r="AP30" s="510"/>
      <c r="AQ30" s="510"/>
      <c r="AR30" s="510"/>
      <c r="AS30" s="510"/>
      <c r="AT30" s="1242"/>
      <c r="AU30" s="1226"/>
      <c r="AV30" s="1226"/>
      <c r="AW30" s="1227"/>
    </row>
    <row r="31" spans="1:49" s="1228" customFormat="1" ht="13.8" customHeight="1" thickBot="1" x14ac:dyDescent="0.35">
      <c r="A31" s="559"/>
      <c r="B31" s="818"/>
      <c r="C31" s="763"/>
      <c r="D31" s="763"/>
      <c r="E31" s="763"/>
      <c r="F31" s="763"/>
      <c r="G31" s="763"/>
      <c r="H31" s="763"/>
      <c r="I31" s="763"/>
      <c r="J31" s="763"/>
      <c r="K31" s="765"/>
      <c r="L31" s="768"/>
      <c r="M31" s="768"/>
      <c r="N31" s="768"/>
      <c r="O31" s="768"/>
      <c r="P31" s="768"/>
      <c r="Q31" s="820"/>
      <c r="R31" s="559"/>
      <c r="S31" s="814"/>
      <c r="T31" s="815"/>
      <c r="U31" s="815"/>
      <c r="V31" s="815"/>
      <c r="W31" s="815"/>
      <c r="X31" s="815"/>
      <c r="Y31" s="816"/>
      <c r="Z31" s="510"/>
      <c r="AA31" s="556"/>
      <c r="AB31" s="556"/>
      <c r="AC31" s="556"/>
      <c r="AD31" s="556"/>
      <c r="AE31" s="556"/>
      <c r="AF31" s="556"/>
      <c r="AG31" s="556"/>
      <c r="AH31" s="556"/>
      <c r="AI31" s="556"/>
      <c r="AJ31" s="556"/>
      <c r="AK31" s="556"/>
      <c r="AL31" s="556"/>
      <c r="AM31" s="556"/>
      <c r="AN31" s="556"/>
      <c r="AO31" s="797" t="str">
        <f>'Translate &amp; Prices'!$B$547</f>
        <v>Souhrn</v>
      </c>
      <c r="AP31" s="797"/>
      <c r="AQ31" s="797"/>
      <c r="AR31" s="797"/>
      <c r="AS31" s="510"/>
      <c r="AT31" s="1242"/>
      <c r="AU31" s="1226"/>
      <c r="AV31" s="1226"/>
      <c r="AW31" s="1227"/>
    </row>
    <row r="32" spans="1:49" s="1228" customFormat="1" ht="18.600000000000001" customHeight="1" x14ac:dyDescent="0.3">
      <c r="A32" s="559"/>
      <c r="B32" s="832" t="str">
        <f>'Translate &amp; Prices'!$B$151</f>
        <v>Uvedené ceny jsou bez DPH a nezahrnují cenu požadovaného kování!</v>
      </c>
      <c r="C32" s="832"/>
      <c r="D32" s="832"/>
      <c r="E32" s="832"/>
      <c r="F32" s="832"/>
      <c r="G32" s="832"/>
      <c r="H32" s="832"/>
      <c r="I32" s="832"/>
      <c r="J32" s="832"/>
      <c r="K32" s="832"/>
      <c r="L32" s="832"/>
      <c r="M32" s="832"/>
      <c r="N32" s="832"/>
      <c r="O32" s="832"/>
      <c r="P32" s="832"/>
      <c r="Q32" s="832"/>
      <c r="R32" s="559"/>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797"/>
      <c r="AP32" s="797"/>
      <c r="AQ32" s="797"/>
      <c r="AR32" s="797"/>
      <c r="AS32" s="559"/>
      <c r="AT32" s="1242"/>
      <c r="AU32" s="1226"/>
      <c r="AV32" s="1226"/>
      <c r="AW32" s="1227"/>
    </row>
    <row r="33" spans="1:55" s="1228" customFormat="1" ht="15" customHeight="1" x14ac:dyDescent="0.3">
      <c r="A33" s="559"/>
      <c r="B33" s="510"/>
      <c r="C33" s="510"/>
      <c r="D33" s="510"/>
      <c r="E33" s="510"/>
      <c r="F33" s="510"/>
      <c r="G33" s="510"/>
      <c r="H33" s="510"/>
      <c r="I33" s="510"/>
      <c r="J33" s="510"/>
      <c r="K33" s="510"/>
      <c r="L33" s="510"/>
      <c r="M33" s="510"/>
      <c r="N33" s="510"/>
      <c r="O33" s="510"/>
      <c r="P33" s="510"/>
      <c r="Q33" s="510"/>
      <c r="R33" s="559"/>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400"/>
      <c r="AS33" s="559"/>
      <c r="AT33" s="1242">
        <f>IF(kombinace_5!V1=2,((AR14/1000)*(AI30/1000))*'Translate &amp; Prices'!C77,0)</f>
        <v>0</v>
      </c>
      <c r="AU33" s="1226"/>
      <c r="AV33" s="1226"/>
      <c r="AW33" s="1227"/>
    </row>
    <row r="34" spans="1:55" s="1247" customFormat="1" ht="18.600000000000001" hidden="1" customHeight="1" x14ac:dyDescent="0.3">
      <c r="A34" s="1253"/>
      <c r="R34" s="1253"/>
      <c r="AS34" s="1246"/>
      <c r="AT34" s="1246"/>
    </row>
    <row r="35" spans="1:55" s="1228" customFormat="1" ht="15" hidden="1" customHeight="1" x14ac:dyDescent="0.3">
      <c r="A35" s="1230"/>
      <c r="R35" s="1230"/>
      <c r="S35" s="1244"/>
      <c r="T35" s="1248"/>
      <c r="AN35" s="1247"/>
      <c r="AO35" s="1247"/>
      <c r="AP35" s="1247"/>
      <c r="AQ35" s="1247"/>
      <c r="AR35" s="1225"/>
      <c r="AS35" s="1242"/>
      <c r="AT35" s="1242">
        <f>IF(kombinace_5!$V$1=3,IFERROR(((VLOOKUP(H24,'Translate &amp; Prices'!B74:C76,2,0))*(AR14/1000)),0),0)</f>
        <v>0</v>
      </c>
      <c r="AU35" s="1226"/>
      <c r="AV35" s="1226"/>
      <c r="AW35" s="1227"/>
      <c r="AX35" s="1227"/>
      <c r="AY35" s="1227"/>
      <c r="AZ35" s="1227"/>
      <c r="BA35" s="1227"/>
      <c r="BB35" s="1227"/>
      <c r="BC35" s="1227"/>
    </row>
    <row r="36" spans="1:55" s="1249" customFormat="1" ht="18.600000000000001" hidden="1" customHeight="1" x14ac:dyDescent="0.3">
      <c r="A36" s="1254"/>
      <c r="R36" s="1254"/>
      <c r="S36" s="1254"/>
      <c r="T36" s="1248"/>
      <c r="AK36" s="1255"/>
      <c r="AL36" s="1255"/>
      <c r="AN36" s="1247"/>
      <c r="AO36" s="1247"/>
      <c r="AP36" s="1247"/>
      <c r="AQ36" s="1247"/>
      <c r="AS36" s="1248"/>
      <c r="AT36" s="1248"/>
    </row>
    <row r="37" spans="1:55" ht="15" hidden="1" customHeight="1" x14ac:dyDescent="0.3">
      <c r="R37" s="1244"/>
      <c r="S37" s="1244"/>
      <c r="T37" s="1248"/>
      <c r="AK37" s="1255"/>
      <c r="AL37" s="1255"/>
      <c r="AN37" s="1247"/>
      <c r="AO37" s="1247"/>
      <c r="AP37" s="1247"/>
      <c r="AQ37" s="1247"/>
      <c r="AS37" s="1245" t="s">
        <v>18</v>
      </c>
      <c r="AT37" s="1245">
        <f>IFERROR((VLOOKUP(H25,'Translate &amp; Prices'!B82:D146,2,0))*((AI30/1000)*(AR14/1000)),0)</f>
        <v>0</v>
      </c>
    </row>
    <row r="38" spans="1:55" ht="18.600000000000001" hidden="1" customHeight="1" x14ac:dyDescent="0.3">
      <c r="R38" s="1244"/>
      <c r="S38" s="1244"/>
      <c r="T38" s="1248"/>
      <c r="AK38" s="1255"/>
      <c r="AL38" s="1255"/>
      <c r="AN38" s="1247"/>
      <c r="AO38" s="1247"/>
      <c r="AP38" s="1247"/>
      <c r="AQ38" s="1247"/>
      <c r="AS38" s="1245"/>
      <c r="AT38" s="1245"/>
    </row>
    <row r="39" spans="1:55" ht="15" hidden="1" customHeight="1" x14ac:dyDescent="0.3">
      <c r="R39" s="1244"/>
      <c r="S39" s="1244"/>
      <c r="T39" s="1248"/>
      <c r="AK39" s="1255"/>
      <c r="AL39" s="1255"/>
      <c r="AN39" s="1247"/>
      <c r="AO39" s="1247"/>
      <c r="AP39" s="1247"/>
      <c r="AQ39" s="1247"/>
      <c r="AS39" s="1245" t="s">
        <v>2438</v>
      </c>
      <c r="AT39" s="1245"/>
    </row>
    <row r="40" spans="1:55" ht="18.600000000000001" hidden="1" customHeight="1" x14ac:dyDescent="0.3">
      <c r="R40" s="1244"/>
      <c r="S40" s="1244"/>
      <c r="T40" s="1248"/>
      <c r="U40" s="1248"/>
      <c r="V40" s="1248"/>
      <c r="W40" s="1248"/>
      <c r="X40" s="1248"/>
      <c r="Y40" s="1255"/>
      <c r="Z40" s="1255"/>
      <c r="AA40" s="1255"/>
      <c r="AB40" s="1255"/>
      <c r="AC40" s="1255"/>
      <c r="AD40" s="1255"/>
      <c r="AE40" s="1255"/>
      <c r="AF40" s="1255"/>
      <c r="AG40" s="1255"/>
      <c r="AH40" s="1255"/>
      <c r="AI40" s="1255"/>
      <c r="AJ40" s="1255"/>
      <c r="AK40" s="1255"/>
      <c r="AL40" s="1255"/>
      <c r="AS40" s="1245"/>
      <c r="AT40" s="1245"/>
    </row>
    <row r="41" spans="1:55" ht="15" hidden="1" customHeight="1" x14ac:dyDescent="0.3">
      <c r="R41" s="1244"/>
      <c r="S41" s="1244"/>
      <c r="T41" s="1248"/>
      <c r="U41" s="1248"/>
      <c r="V41" s="1248"/>
      <c r="W41" s="1248"/>
      <c r="X41" s="1248"/>
      <c r="Y41" s="1255"/>
      <c r="Z41" s="1255"/>
      <c r="AA41" s="1255"/>
      <c r="AB41" s="1255"/>
      <c r="AC41" s="1255"/>
      <c r="AD41" s="1255"/>
      <c r="AE41" s="1255"/>
      <c r="AF41" s="1255"/>
      <c r="AG41" s="1255"/>
      <c r="AH41" s="1255"/>
      <c r="AI41" s="1255"/>
      <c r="AJ41" s="1255"/>
      <c r="AK41" s="1255"/>
      <c r="AL41" s="1255"/>
      <c r="AS41" s="1245" t="s">
        <v>2439</v>
      </c>
      <c r="AT41" s="1245"/>
    </row>
    <row r="42" spans="1:55" ht="18.600000000000001" hidden="1" customHeight="1" x14ac:dyDescent="0.3">
      <c r="R42" s="1244"/>
      <c r="S42" s="1244"/>
      <c r="T42" s="1248"/>
      <c r="U42" s="1248"/>
      <c r="V42" s="1248"/>
      <c r="W42" s="1248"/>
      <c r="X42" s="1248"/>
      <c r="Y42" s="1255"/>
      <c r="Z42" s="1255"/>
      <c r="AA42" s="1255"/>
      <c r="AB42" s="1255"/>
      <c r="AC42" s="1255"/>
      <c r="AD42" s="1255"/>
      <c r="AE42" s="1255"/>
      <c r="AF42" s="1255"/>
      <c r="AG42" s="1255"/>
      <c r="AH42" s="1255"/>
      <c r="AI42" s="1255"/>
      <c r="AJ42" s="1255"/>
      <c r="AK42" s="1255"/>
      <c r="AL42" s="1255"/>
      <c r="AS42" s="1245"/>
      <c r="AT42" s="1245"/>
    </row>
    <row r="43" spans="1:55" ht="15" hidden="1" customHeight="1" x14ac:dyDescent="0.3">
      <c r="R43" s="1244"/>
      <c r="S43" s="1244"/>
      <c r="T43" s="1248"/>
      <c r="U43" s="1248"/>
      <c r="V43" s="1248"/>
      <c r="W43" s="1248"/>
      <c r="X43" s="1248"/>
      <c r="Y43" s="1255"/>
      <c r="Z43" s="1255"/>
      <c r="AA43" s="1255"/>
      <c r="AB43" s="1255"/>
      <c r="AC43" s="1255"/>
      <c r="AD43" s="1255"/>
      <c r="AE43" s="1255"/>
      <c r="AF43" s="1255"/>
      <c r="AG43" s="1255"/>
      <c r="AH43" s="1255"/>
      <c r="AI43" s="1255"/>
      <c r="AJ43" s="1255"/>
      <c r="AK43" s="1255"/>
      <c r="AL43" s="1255"/>
      <c r="AS43" s="1245" t="s">
        <v>2440</v>
      </c>
      <c r="AT43" s="1245">
        <f>H28</f>
        <v>0</v>
      </c>
    </row>
    <row r="44" spans="1:55" ht="18.600000000000001" hidden="1" customHeight="1" x14ac:dyDescent="0.3">
      <c r="A44" s="1245"/>
      <c r="R44" s="1244"/>
      <c r="S44" s="1244"/>
      <c r="T44" s="1248"/>
      <c r="U44" s="1248"/>
      <c r="V44" s="1248"/>
      <c r="W44" s="1248"/>
      <c r="X44" s="1248"/>
      <c r="Y44" s="1255"/>
      <c r="Z44" s="1255"/>
      <c r="AA44" s="1255"/>
      <c r="AB44" s="1255"/>
      <c r="AC44" s="1255"/>
      <c r="AD44" s="1255"/>
      <c r="AE44" s="1255"/>
      <c r="AF44" s="1255"/>
      <c r="AG44" s="1255"/>
      <c r="AH44" s="1255"/>
      <c r="AI44" s="1255"/>
      <c r="AJ44" s="1255"/>
      <c r="AK44" s="1255"/>
      <c r="AL44" s="1255"/>
    </row>
    <row r="45" spans="1:55" ht="14.4" hidden="1" customHeight="1" x14ac:dyDescent="0.3">
      <c r="A45" s="1245"/>
      <c r="R45" s="1244"/>
      <c r="S45" s="1244"/>
      <c r="T45" s="1248"/>
      <c r="U45" s="1248"/>
      <c r="V45" s="1248"/>
      <c r="W45" s="1248"/>
      <c r="X45" s="1248"/>
      <c r="Y45" s="1255"/>
      <c r="Z45" s="1255"/>
      <c r="AA45" s="1255"/>
      <c r="AB45" s="1255"/>
      <c r="AC45" s="1255"/>
      <c r="AD45" s="1255"/>
      <c r="AE45" s="1255"/>
      <c r="AF45" s="1255"/>
      <c r="AG45" s="1255"/>
      <c r="AH45" s="1255"/>
      <c r="AI45" s="1255"/>
      <c r="AJ45" s="1255"/>
      <c r="AK45" s="1255"/>
      <c r="AL45" s="1255"/>
      <c r="AM45" s="1251"/>
    </row>
    <row r="46" spans="1:55" ht="14.4" hidden="1" customHeight="1" x14ac:dyDescent="0.3">
      <c r="R46" s="1244"/>
      <c r="S46" s="1244"/>
      <c r="T46" s="1248"/>
      <c r="U46" s="1248"/>
      <c r="V46" s="1248"/>
      <c r="W46" s="1248"/>
      <c r="X46" s="1248"/>
      <c r="Y46" s="1255"/>
      <c r="Z46" s="1255"/>
      <c r="AA46" s="1255"/>
      <c r="AB46" s="1255"/>
      <c r="AC46" s="1255"/>
      <c r="AD46" s="1255"/>
      <c r="AE46" s="1255"/>
      <c r="AF46" s="1255"/>
      <c r="AG46" s="1255"/>
      <c r="AH46" s="1255"/>
      <c r="AI46" s="1255"/>
      <c r="AJ46" s="1255"/>
      <c r="AK46" s="1255"/>
      <c r="AL46" s="1255"/>
      <c r="AM46" s="1251"/>
    </row>
    <row r="47" spans="1:55" ht="14.4" hidden="1" customHeight="1" x14ac:dyDescent="0.3">
      <c r="C47" s="1245"/>
      <c r="D47" s="1244"/>
      <c r="E47" s="1244"/>
      <c r="F47" s="1244"/>
      <c r="G47" s="1244"/>
      <c r="H47" s="1244"/>
      <c r="I47" s="1244"/>
      <c r="J47" s="1244"/>
      <c r="K47" s="1244"/>
      <c r="L47" s="1244"/>
      <c r="M47" s="1244"/>
      <c r="N47" s="1244"/>
      <c r="O47" s="1244"/>
      <c r="P47" s="1244"/>
      <c r="Q47" s="1244"/>
      <c r="R47" s="1244"/>
      <c r="S47" s="1244"/>
      <c r="T47" s="1248"/>
      <c r="U47" s="1248"/>
      <c r="V47" s="1248"/>
      <c r="W47" s="1248"/>
      <c r="X47" s="1248"/>
      <c r="Y47" s="1255"/>
      <c r="Z47" s="1255"/>
      <c r="AA47" s="1255"/>
      <c r="AB47" s="1255"/>
      <c r="AC47" s="1255"/>
      <c r="AD47" s="1255"/>
      <c r="AE47" s="1255"/>
      <c r="AF47" s="1255"/>
      <c r="AG47" s="1255"/>
      <c r="AH47" s="1255"/>
      <c r="AI47" s="1255"/>
      <c r="AJ47" s="1255"/>
      <c r="AK47" s="1255"/>
      <c r="AL47" s="1255"/>
    </row>
    <row r="48" spans="1:55" ht="14.4" hidden="1" customHeight="1" x14ac:dyDescent="0.3">
      <c r="R48" s="1244"/>
      <c r="S48" s="1244"/>
      <c r="T48" s="1248"/>
      <c r="U48" s="1248"/>
      <c r="V48" s="1248"/>
      <c r="W48" s="1248"/>
      <c r="X48" s="1248"/>
      <c r="Y48" s="1255"/>
      <c r="Z48" s="1255"/>
      <c r="AA48" s="1255"/>
      <c r="AB48" s="1255"/>
      <c r="AC48" s="1255"/>
      <c r="AD48" s="1255"/>
      <c r="AE48" s="1255"/>
      <c r="AF48" s="1255"/>
      <c r="AG48" s="1255"/>
      <c r="AH48" s="1255"/>
      <c r="AI48" s="1255"/>
      <c r="AJ48" s="1255"/>
      <c r="AK48" s="1255"/>
      <c r="AL48" s="1255"/>
    </row>
    <row r="49" spans="3:38" ht="14.4" hidden="1" customHeight="1" x14ac:dyDescent="0.3">
      <c r="R49" s="1244"/>
      <c r="S49" s="1244"/>
      <c r="T49" s="1248"/>
      <c r="U49" s="1248"/>
      <c r="V49" s="1248"/>
      <c r="W49" s="1248"/>
      <c r="X49" s="1248"/>
      <c r="Y49" s="1255"/>
      <c r="Z49" s="1255"/>
      <c r="AA49" s="1255"/>
      <c r="AB49" s="1255"/>
      <c r="AC49" s="1255"/>
      <c r="AD49" s="1255"/>
      <c r="AE49" s="1255"/>
      <c r="AF49" s="1255"/>
      <c r="AG49" s="1255"/>
      <c r="AH49" s="1255"/>
      <c r="AI49" s="1255"/>
      <c r="AJ49" s="1255"/>
      <c r="AK49" s="1255"/>
      <c r="AL49" s="1255"/>
    </row>
    <row r="50" spans="3:38" ht="14.4" hidden="1" customHeight="1" x14ac:dyDescent="0.3">
      <c r="R50" s="1244"/>
      <c r="S50" s="1244"/>
      <c r="T50" s="1248"/>
      <c r="U50" s="1248"/>
      <c r="V50" s="1248"/>
      <c r="W50" s="1248"/>
      <c r="X50" s="1248"/>
      <c r="Y50" s="1255"/>
      <c r="Z50" s="1255"/>
      <c r="AA50" s="1255"/>
      <c r="AB50" s="1255"/>
      <c r="AC50" s="1255"/>
      <c r="AD50" s="1255"/>
      <c r="AE50" s="1255"/>
      <c r="AF50" s="1255"/>
      <c r="AG50" s="1255"/>
      <c r="AH50" s="1255"/>
      <c r="AI50" s="1255"/>
      <c r="AJ50" s="1255"/>
      <c r="AK50" s="1255"/>
      <c r="AL50" s="1255"/>
    </row>
    <row r="51" spans="3:38" ht="14.4" hidden="1" customHeight="1" x14ac:dyDescent="0.3">
      <c r="R51" s="1244"/>
      <c r="S51" s="1244"/>
      <c r="T51" s="1248"/>
      <c r="U51" s="1248"/>
      <c r="V51" s="1248"/>
      <c r="W51" s="1248"/>
      <c r="X51" s="1248"/>
      <c r="Y51" s="1255"/>
      <c r="Z51" s="1255"/>
      <c r="AA51" s="1255"/>
      <c r="AB51" s="1255"/>
      <c r="AC51" s="1255"/>
      <c r="AD51" s="1255"/>
      <c r="AE51" s="1255"/>
      <c r="AF51" s="1255"/>
      <c r="AG51" s="1255"/>
      <c r="AH51" s="1255"/>
      <c r="AI51" s="1255"/>
      <c r="AJ51" s="1255"/>
      <c r="AK51" s="1255"/>
      <c r="AL51" s="1255"/>
    </row>
    <row r="52" spans="3:38" ht="14.4" hidden="1" customHeight="1" x14ac:dyDescent="0.3">
      <c r="R52" s="1244"/>
      <c r="S52" s="1244"/>
      <c r="T52" s="1248"/>
      <c r="U52" s="1248"/>
      <c r="V52" s="1248"/>
      <c r="W52" s="1248"/>
      <c r="X52" s="1248"/>
      <c r="Y52" s="1255"/>
      <c r="Z52" s="1255"/>
      <c r="AA52" s="1255"/>
      <c r="AB52" s="1255"/>
      <c r="AC52" s="1255"/>
      <c r="AD52" s="1255"/>
      <c r="AE52" s="1255"/>
      <c r="AF52" s="1255"/>
      <c r="AG52" s="1255"/>
      <c r="AH52" s="1255"/>
      <c r="AI52" s="1255"/>
      <c r="AJ52" s="1255"/>
      <c r="AK52" s="1255"/>
      <c r="AL52" s="1255"/>
    </row>
    <row r="53" spans="3:38" ht="14.4" hidden="1" customHeight="1" x14ac:dyDescent="0.3">
      <c r="R53" s="1244"/>
      <c r="S53" s="1244"/>
      <c r="T53" s="1248"/>
      <c r="U53" s="1248"/>
      <c r="V53" s="1248"/>
      <c r="W53" s="1248"/>
      <c r="X53" s="1248"/>
      <c r="Y53" s="1255"/>
      <c r="Z53" s="1255"/>
      <c r="AA53" s="1255"/>
      <c r="AB53" s="1255"/>
      <c r="AC53" s="1255"/>
      <c r="AD53" s="1255"/>
      <c r="AE53" s="1255"/>
      <c r="AF53" s="1255"/>
      <c r="AG53" s="1255"/>
      <c r="AH53" s="1255"/>
      <c r="AI53" s="1255"/>
      <c r="AJ53" s="1255"/>
      <c r="AK53" s="1255"/>
      <c r="AL53" s="1255"/>
    </row>
    <row r="54" spans="3:38" ht="14.4" hidden="1" customHeight="1" x14ac:dyDescent="0.3">
      <c r="R54" s="1244"/>
      <c r="S54" s="1244"/>
      <c r="T54" s="1248"/>
      <c r="U54" s="1248"/>
      <c r="V54" s="1248"/>
      <c r="W54" s="1248"/>
      <c r="X54" s="1248"/>
      <c r="Y54" s="1255"/>
      <c r="Z54" s="1255"/>
      <c r="AA54" s="1255"/>
      <c r="AB54" s="1255"/>
      <c r="AC54" s="1255"/>
      <c r="AD54" s="1255"/>
      <c r="AE54" s="1255"/>
      <c r="AF54" s="1255"/>
      <c r="AG54" s="1255"/>
      <c r="AH54" s="1255"/>
      <c r="AI54" s="1255"/>
      <c r="AJ54" s="1255"/>
      <c r="AK54" s="1255"/>
      <c r="AL54" s="1255"/>
    </row>
    <row r="55" spans="3:38" ht="14.4" hidden="1" customHeight="1" x14ac:dyDescent="0.3">
      <c r="R55" s="1244"/>
      <c r="S55" s="1244"/>
      <c r="T55" s="1248"/>
      <c r="U55" s="1248"/>
      <c r="V55" s="1248"/>
      <c r="W55" s="1248"/>
      <c r="X55" s="1248"/>
      <c r="Y55" s="1255"/>
      <c r="Z55" s="1255"/>
      <c r="AA55" s="1255"/>
      <c r="AB55" s="1255"/>
      <c r="AC55" s="1255"/>
      <c r="AD55" s="1255"/>
      <c r="AE55" s="1255"/>
      <c r="AF55" s="1255"/>
      <c r="AG55" s="1255"/>
      <c r="AH55" s="1255"/>
      <c r="AI55" s="1255"/>
      <c r="AJ55" s="1255"/>
      <c r="AK55" s="1255"/>
      <c r="AL55" s="1255"/>
    </row>
    <row r="56" spans="3:38" ht="14.4" hidden="1" customHeight="1" x14ac:dyDescent="0.3">
      <c r="R56" s="1244"/>
      <c r="S56" s="1244"/>
      <c r="T56" s="1248"/>
      <c r="U56" s="1248"/>
      <c r="V56" s="1248"/>
      <c r="W56" s="1248"/>
      <c r="X56" s="1248"/>
      <c r="Y56" s="1255"/>
      <c r="Z56" s="1255"/>
      <c r="AA56" s="1255"/>
      <c r="AB56" s="1255"/>
      <c r="AC56" s="1255"/>
      <c r="AD56" s="1255"/>
      <c r="AE56" s="1255"/>
      <c r="AF56" s="1255"/>
      <c r="AG56" s="1255"/>
      <c r="AH56" s="1255"/>
      <c r="AI56" s="1255"/>
      <c r="AJ56" s="1255"/>
      <c r="AK56" s="1255"/>
      <c r="AL56" s="1255"/>
    </row>
    <row r="57" spans="3:38" ht="14.4" hidden="1" customHeight="1" x14ac:dyDescent="0.3">
      <c r="R57" s="1244"/>
      <c r="S57" s="1244"/>
      <c r="T57" s="1248"/>
      <c r="U57" s="1248"/>
      <c r="V57" s="1248"/>
      <c r="W57" s="1248"/>
      <c r="X57" s="1248"/>
      <c r="Y57" s="1255"/>
      <c r="Z57" s="1255"/>
      <c r="AA57" s="1255"/>
      <c r="AB57" s="1255"/>
      <c r="AC57" s="1255"/>
      <c r="AD57" s="1255"/>
      <c r="AE57" s="1255"/>
      <c r="AF57" s="1255"/>
      <c r="AG57" s="1255"/>
      <c r="AH57" s="1255"/>
      <c r="AI57" s="1255"/>
      <c r="AJ57" s="1255"/>
      <c r="AK57" s="1255"/>
      <c r="AL57" s="1255"/>
    </row>
    <row r="58" spans="3:38" ht="14.4" hidden="1" customHeight="1" x14ac:dyDescent="0.3">
      <c r="R58" s="1244"/>
      <c r="S58" s="1244"/>
      <c r="T58" s="1248"/>
      <c r="U58" s="1248"/>
      <c r="V58" s="1248"/>
      <c r="W58" s="1248"/>
      <c r="X58" s="1248"/>
      <c r="Y58" s="1255"/>
      <c r="Z58" s="1255"/>
      <c r="AA58" s="1255"/>
      <c r="AB58" s="1255"/>
      <c r="AC58" s="1255"/>
      <c r="AD58" s="1255"/>
      <c r="AE58" s="1255"/>
      <c r="AF58" s="1255"/>
      <c r="AG58" s="1255"/>
      <c r="AH58" s="1255"/>
      <c r="AI58" s="1255"/>
      <c r="AJ58" s="1255"/>
      <c r="AK58" s="1255"/>
      <c r="AL58" s="1255"/>
    </row>
    <row r="59" spans="3:38" ht="14.4" hidden="1" customHeight="1" x14ac:dyDescent="0.3">
      <c r="R59" s="1244"/>
      <c r="S59" s="1244"/>
      <c r="T59" s="1248"/>
      <c r="U59" s="1248"/>
      <c r="V59" s="1248"/>
      <c r="W59" s="1248"/>
      <c r="X59" s="1248"/>
      <c r="Y59" s="1255"/>
      <c r="Z59" s="1255"/>
      <c r="AA59" s="1255"/>
      <c r="AB59" s="1255"/>
      <c r="AC59" s="1255"/>
      <c r="AD59" s="1255"/>
      <c r="AE59" s="1255"/>
      <c r="AF59" s="1255"/>
      <c r="AG59" s="1255"/>
      <c r="AH59" s="1255"/>
      <c r="AI59" s="1255"/>
      <c r="AJ59" s="1255"/>
      <c r="AK59" s="1255"/>
      <c r="AL59" s="1255"/>
    </row>
    <row r="60" spans="3:38" ht="14.4" hidden="1" customHeight="1" x14ac:dyDescent="0.3">
      <c r="R60" s="1244"/>
      <c r="S60" s="1244"/>
      <c r="T60" s="1248"/>
      <c r="U60" s="1248"/>
      <c r="V60" s="1248"/>
      <c r="W60" s="1248"/>
      <c r="X60" s="1248"/>
      <c r="Y60" s="1255"/>
      <c r="Z60" s="1255"/>
      <c r="AA60" s="1255"/>
      <c r="AB60" s="1255"/>
      <c r="AC60" s="1255"/>
      <c r="AD60" s="1255"/>
      <c r="AE60" s="1255"/>
      <c r="AF60" s="1255"/>
      <c r="AG60" s="1255"/>
      <c r="AH60" s="1255"/>
      <c r="AI60" s="1255"/>
      <c r="AJ60" s="1255"/>
      <c r="AK60" s="1255"/>
      <c r="AL60" s="1255"/>
    </row>
    <row r="61" spans="3:38" ht="14.4" hidden="1" customHeight="1" x14ac:dyDescent="0.3">
      <c r="R61" s="1244"/>
      <c r="S61" s="1244"/>
      <c r="T61" s="1248"/>
      <c r="U61" s="1248"/>
      <c r="V61" s="1248"/>
      <c r="W61" s="1248"/>
      <c r="X61" s="1248"/>
      <c r="Y61" s="1255"/>
      <c r="Z61" s="1255"/>
      <c r="AA61" s="1255"/>
      <c r="AB61" s="1255"/>
      <c r="AC61" s="1255"/>
      <c r="AD61" s="1255"/>
      <c r="AE61" s="1255"/>
      <c r="AF61" s="1255"/>
      <c r="AG61" s="1255"/>
      <c r="AH61" s="1255"/>
      <c r="AI61" s="1255"/>
      <c r="AJ61" s="1255"/>
      <c r="AK61" s="1255"/>
      <c r="AL61" s="1255"/>
    </row>
    <row r="62" spans="3:38" ht="14.4" hidden="1" customHeight="1" x14ac:dyDescent="0.3">
      <c r="R62" s="1244"/>
      <c r="S62" s="1244"/>
      <c r="T62" s="1248"/>
      <c r="U62" s="1248"/>
      <c r="V62" s="1248"/>
      <c r="W62" s="1248"/>
      <c r="X62" s="1248"/>
      <c r="Y62" s="1255"/>
      <c r="Z62" s="1255"/>
      <c r="AA62" s="1255"/>
      <c r="AB62" s="1255"/>
      <c r="AC62" s="1255"/>
      <c r="AD62" s="1255"/>
      <c r="AE62" s="1255"/>
      <c r="AF62" s="1255"/>
      <c r="AG62" s="1255"/>
      <c r="AH62" s="1255"/>
      <c r="AI62" s="1255"/>
      <c r="AJ62" s="1255"/>
      <c r="AK62" s="1255"/>
      <c r="AL62" s="1255"/>
    </row>
    <row r="63" spans="3:38" ht="14.4" hidden="1" customHeight="1" x14ac:dyDescent="0.3">
      <c r="C63" s="1245"/>
      <c r="D63" s="1244"/>
      <c r="E63" s="1244"/>
      <c r="F63" s="1244"/>
      <c r="G63" s="1244"/>
      <c r="H63" s="1244"/>
      <c r="I63" s="1244"/>
      <c r="J63" s="1244"/>
      <c r="K63" s="1244"/>
      <c r="L63" s="1244"/>
      <c r="M63" s="1244"/>
      <c r="N63" s="1244"/>
      <c r="O63" s="1244"/>
      <c r="P63" s="1244"/>
      <c r="Q63" s="1244"/>
      <c r="R63" s="1244"/>
      <c r="S63" s="1244"/>
      <c r="T63" s="1248"/>
      <c r="U63" s="1248"/>
      <c r="V63" s="1248"/>
      <c r="W63" s="1248"/>
      <c r="X63" s="1248"/>
      <c r="Y63" s="1255"/>
      <c r="Z63" s="1255"/>
      <c r="AA63" s="1255"/>
      <c r="AB63" s="1255"/>
      <c r="AC63" s="1255"/>
      <c r="AD63" s="1255"/>
      <c r="AE63" s="1255"/>
      <c r="AF63" s="1255"/>
      <c r="AG63" s="1255"/>
      <c r="AH63" s="1255"/>
      <c r="AI63" s="1255"/>
      <c r="AJ63" s="1255"/>
      <c r="AK63" s="1255"/>
      <c r="AL63" s="1255"/>
    </row>
    <row r="64" spans="3:38" ht="14.4" hidden="1" customHeight="1" x14ac:dyDescent="0.3">
      <c r="C64" s="1245"/>
      <c r="D64" s="1244"/>
      <c r="E64" s="1244"/>
      <c r="F64" s="1244"/>
      <c r="G64" s="1244"/>
      <c r="H64" s="1244"/>
      <c r="I64" s="1244"/>
      <c r="J64" s="1244"/>
      <c r="K64" s="1244"/>
      <c r="L64" s="1244"/>
      <c r="M64" s="1244"/>
      <c r="N64" s="1244"/>
      <c r="O64" s="1244"/>
      <c r="P64" s="1244"/>
      <c r="Q64" s="1244"/>
      <c r="R64" s="1244"/>
      <c r="S64" s="1244"/>
      <c r="T64" s="1248"/>
      <c r="U64" s="1248"/>
      <c r="V64" s="1248"/>
      <c r="W64" s="1248"/>
      <c r="X64" s="1248"/>
      <c r="Y64" s="1255"/>
      <c r="Z64" s="1255"/>
      <c r="AA64" s="1255"/>
      <c r="AB64" s="1255"/>
      <c r="AC64" s="1255"/>
      <c r="AD64" s="1255"/>
      <c r="AE64" s="1255"/>
      <c r="AF64" s="1255"/>
      <c r="AG64" s="1255"/>
      <c r="AH64" s="1255"/>
      <c r="AI64" s="1255"/>
      <c r="AJ64" s="1255"/>
      <c r="AK64" s="1255"/>
      <c r="AL64" s="1255"/>
    </row>
    <row r="65" spans="3:38" ht="14.4" hidden="1" customHeight="1" x14ac:dyDescent="0.3">
      <c r="C65" s="1245"/>
      <c r="D65" s="1244"/>
      <c r="E65" s="1244"/>
      <c r="F65" s="1244"/>
      <c r="G65" s="1244"/>
      <c r="H65" s="1244"/>
      <c r="I65" s="1244"/>
      <c r="J65" s="1244"/>
      <c r="K65" s="1244"/>
      <c r="L65" s="1244"/>
      <c r="M65" s="1244"/>
      <c r="N65" s="1244"/>
      <c r="O65" s="1244"/>
      <c r="P65" s="1244"/>
      <c r="Q65" s="1244"/>
      <c r="R65" s="1244"/>
      <c r="S65" s="1244"/>
      <c r="T65" s="1248"/>
      <c r="U65" s="1248"/>
      <c r="V65" s="1248"/>
      <c r="W65" s="1248"/>
      <c r="X65" s="1248"/>
      <c r="Y65" s="1255"/>
      <c r="Z65" s="1255"/>
      <c r="AA65" s="1255"/>
      <c r="AB65" s="1255"/>
      <c r="AC65" s="1255"/>
      <c r="AD65" s="1255"/>
      <c r="AE65" s="1255"/>
      <c r="AF65" s="1255"/>
      <c r="AG65" s="1255"/>
      <c r="AH65" s="1255"/>
      <c r="AI65" s="1255"/>
      <c r="AJ65" s="1255"/>
      <c r="AK65" s="1255"/>
      <c r="AL65" s="1255"/>
    </row>
    <row r="66" spans="3:38" ht="14.4" hidden="1" customHeight="1" x14ac:dyDescent="0.3">
      <c r="C66" s="1245"/>
      <c r="D66" s="1244"/>
      <c r="E66" s="1244"/>
      <c r="F66" s="1244"/>
      <c r="G66" s="1244"/>
      <c r="H66" s="1244"/>
      <c r="I66" s="1244"/>
      <c r="J66" s="1244"/>
      <c r="K66" s="1244"/>
      <c r="L66" s="1244"/>
      <c r="M66" s="1244"/>
      <c r="N66" s="1244"/>
      <c r="O66" s="1244"/>
      <c r="P66" s="1244"/>
      <c r="Q66" s="1244"/>
      <c r="R66" s="1244"/>
      <c r="S66" s="1244"/>
      <c r="T66" s="1248"/>
      <c r="U66" s="1248"/>
      <c r="V66" s="1248"/>
      <c r="W66" s="1248"/>
      <c r="X66" s="1248"/>
      <c r="Y66" s="1255"/>
      <c r="Z66" s="1255"/>
      <c r="AA66" s="1255"/>
      <c r="AB66" s="1255"/>
      <c r="AC66" s="1255"/>
      <c r="AD66" s="1255"/>
      <c r="AE66" s="1255"/>
      <c r="AF66" s="1255"/>
      <c r="AG66" s="1255"/>
      <c r="AH66" s="1255"/>
      <c r="AI66" s="1255"/>
      <c r="AJ66" s="1255"/>
      <c r="AK66" s="1255"/>
      <c r="AL66" s="1255"/>
    </row>
    <row r="67" spans="3:38" ht="14.4" hidden="1" customHeight="1" x14ac:dyDescent="0.3">
      <c r="C67" s="1245"/>
      <c r="D67" s="1244"/>
      <c r="E67" s="1244"/>
      <c r="F67" s="1244"/>
      <c r="G67" s="1244"/>
      <c r="H67" s="1244"/>
      <c r="I67" s="1244"/>
      <c r="J67" s="1244"/>
      <c r="K67" s="1244"/>
      <c r="L67" s="1244"/>
      <c r="M67" s="1244"/>
      <c r="N67" s="1244"/>
      <c r="O67" s="1244"/>
      <c r="P67" s="1244"/>
      <c r="Q67" s="1244"/>
      <c r="R67" s="1244"/>
      <c r="S67" s="1244"/>
      <c r="T67" s="1248"/>
      <c r="U67" s="1248"/>
      <c r="V67" s="1248"/>
      <c r="W67" s="1248"/>
      <c r="X67" s="1248"/>
      <c r="Y67" s="1255"/>
      <c r="Z67" s="1255"/>
      <c r="AA67" s="1255"/>
      <c r="AB67" s="1255"/>
      <c r="AC67" s="1255"/>
      <c r="AD67" s="1255"/>
      <c r="AE67" s="1255"/>
      <c r="AF67" s="1255"/>
      <c r="AG67" s="1255"/>
      <c r="AH67" s="1255"/>
      <c r="AI67" s="1255"/>
      <c r="AJ67" s="1255"/>
      <c r="AK67" s="1255"/>
      <c r="AL67" s="1255"/>
    </row>
    <row r="68" spans="3:38" ht="14.4" hidden="1" customHeight="1" x14ac:dyDescent="0.3">
      <c r="C68" s="1245"/>
      <c r="D68" s="1244"/>
      <c r="E68" s="1244"/>
      <c r="F68" s="1244"/>
      <c r="G68" s="1244"/>
      <c r="H68" s="1244"/>
      <c r="I68" s="1244"/>
      <c r="J68" s="1244"/>
      <c r="K68" s="1244"/>
      <c r="L68" s="1244"/>
      <c r="M68" s="1244"/>
      <c r="N68" s="1244"/>
      <c r="O68" s="1244"/>
      <c r="P68" s="1244"/>
      <c r="Q68" s="1244"/>
      <c r="R68" s="1244"/>
      <c r="S68" s="1244"/>
      <c r="T68" s="1248"/>
      <c r="U68" s="1248"/>
      <c r="V68" s="1248"/>
      <c r="W68" s="1248"/>
      <c r="X68" s="1248"/>
      <c r="Y68" s="1255"/>
      <c r="Z68" s="1255"/>
      <c r="AA68" s="1255"/>
      <c r="AB68" s="1255"/>
      <c r="AC68" s="1255"/>
      <c r="AD68" s="1255"/>
      <c r="AE68" s="1255"/>
      <c r="AF68" s="1255"/>
      <c r="AG68" s="1255"/>
      <c r="AH68" s="1255"/>
      <c r="AI68" s="1255"/>
      <c r="AJ68" s="1255"/>
      <c r="AK68" s="1255"/>
      <c r="AL68" s="1255"/>
    </row>
    <row r="69" spans="3:38" ht="14.4" hidden="1" customHeight="1" x14ac:dyDescent="0.3">
      <c r="C69" s="1245"/>
      <c r="D69" s="1244"/>
      <c r="E69" s="1244"/>
      <c r="F69" s="1244"/>
      <c r="G69" s="1244"/>
      <c r="H69" s="1244"/>
      <c r="I69" s="1244"/>
      <c r="J69" s="1244"/>
      <c r="K69" s="1244"/>
      <c r="L69" s="1244"/>
      <c r="M69" s="1244"/>
      <c r="N69" s="1244"/>
      <c r="O69" s="1244"/>
      <c r="P69" s="1244"/>
      <c r="Q69" s="1244"/>
      <c r="R69" s="1244"/>
      <c r="S69" s="1244"/>
      <c r="T69" s="1248"/>
      <c r="U69" s="1248"/>
      <c r="V69" s="1248"/>
      <c r="W69" s="1248"/>
      <c r="X69" s="1248"/>
      <c r="Y69" s="1255"/>
      <c r="Z69" s="1255"/>
      <c r="AA69" s="1255"/>
      <c r="AB69" s="1255"/>
      <c r="AC69" s="1255"/>
      <c r="AD69" s="1255"/>
      <c r="AE69" s="1255"/>
      <c r="AF69" s="1255"/>
      <c r="AG69" s="1255"/>
      <c r="AH69" s="1255"/>
      <c r="AI69" s="1255"/>
      <c r="AJ69" s="1255"/>
      <c r="AK69" s="1255"/>
      <c r="AL69" s="1255"/>
    </row>
    <row r="70" spans="3:38" ht="14.4" hidden="1" customHeight="1" x14ac:dyDescent="0.3">
      <c r="C70" s="1245"/>
      <c r="D70" s="1244"/>
      <c r="E70" s="1244"/>
      <c r="F70" s="1244"/>
      <c r="G70" s="1244"/>
      <c r="H70" s="1244"/>
      <c r="I70" s="1244"/>
      <c r="J70" s="1244"/>
      <c r="K70" s="1244"/>
      <c r="L70" s="1244"/>
      <c r="M70" s="1244"/>
      <c r="N70" s="1244"/>
      <c r="O70" s="1244"/>
      <c r="P70" s="1244"/>
      <c r="Q70" s="1244"/>
      <c r="R70" s="1244"/>
      <c r="S70" s="1244"/>
      <c r="T70" s="1248"/>
      <c r="U70" s="1248"/>
      <c r="V70" s="1248"/>
      <c r="W70" s="1248"/>
      <c r="X70" s="1248"/>
      <c r="Y70" s="1255"/>
      <c r="Z70" s="1255"/>
      <c r="AA70" s="1255"/>
      <c r="AB70" s="1255"/>
      <c r="AC70" s="1255"/>
      <c r="AD70" s="1255"/>
      <c r="AE70" s="1255"/>
      <c r="AF70" s="1255"/>
      <c r="AG70" s="1255"/>
      <c r="AH70" s="1255"/>
      <c r="AI70" s="1255"/>
      <c r="AJ70" s="1255"/>
      <c r="AK70" s="1255"/>
      <c r="AL70" s="1255"/>
    </row>
    <row r="71" spans="3:38" ht="14.4" hidden="1" customHeight="1" x14ac:dyDescent="0.3">
      <c r="C71" s="1245"/>
      <c r="D71" s="1244"/>
      <c r="E71" s="1244"/>
      <c r="F71" s="1244"/>
      <c r="G71" s="1244"/>
      <c r="H71" s="1244"/>
      <c r="I71" s="1244"/>
      <c r="J71" s="1244"/>
      <c r="K71" s="1244"/>
      <c r="L71" s="1244"/>
      <c r="M71" s="1244"/>
      <c r="N71" s="1244"/>
      <c r="O71" s="1244"/>
      <c r="P71" s="1244"/>
      <c r="Q71" s="1244"/>
      <c r="R71" s="1244"/>
      <c r="S71" s="1244"/>
      <c r="T71" s="1248"/>
      <c r="U71" s="1248"/>
      <c r="V71" s="1248"/>
      <c r="W71" s="1248"/>
      <c r="X71" s="1248"/>
      <c r="Y71" s="1255"/>
      <c r="Z71" s="1255"/>
      <c r="AA71" s="1255"/>
      <c r="AB71" s="1255"/>
      <c r="AC71" s="1255"/>
      <c r="AD71" s="1255"/>
      <c r="AE71" s="1255"/>
      <c r="AF71" s="1255"/>
      <c r="AG71" s="1255"/>
      <c r="AH71" s="1255"/>
      <c r="AI71" s="1255"/>
      <c r="AJ71" s="1255"/>
      <c r="AK71" s="1255"/>
      <c r="AL71" s="1255"/>
    </row>
    <row r="72" spans="3:38" ht="14.4" hidden="1" customHeight="1" x14ac:dyDescent="0.3">
      <c r="C72" s="1245"/>
      <c r="D72" s="1244"/>
      <c r="E72" s="1244"/>
      <c r="F72" s="1244"/>
      <c r="G72" s="1244"/>
      <c r="H72" s="1244"/>
      <c r="I72" s="1244"/>
      <c r="J72" s="1244"/>
      <c r="K72" s="1244"/>
      <c r="L72" s="1244"/>
      <c r="M72" s="1244"/>
      <c r="N72" s="1244"/>
      <c r="O72" s="1244"/>
      <c r="P72" s="1244"/>
      <c r="Q72" s="1244"/>
      <c r="R72" s="1244"/>
      <c r="S72" s="1244"/>
      <c r="T72" s="1248"/>
      <c r="U72" s="1248"/>
      <c r="V72" s="1248"/>
      <c r="W72" s="1248"/>
      <c r="X72" s="1248"/>
      <c r="Y72" s="1255"/>
      <c r="Z72" s="1255"/>
      <c r="AA72" s="1255"/>
      <c r="AB72" s="1255"/>
      <c r="AC72" s="1255"/>
      <c r="AD72" s="1255"/>
      <c r="AE72" s="1255"/>
      <c r="AF72" s="1255"/>
      <c r="AG72" s="1255"/>
      <c r="AH72" s="1255"/>
      <c r="AI72" s="1255"/>
      <c r="AJ72" s="1255"/>
      <c r="AK72" s="1255"/>
      <c r="AL72" s="1255"/>
    </row>
    <row r="73" spans="3:38" ht="14.4" hidden="1" customHeight="1" x14ac:dyDescent="0.3">
      <c r="C73" s="1245"/>
      <c r="D73" s="1244"/>
      <c r="E73" s="1244"/>
      <c r="F73" s="1244"/>
      <c r="G73" s="1244"/>
      <c r="H73" s="1244"/>
      <c r="I73" s="1244"/>
      <c r="J73" s="1244"/>
      <c r="K73" s="1244"/>
      <c r="L73" s="1244"/>
      <c r="M73" s="1244"/>
      <c r="N73" s="1244"/>
      <c r="O73" s="1244"/>
      <c r="P73" s="1244"/>
      <c r="Q73" s="1244"/>
      <c r="R73" s="1244"/>
      <c r="S73" s="1244"/>
      <c r="T73" s="1248"/>
      <c r="U73" s="1248"/>
      <c r="V73" s="1248"/>
      <c r="W73" s="1248"/>
      <c r="X73" s="1248"/>
      <c r="Y73" s="1255"/>
      <c r="Z73" s="1255"/>
      <c r="AA73" s="1255"/>
      <c r="AB73" s="1255"/>
      <c r="AC73" s="1255"/>
      <c r="AD73" s="1255"/>
      <c r="AE73" s="1255"/>
      <c r="AF73" s="1255"/>
      <c r="AG73" s="1255"/>
      <c r="AH73" s="1255"/>
      <c r="AI73" s="1255"/>
      <c r="AJ73" s="1255"/>
      <c r="AK73" s="1255"/>
      <c r="AL73" s="1255"/>
    </row>
    <row r="74" spans="3:38" ht="14.4" hidden="1" customHeight="1" x14ac:dyDescent="0.3">
      <c r="C74" s="1245"/>
      <c r="D74" s="1244"/>
      <c r="E74" s="1244"/>
      <c r="F74" s="1244"/>
      <c r="G74" s="1244"/>
      <c r="H74" s="1244"/>
      <c r="I74" s="1244"/>
      <c r="J74" s="1244"/>
      <c r="K74" s="1244"/>
      <c r="L74" s="1244"/>
      <c r="M74" s="1244"/>
      <c r="N74" s="1244"/>
      <c r="O74" s="1244"/>
      <c r="P74" s="1244"/>
      <c r="Q74" s="1244"/>
      <c r="R74" s="1244"/>
      <c r="S74" s="1244"/>
      <c r="T74" s="1248"/>
      <c r="U74" s="1248"/>
      <c r="V74" s="1248"/>
      <c r="W74" s="1248"/>
      <c r="X74" s="1248"/>
      <c r="Y74" s="1255"/>
      <c r="Z74" s="1255"/>
      <c r="AA74" s="1255"/>
      <c r="AB74" s="1255"/>
      <c r="AC74" s="1255"/>
      <c r="AD74" s="1255"/>
      <c r="AE74" s="1255"/>
      <c r="AF74" s="1255"/>
      <c r="AG74" s="1255"/>
      <c r="AH74" s="1255"/>
      <c r="AI74" s="1255"/>
      <c r="AJ74" s="1255"/>
      <c r="AK74" s="1255"/>
      <c r="AL74" s="1255"/>
    </row>
    <row r="75" spans="3:38" ht="14.4" hidden="1" customHeight="1" x14ac:dyDescent="0.3">
      <c r="C75" s="1245"/>
      <c r="D75" s="1244"/>
      <c r="E75" s="1244"/>
      <c r="F75" s="1244"/>
      <c r="G75" s="1244"/>
      <c r="H75" s="1244"/>
      <c r="I75" s="1244"/>
      <c r="J75" s="1244"/>
      <c r="K75" s="1244"/>
      <c r="L75" s="1244"/>
      <c r="M75" s="1244"/>
      <c r="N75" s="1244"/>
      <c r="O75" s="1244"/>
      <c r="P75" s="1244"/>
      <c r="Q75" s="1244"/>
      <c r="R75" s="1244"/>
      <c r="S75" s="1244"/>
      <c r="T75" s="1248"/>
      <c r="U75" s="1248"/>
      <c r="V75" s="1248"/>
      <c r="W75" s="1248"/>
      <c r="X75" s="1248"/>
      <c r="Y75" s="1255"/>
      <c r="Z75" s="1255"/>
      <c r="AA75" s="1255"/>
      <c r="AB75" s="1255"/>
      <c r="AC75" s="1255"/>
      <c r="AD75" s="1255"/>
      <c r="AE75" s="1255"/>
      <c r="AF75" s="1255"/>
      <c r="AG75" s="1255"/>
      <c r="AH75" s="1255"/>
      <c r="AI75" s="1255"/>
      <c r="AJ75" s="1255"/>
      <c r="AK75" s="1255"/>
      <c r="AL75" s="1255"/>
    </row>
    <row r="76" spans="3:38" ht="14.4" hidden="1" customHeight="1" x14ac:dyDescent="0.3">
      <c r="C76" s="1245"/>
      <c r="D76" s="1244"/>
      <c r="E76" s="1244"/>
      <c r="F76" s="1244"/>
      <c r="G76" s="1244"/>
      <c r="H76" s="1244"/>
      <c r="I76" s="1244"/>
      <c r="J76" s="1244"/>
      <c r="K76" s="1244"/>
      <c r="L76" s="1244"/>
      <c r="M76" s="1244"/>
      <c r="N76" s="1244"/>
      <c r="O76" s="1244"/>
      <c r="P76" s="1244"/>
      <c r="Q76" s="1244"/>
      <c r="R76" s="1244"/>
      <c r="S76" s="1244"/>
      <c r="T76" s="1248"/>
      <c r="U76" s="1248"/>
      <c r="V76" s="1248"/>
      <c r="W76" s="1248"/>
      <c r="X76" s="1248"/>
      <c r="Y76" s="1255"/>
      <c r="Z76" s="1255"/>
      <c r="AA76" s="1255"/>
      <c r="AB76" s="1255"/>
      <c r="AC76" s="1255"/>
      <c r="AD76" s="1255"/>
      <c r="AE76" s="1255"/>
      <c r="AF76" s="1255"/>
      <c r="AG76" s="1255"/>
      <c r="AH76" s="1255"/>
      <c r="AI76" s="1255"/>
      <c r="AJ76" s="1255"/>
      <c r="AK76" s="1255"/>
      <c r="AL76" s="1255"/>
    </row>
    <row r="77" spans="3:38" ht="14.4" hidden="1" customHeight="1" x14ac:dyDescent="0.3">
      <c r="C77" s="1245"/>
      <c r="D77" s="1244"/>
      <c r="E77" s="1244"/>
      <c r="F77" s="1244"/>
      <c r="G77" s="1244"/>
      <c r="H77" s="1244"/>
      <c r="I77" s="1244"/>
      <c r="J77" s="1244"/>
      <c r="K77" s="1244"/>
      <c r="L77" s="1244"/>
      <c r="M77" s="1244"/>
      <c r="N77" s="1244"/>
      <c r="O77" s="1244"/>
      <c r="P77" s="1244"/>
      <c r="Q77" s="1244"/>
      <c r="R77" s="1244"/>
      <c r="S77" s="1244"/>
      <c r="T77" s="1248"/>
      <c r="U77" s="1248"/>
      <c r="V77" s="1248"/>
      <c r="W77" s="1248"/>
      <c r="X77" s="1248"/>
      <c r="Y77" s="1255"/>
      <c r="Z77" s="1255"/>
      <c r="AA77" s="1255"/>
      <c r="AB77" s="1255"/>
      <c r="AC77" s="1255"/>
      <c r="AD77" s="1255"/>
      <c r="AE77" s="1255"/>
      <c r="AF77" s="1255"/>
      <c r="AG77" s="1255"/>
      <c r="AH77" s="1255"/>
      <c r="AI77" s="1255"/>
      <c r="AJ77" s="1255"/>
      <c r="AK77" s="1255"/>
      <c r="AL77" s="1255"/>
    </row>
    <row r="78" spans="3:38" ht="14.4" hidden="1" customHeight="1" x14ac:dyDescent="0.3">
      <c r="C78" s="1245"/>
      <c r="D78" s="1244"/>
      <c r="E78" s="1244"/>
      <c r="F78" s="1244"/>
      <c r="G78" s="1244"/>
      <c r="H78" s="1244"/>
      <c r="I78" s="1244"/>
      <c r="J78" s="1244"/>
      <c r="K78" s="1244"/>
      <c r="L78" s="1244"/>
      <c r="M78" s="1244"/>
      <c r="N78" s="1244"/>
      <c r="O78" s="1244"/>
      <c r="P78" s="1244"/>
      <c r="Q78" s="1244"/>
      <c r="R78" s="1244"/>
      <c r="S78" s="1244"/>
      <c r="T78" s="1248"/>
      <c r="U78" s="1248"/>
      <c r="V78" s="1248"/>
      <c r="W78" s="1248"/>
      <c r="X78" s="1248"/>
      <c r="Y78" s="1255"/>
      <c r="Z78" s="1255"/>
      <c r="AA78" s="1255"/>
      <c r="AB78" s="1255"/>
      <c r="AC78" s="1255"/>
      <c r="AD78" s="1255"/>
      <c r="AE78" s="1255"/>
      <c r="AF78" s="1255"/>
      <c r="AG78" s="1255"/>
      <c r="AH78" s="1255"/>
      <c r="AI78" s="1255"/>
      <c r="AJ78" s="1255"/>
      <c r="AK78" s="1255"/>
      <c r="AL78" s="1255"/>
    </row>
    <row r="79" spans="3:38" ht="14.4" hidden="1" customHeight="1" x14ac:dyDescent="0.3">
      <c r="C79" s="1245"/>
      <c r="D79" s="1244"/>
      <c r="E79" s="1244"/>
      <c r="F79" s="1244"/>
      <c r="G79" s="1244"/>
      <c r="H79" s="1244"/>
      <c r="I79" s="1244"/>
      <c r="J79" s="1244"/>
      <c r="K79" s="1244"/>
      <c r="L79" s="1244"/>
      <c r="M79" s="1244"/>
      <c r="N79" s="1244"/>
      <c r="O79" s="1244"/>
      <c r="P79" s="1244"/>
      <c r="Q79" s="1244"/>
      <c r="R79" s="1244"/>
      <c r="S79" s="1244"/>
      <c r="T79" s="1248"/>
      <c r="U79" s="1248"/>
      <c r="V79" s="1248"/>
      <c r="W79" s="1248"/>
      <c r="X79" s="1248"/>
      <c r="Y79" s="1255"/>
      <c r="Z79" s="1255"/>
      <c r="AA79" s="1255"/>
      <c r="AB79" s="1255"/>
      <c r="AC79" s="1255"/>
      <c r="AD79" s="1255"/>
      <c r="AE79" s="1255"/>
      <c r="AF79" s="1255"/>
      <c r="AG79" s="1255"/>
      <c r="AH79" s="1255"/>
      <c r="AI79" s="1255"/>
      <c r="AJ79" s="1255"/>
      <c r="AK79" s="1255"/>
      <c r="AL79" s="1255"/>
    </row>
    <row r="80" spans="3:38" ht="14.4" hidden="1" customHeight="1" x14ac:dyDescent="0.3">
      <c r="C80" s="1245"/>
      <c r="D80" s="1244"/>
      <c r="E80" s="1244"/>
      <c r="F80" s="1244"/>
      <c r="G80" s="1244"/>
      <c r="H80" s="1244"/>
      <c r="I80" s="1244"/>
      <c r="J80" s="1244"/>
      <c r="K80" s="1244"/>
      <c r="L80" s="1244"/>
      <c r="M80" s="1244"/>
      <c r="N80" s="1244"/>
      <c r="O80" s="1244"/>
      <c r="P80" s="1244"/>
      <c r="Q80" s="1244"/>
      <c r="R80" s="1244"/>
      <c r="S80" s="1244"/>
      <c r="T80" s="1248"/>
      <c r="U80" s="1248"/>
      <c r="V80" s="1248"/>
      <c r="W80" s="1248"/>
      <c r="X80" s="1248"/>
      <c r="Y80" s="1255"/>
      <c r="Z80" s="1255"/>
      <c r="AA80" s="1255"/>
      <c r="AB80" s="1255"/>
      <c r="AC80" s="1255"/>
      <c r="AD80" s="1255"/>
      <c r="AE80" s="1255"/>
      <c r="AF80" s="1255"/>
      <c r="AG80" s="1255"/>
      <c r="AH80" s="1255"/>
      <c r="AI80" s="1255"/>
      <c r="AJ80" s="1255"/>
      <c r="AK80" s="1255"/>
      <c r="AL80" s="1255"/>
    </row>
    <row r="81" spans="3:38" ht="14.4" hidden="1" customHeight="1" x14ac:dyDescent="0.3">
      <c r="C81" s="1245"/>
      <c r="D81" s="1244"/>
      <c r="E81" s="1244"/>
      <c r="F81" s="1244"/>
      <c r="G81" s="1244"/>
      <c r="H81" s="1244"/>
      <c r="I81" s="1244"/>
      <c r="J81" s="1244"/>
      <c r="K81" s="1244"/>
      <c r="L81" s="1244"/>
      <c r="M81" s="1244"/>
      <c r="N81" s="1244"/>
      <c r="O81" s="1244"/>
      <c r="P81" s="1244"/>
      <c r="Q81" s="1244"/>
      <c r="R81" s="1244"/>
      <c r="S81" s="1244"/>
      <c r="T81" s="1248"/>
      <c r="U81" s="1248"/>
      <c r="V81" s="1248"/>
      <c r="W81" s="1248"/>
      <c r="X81" s="1248"/>
      <c r="Y81" s="1255"/>
      <c r="Z81" s="1255"/>
      <c r="AA81" s="1255"/>
      <c r="AB81" s="1255"/>
      <c r="AC81" s="1255"/>
      <c r="AD81" s="1255"/>
      <c r="AE81" s="1255"/>
      <c r="AF81" s="1255"/>
      <c r="AG81" s="1255"/>
      <c r="AH81" s="1255"/>
      <c r="AI81" s="1255"/>
      <c r="AJ81" s="1255"/>
      <c r="AK81" s="1255"/>
      <c r="AL81" s="1255"/>
    </row>
    <row r="82" spans="3:38" ht="14.4" hidden="1" customHeight="1" x14ac:dyDescent="0.3">
      <c r="C82" s="1245"/>
      <c r="D82" s="1244"/>
      <c r="E82" s="1244"/>
      <c r="F82" s="1244"/>
      <c r="G82" s="1244"/>
      <c r="H82" s="1244"/>
      <c r="I82" s="1244"/>
      <c r="J82" s="1244"/>
      <c r="K82" s="1244"/>
      <c r="L82" s="1244"/>
      <c r="M82" s="1244"/>
      <c r="N82" s="1244"/>
      <c r="O82" s="1244"/>
      <c r="P82" s="1244"/>
      <c r="Q82" s="1244"/>
      <c r="R82" s="1244"/>
      <c r="S82" s="1244"/>
      <c r="T82" s="1248"/>
      <c r="U82" s="1248"/>
      <c r="V82" s="1248"/>
      <c r="W82" s="1248"/>
      <c r="X82" s="1248"/>
      <c r="Y82" s="1255"/>
      <c r="Z82" s="1255"/>
      <c r="AA82" s="1255"/>
      <c r="AB82" s="1255"/>
      <c r="AC82" s="1255"/>
      <c r="AD82" s="1255"/>
      <c r="AE82" s="1255"/>
      <c r="AF82" s="1255"/>
      <c r="AG82" s="1255"/>
      <c r="AH82" s="1255"/>
      <c r="AI82" s="1255"/>
      <c r="AJ82" s="1255"/>
      <c r="AK82" s="1255"/>
      <c r="AL82" s="1255"/>
    </row>
    <row r="83" spans="3:38" ht="14.4" hidden="1" customHeight="1" x14ac:dyDescent="0.3">
      <c r="C83" s="1245"/>
      <c r="D83" s="1244"/>
      <c r="E83" s="1244"/>
      <c r="F83" s="1244"/>
      <c r="G83" s="1244"/>
      <c r="H83" s="1244"/>
      <c r="I83" s="1244"/>
      <c r="J83" s="1244"/>
      <c r="K83" s="1244"/>
      <c r="L83" s="1244"/>
      <c r="M83" s="1244"/>
      <c r="N83" s="1244"/>
      <c r="O83" s="1244"/>
      <c r="P83" s="1244"/>
      <c r="Q83" s="1244"/>
      <c r="R83" s="1244"/>
      <c r="S83" s="1244"/>
      <c r="T83" s="1248"/>
      <c r="U83" s="1248"/>
      <c r="V83" s="1248"/>
      <c r="W83" s="1248"/>
      <c r="X83" s="1248"/>
      <c r="Y83" s="1255"/>
      <c r="Z83" s="1255"/>
      <c r="AA83" s="1255"/>
      <c r="AB83" s="1255"/>
      <c r="AC83" s="1255"/>
      <c r="AD83" s="1255"/>
      <c r="AE83" s="1255"/>
      <c r="AF83" s="1255"/>
      <c r="AG83" s="1255"/>
      <c r="AH83" s="1255"/>
      <c r="AI83" s="1255"/>
      <c r="AJ83" s="1255"/>
      <c r="AK83" s="1255"/>
      <c r="AL83" s="1255"/>
    </row>
    <row r="84" spans="3:38" ht="14.4" hidden="1" customHeight="1" x14ac:dyDescent="0.3">
      <c r="C84" s="1245"/>
      <c r="D84" s="1244"/>
      <c r="E84" s="1244"/>
      <c r="F84" s="1244"/>
      <c r="G84" s="1244"/>
      <c r="H84" s="1244"/>
      <c r="I84" s="1244"/>
      <c r="J84" s="1244"/>
      <c r="K84" s="1244"/>
      <c r="L84" s="1244"/>
      <c r="M84" s="1244"/>
      <c r="N84" s="1244"/>
      <c r="O84" s="1244"/>
      <c r="P84" s="1244"/>
      <c r="Q84" s="1244"/>
      <c r="R84" s="1244"/>
      <c r="S84" s="1244"/>
      <c r="T84" s="1248"/>
      <c r="U84" s="1248"/>
      <c r="V84" s="1248"/>
      <c r="W84" s="1248"/>
      <c r="X84" s="1248"/>
      <c r="Y84" s="1255"/>
      <c r="Z84" s="1255"/>
      <c r="AA84" s="1255"/>
      <c r="AB84" s="1255"/>
      <c r="AC84" s="1255"/>
      <c r="AD84" s="1255"/>
      <c r="AE84" s="1255"/>
      <c r="AF84" s="1255"/>
      <c r="AG84" s="1255"/>
      <c r="AH84" s="1255"/>
      <c r="AI84" s="1255"/>
      <c r="AJ84" s="1255"/>
      <c r="AK84" s="1255"/>
      <c r="AL84" s="1255"/>
    </row>
    <row r="85" spans="3:38" ht="14.4" hidden="1" customHeight="1" x14ac:dyDescent="0.3">
      <c r="C85" s="1245"/>
      <c r="D85" s="1244"/>
      <c r="E85" s="1244"/>
      <c r="F85" s="1244"/>
      <c r="G85" s="1244"/>
      <c r="H85" s="1244"/>
      <c r="I85" s="1244"/>
      <c r="J85" s="1244"/>
      <c r="K85" s="1244"/>
      <c r="L85" s="1244"/>
      <c r="M85" s="1244"/>
      <c r="N85" s="1244"/>
      <c r="O85" s="1244"/>
      <c r="P85" s="1244"/>
      <c r="Q85" s="1244"/>
      <c r="R85" s="1244"/>
      <c r="S85" s="1244"/>
      <c r="T85" s="1248"/>
      <c r="U85" s="1248"/>
      <c r="V85" s="1248"/>
      <c r="W85" s="1248"/>
      <c r="X85" s="1248"/>
      <c r="Y85" s="1255"/>
      <c r="Z85" s="1255"/>
      <c r="AA85" s="1255"/>
      <c r="AB85" s="1255"/>
      <c r="AC85" s="1255"/>
      <c r="AD85" s="1255"/>
      <c r="AE85" s="1255"/>
      <c r="AF85" s="1255"/>
      <c r="AG85" s="1255"/>
      <c r="AH85" s="1255"/>
      <c r="AI85" s="1255"/>
      <c r="AJ85" s="1255"/>
      <c r="AK85" s="1255"/>
      <c r="AL85" s="1255"/>
    </row>
    <row r="86" spans="3:38" ht="14.4" hidden="1" customHeight="1" x14ac:dyDescent="0.3">
      <c r="C86" s="1245"/>
      <c r="D86" s="1244"/>
      <c r="E86" s="1244"/>
      <c r="F86" s="1244"/>
      <c r="G86" s="1244"/>
      <c r="H86" s="1244"/>
      <c r="I86" s="1244"/>
      <c r="J86" s="1244"/>
      <c r="K86" s="1244"/>
      <c r="L86" s="1244"/>
      <c r="M86" s="1244"/>
      <c r="N86" s="1244"/>
      <c r="O86" s="1244"/>
      <c r="P86" s="1244"/>
      <c r="Q86" s="1244"/>
      <c r="R86" s="1244"/>
      <c r="S86" s="1244"/>
      <c r="T86" s="1248"/>
      <c r="U86" s="1248"/>
      <c r="V86" s="1248"/>
      <c r="W86" s="1248"/>
      <c r="X86" s="1248"/>
      <c r="Y86" s="1255"/>
      <c r="Z86" s="1255"/>
      <c r="AA86" s="1255"/>
      <c r="AB86" s="1255"/>
      <c r="AC86" s="1255"/>
      <c r="AD86" s="1255"/>
      <c r="AE86" s="1255"/>
      <c r="AF86" s="1255"/>
      <c r="AG86" s="1255"/>
      <c r="AH86" s="1255"/>
      <c r="AI86" s="1255"/>
      <c r="AJ86" s="1255"/>
      <c r="AK86" s="1255"/>
      <c r="AL86" s="1255"/>
    </row>
    <row r="87" spans="3:38" ht="14.4" hidden="1" customHeight="1" x14ac:dyDescent="0.3">
      <c r="C87" s="1245"/>
      <c r="D87" s="1244"/>
      <c r="E87" s="1244"/>
      <c r="F87" s="1244"/>
      <c r="G87" s="1244"/>
      <c r="H87" s="1244"/>
      <c r="I87" s="1244"/>
      <c r="J87" s="1244"/>
      <c r="K87" s="1244"/>
      <c r="L87" s="1244"/>
      <c r="M87" s="1244"/>
      <c r="N87" s="1244"/>
      <c r="O87" s="1244"/>
      <c r="P87" s="1244"/>
      <c r="Q87" s="1244"/>
      <c r="R87" s="1244"/>
      <c r="S87" s="1244"/>
      <c r="T87" s="1248"/>
      <c r="U87" s="1248"/>
      <c r="V87" s="1248"/>
      <c r="W87" s="1248"/>
      <c r="X87" s="1248"/>
      <c r="Y87" s="1255"/>
      <c r="Z87" s="1255"/>
      <c r="AA87" s="1255"/>
      <c r="AB87" s="1255"/>
      <c r="AC87" s="1255"/>
      <c r="AD87" s="1255"/>
      <c r="AE87" s="1255"/>
      <c r="AF87" s="1255"/>
      <c r="AG87" s="1255"/>
      <c r="AH87" s="1255"/>
      <c r="AI87" s="1255"/>
      <c r="AJ87" s="1255"/>
      <c r="AK87" s="1255"/>
      <c r="AL87" s="1255"/>
    </row>
    <row r="88" spans="3:38" ht="14.4" hidden="1" customHeight="1" x14ac:dyDescent="0.3">
      <c r="C88" s="1245"/>
      <c r="D88" s="1244"/>
      <c r="E88" s="1244"/>
      <c r="F88" s="1244"/>
      <c r="G88" s="1244"/>
      <c r="H88" s="1244"/>
      <c r="I88" s="1244"/>
      <c r="J88" s="1244"/>
      <c r="K88" s="1244"/>
      <c r="L88" s="1244"/>
      <c r="M88" s="1244"/>
      <c r="N88" s="1244"/>
      <c r="O88" s="1244"/>
      <c r="P88" s="1244"/>
      <c r="Q88" s="1244"/>
      <c r="R88" s="1244"/>
      <c r="S88" s="1244"/>
      <c r="T88" s="1248"/>
      <c r="U88" s="1248"/>
      <c r="V88" s="1248"/>
      <c r="W88" s="1248"/>
      <c r="X88" s="1248"/>
      <c r="Y88" s="1255"/>
      <c r="Z88" s="1255"/>
      <c r="AA88" s="1255"/>
      <c r="AB88" s="1255"/>
      <c r="AC88" s="1255"/>
      <c r="AD88" s="1255"/>
      <c r="AE88" s="1255"/>
      <c r="AF88" s="1255"/>
      <c r="AG88" s="1255"/>
      <c r="AH88" s="1255"/>
      <c r="AI88" s="1255"/>
      <c r="AJ88" s="1255"/>
      <c r="AK88" s="1255"/>
      <c r="AL88" s="1255"/>
    </row>
    <row r="89" spans="3:38" ht="14.4" hidden="1" customHeight="1" x14ac:dyDescent="0.3">
      <c r="C89" s="1245"/>
      <c r="D89" s="1244"/>
      <c r="E89" s="1244"/>
      <c r="F89" s="1244"/>
      <c r="G89" s="1244"/>
      <c r="H89" s="1244"/>
      <c r="I89" s="1244"/>
      <c r="J89" s="1244"/>
      <c r="K89" s="1244"/>
      <c r="L89" s="1244"/>
      <c r="M89" s="1244"/>
      <c r="N89" s="1244"/>
      <c r="O89" s="1244"/>
      <c r="P89" s="1244"/>
      <c r="Q89" s="1244"/>
      <c r="R89" s="1244"/>
      <c r="S89" s="1244"/>
      <c r="T89" s="1248"/>
      <c r="U89" s="1248"/>
      <c r="V89" s="1248"/>
      <c r="W89" s="1248"/>
      <c r="X89" s="1248"/>
      <c r="Y89" s="1255"/>
      <c r="Z89" s="1255"/>
      <c r="AA89" s="1255"/>
      <c r="AB89" s="1255"/>
      <c r="AC89" s="1255"/>
      <c r="AD89" s="1255"/>
      <c r="AE89" s="1255"/>
      <c r="AF89" s="1255"/>
      <c r="AG89" s="1255"/>
      <c r="AH89" s="1255"/>
      <c r="AI89" s="1255"/>
      <c r="AJ89" s="1255"/>
      <c r="AK89" s="1255"/>
      <c r="AL89" s="1255"/>
    </row>
    <row r="90" spans="3:38" ht="14.4" hidden="1" customHeight="1" x14ac:dyDescent="0.3">
      <c r="C90" s="1245"/>
      <c r="D90" s="1244"/>
      <c r="E90" s="1244"/>
      <c r="F90" s="1244"/>
      <c r="G90" s="1244"/>
      <c r="H90" s="1244"/>
      <c r="I90" s="1244"/>
      <c r="J90" s="1244"/>
      <c r="K90" s="1244"/>
      <c r="L90" s="1244"/>
      <c r="M90" s="1244"/>
      <c r="N90" s="1244"/>
      <c r="O90" s="1244"/>
      <c r="P90" s="1244"/>
      <c r="Q90" s="1244"/>
      <c r="R90" s="1244"/>
      <c r="S90" s="1244"/>
      <c r="T90" s="1248"/>
      <c r="U90" s="1248"/>
      <c r="V90" s="1248"/>
      <c r="W90" s="1248"/>
      <c r="X90" s="1248"/>
      <c r="Y90" s="1255"/>
      <c r="Z90" s="1255"/>
      <c r="AA90" s="1255"/>
      <c r="AB90" s="1255"/>
      <c r="AC90" s="1255"/>
      <c r="AD90" s="1255"/>
      <c r="AE90" s="1255"/>
      <c r="AF90" s="1255"/>
      <c r="AG90" s="1255"/>
      <c r="AH90" s="1255"/>
      <c r="AI90" s="1255"/>
      <c r="AJ90" s="1255"/>
      <c r="AK90" s="1255"/>
      <c r="AL90" s="1255"/>
    </row>
    <row r="91" spans="3:38" ht="14.4" hidden="1" customHeight="1" x14ac:dyDescent="0.3">
      <c r="C91" s="1245"/>
      <c r="D91" s="1244"/>
      <c r="E91" s="1244"/>
      <c r="F91" s="1244"/>
      <c r="G91" s="1244"/>
      <c r="H91" s="1244"/>
      <c r="I91" s="1244"/>
      <c r="J91" s="1244"/>
      <c r="K91" s="1244"/>
      <c r="L91" s="1244"/>
      <c r="M91" s="1244"/>
      <c r="N91" s="1244"/>
      <c r="O91" s="1244"/>
      <c r="P91" s="1244"/>
      <c r="Q91" s="1244"/>
      <c r="R91" s="1244"/>
      <c r="S91" s="1244"/>
      <c r="T91" s="1248"/>
      <c r="U91" s="1248"/>
      <c r="V91" s="1248"/>
      <c r="W91" s="1248"/>
      <c r="X91" s="1248"/>
      <c r="Y91" s="1255"/>
      <c r="Z91" s="1255"/>
      <c r="AA91" s="1255"/>
      <c r="AB91" s="1255"/>
      <c r="AC91" s="1255"/>
      <c r="AD91" s="1255"/>
      <c r="AE91" s="1255"/>
      <c r="AF91" s="1255"/>
      <c r="AG91" s="1255"/>
      <c r="AH91" s="1255"/>
      <c r="AI91" s="1255"/>
      <c r="AJ91" s="1255"/>
      <c r="AK91" s="1255"/>
      <c r="AL91" s="1255"/>
    </row>
    <row r="92" spans="3:38" ht="14.4" hidden="1" customHeight="1" x14ac:dyDescent="0.3">
      <c r="C92" s="1245"/>
      <c r="D92" s="1244"/>
      <c r="E92" s="1244"/>
      <c r="F92" s="1244"/>
      <c r="G92" s="1244"/>
      <c r="H92" s="1244"/>
      <c r="I92" s="1244"/>
      <c r="J92" s="1244"/>
      <c r="K92" s="1244"/>
      <c r="L92" s="1244"/>
      <c r="M92" s="1244"/>
      <c r="N92" s="1244"/>
      <c r="O92" s="1244"/>
      <c r="P92" s="1244"/>
      <c r="Q92" s="1244"/>
      <c r="R92" s="1244"/>
      <c r="S92" s="1244"/>
      <c r="T92" s="1248"/>
      <c r="U92" s="1248"/>
      <c r="V92" s="1248"/>
      <c r="W92" s="1248"/>
      <c r="X92" s="1248"/>
      <c r="Y92" s="1255"/>
      <c r="Z92" s="1255"/>
      <c r="AA92" s="1255"/>
      <c r="AB92" s="1255"/>
      <c r="AC92" s="1255"/>
      <c r="AD92" s="1255"/>
      <c r="AE92" s="1255"/>
      <c r="AF92" s="1255"/>
      <c r="AG92" s="1255"/>
      <c r="AH92" s="1255"/>
      <c r="AI92" s="1255"/>
      <c r="AJ92" s="1255"/>
      <c r="AK92" s="1255"/>
      <c r="AL92" s="1255"/>
    </row>
    <row r="93" spans="3:38" ht="14.4" hidden="1" customHeight="1" x14ac:dyDescent="0.3">
      <c r="C93" s="1245"/>
      <c r="D93" s="1244"/>
      <c r="E93" s="1244"/>
      <c r="F93" s="1244"/>
      <c r="G93" s="1244"/>
      <c r="H93" s="1244"/>
      <c r="I93" s="1244"/>
      <c r="J93" s="1244"/>
      <c r="K93" s="1244"/>
      <c r="L93" s="1244"/>
      <c r="M93" s="1244"/>
      <c r="N93" s="1244"/>
      <c r="O93" s="1244"/>
      <c r="P93" s="1244"/>
      <c r="Q93" s="1244"/>
      <c r="R93" s="1244"/>
      <c r="S93" s="1244"/>
      <c r="T93" s="1248"/>
      <c r="U93" s="1248"/>
      <c r="V93" s="1248"/>
      <c r="W93" s="1248"/>
      <c r="X93" s="1248"/>
      <c r="Y93" s="1255"/>
      <c r="Z93" s="1255"/>
      <c r="AA93" s="1255"/>
      <c r="AB93" s="1255"/>
      <c r="AC93" s="1255"/>
      <c r="AD93" s="1255"/>
      <c r="AE93" s="1255"/>
      <c r="AF93" s="1255"/>
      <c r="AG93" s="1255"/>
      <c r="AH93" s="1255"/>
      <c r="AI93" s="1255"/>
      <c r="AJ93" s="1255"/>
      <c r="AK93" s="1255"/>
      <c r="AL93" s="1255"/>
    </row>
    <row r="94" spans="3:38" ht="14.4" hidden="1" customHeight="1" x14ac:dyDescent="0.3">
      <c r="C94" s="1245"/>
      <c r="D94" s="1244"/>
      <c r="E94" s="1244"/>
      <c r="F94" s="1244"/>
      <c r="G94" s="1244"/>
      <c r="H94" s="1244"/>
      <c r="I94" s="1244"/>
      <c r="J94" s="1244"/>
      <c r="K94" s="1244"/>
      <c r="L94" s="1244"/>
      <c r="M94" s="1244"/>
      <c r="N94" s="1244"/>
      <c r="O94" s="1244"/>
      <c r="P94" s="1244"/>
      <c r="Q94" s="1244"/>
      <c r="R94" s="1244"/>
      <c r="S94" s="1244"/>
      <c r="T94" s="1248"/>
      <c r="U94" s="1248"/>
      <c r="V94" s="1248"/>
      <c r="W94" s="1248"/>
      <c r="X94" s="1248"/>
      <c r="Y94" s="1255"/>
      <c r="Z94" s="1255"/>
      <c r="AA94" s="1255"/>
      <c r="AB94" s="1255"/>
      <c r="AC94" s="1255"/>
      <c r="AD94" s="1255"/>
      <c r="AE94" s="1255"/>
      <c r="AF94" s="1255"/>
      <c r="AG94" s="1255"/>
      <c r="AH94" s="1255"/>
      <c r="AI94" s="1255"/>
      <c r="AJ94" s="1255"/>
      <c r="AK94" s="1255"/>
      <c r="AL94" s="1255"/>
    </row>
    <row r="95" spans="3:38" ht="14.4" hidden="1" customHeight="1" x14ac:dyDescent="0.3">
      <c r="C95" s="1245"/>
      <c r="D95" s="1244"/>
      <c r="E95" s="1244"/>
      <c r="F95" s="1244"/>
      <c r="G95" s="1244"/>
      <c r="H95" s="1244"/>
      <c r="I95" s="1244"/>
      <c r="J95" s="1244"/>
      <c r="K95" s="1244"/>
      <c r="L95" s="1244"/>
      <c r="M95" s="1244"/>
      <c r="N95" s="1244"/>
      <c r="O95" s="1244"/>
      <c r="P95" s="1244"/>
      <c r="Q95" s="1244"/>
      <c r="R95" s="1244"/>
      <c r="S95" s="1244"/>
      <c r="T95" s="1248"/>
      <c r="U95" s="1248"/>
      <c r="V95" s="1248"/>
      <c r="W95" s="1248"/>
      <c r="X95" s="1248"/>
      <c r="Y95" s="1255"/>
      <c r="Z95" s="1255"/>
      <c r="AA95" s="1255"/>
      <c r="AB95" s="1255"/>
      <c r="AC95" s="1255"/>
      <c r="AD95" s="1255"/>
      <c r="AE95" s="1255"/>
      <c r="AF95" s="1255"/>
      <c r="AG95" s="1255"/>
      <c r="AH95" s="1255"/>
      <c r="AI95" s="1255"/>
      <c r="AJ95" s="1255"/>
      <c r="AK95" s="1255"/>
      <c r="AL95" s="1255"/>
    </row>
    <row r="96" spans="3:38" ht="14.4" hidden="1" customHeight="1" x14ac:dyDescent="0.3">
      <c r="C96" s="1245"/>
      <c r="D96" s="1244"/>
      <c r="E96" s="1244"/>
      <c r="F96" s="1244"/>
      <c r="G96" s="1244"/>
      <c r="H96" s="1244"/>
      <c r="I96" s="1244"/>
      <c r="J96" s="1244"/>
      <c r="K96" s="1244"/>
      <c r="L96" s="1244"/>
      <c r="M96" s="1244"/>
      <c r="N96" s="1244"/>
      <c r="O96" s="1244"/>
      <c r="P96" s="1244"/>
      <c r="Q96" s="1244"/>
      <c r="R96" s="1244"/>
      <c r="S96" s="1244"/>
      <c r="T96" s="1248"/>
      <c r="U96" s="1248"/>
      <c r="V96" s="1248"/>
      <c r="W96" s="1248"/>
      <c r="X96" s="1248"/>
      <c r="Y96" s="1255"/>
      <c r="Z96" s="1255"/>
      <c r="AA96" s="1255"/>
      <c r="AB96" s="1255"/>
      <c r="AC96" s="1255"/>
      <c r="AD96" s="1255"/>
      <c r="AE96" s="1255"/>
      <c r="AF96" s="1255"/>
      <c r="AG96" s="1255"/>
      <c r="AH96" s="1255"/>
      <c r="AI96" s="1255"/>
      <c r="AJ96" s="1255"/>
      <c r="AK96" s="1255"/>
      <c r="AL96" s="1255"/>
    </row>
    <row r="97" spans="3:38" ht="14.4" hidden="1" customHeight="1" x14ac:dyDescent="0.3">
      <c r="C97" s="1245"/>
      <c r="D97" s="1244"/>
      <c r="E97" s="1244"/>
      <c r="F97" s="1244"/>
      <c r="G97" s="1244"/>
      <c r="H97" s="1244"/>
      <c r="I97" s="1244"/>
      <c r="J97" s="1244"/>
      <c r="K97" s="1244"/>
      <c r="L97" s="1244"/>
      <c r="M97" s="1244"/>
      <c r="N97" s="1244"/>
      <c r="O97" s="1244"/>
      <c r="P97" s="1244"/>
      <c r="Q97" s="1244"/>
      <c r="R97" s="1244"/>
      <c r="S97" s="1244"/>
      <c r="T97" s="1248"/>
      <c r="U97" s="1248"/>
      <c r="V97" s="1248"/>
      <c r="W97" s="1248"/>
      <c r="X97" s="1248"/>
      <c r="Y97" s="1255"/>
      <c r="Z97" s="1255"/>
      <c r="AA97" s="1255"/>
      <c r="AB97" s="1255"/>
      <c r="AC97" s="1255"/>
      <c r="AD97" s="1255"/>
      <c r="AE97" s="1255"/>
      <c r="AF97" s="1255"/>
      <c r="AG97" s="1255"/>
      <c r="AH97" s="1255"/>
      <c r="AI97" s="1255"/>
      <c r="AJ97" s="1255"/>
      <c r="AK97" s="1255"/>
      <c r="AL97" s="1255"/>
    </row>
    <row r="98" spans="3:38" ht="14.4" hidden="1" customHeight="1" x14ac:dyDescent="0.3">
      <c r="C98" s="1245"/>
      <c r="D98" s="1244"/>
      <c r="E98" s="1244"/>
      <c r="F98" s="1244"/>
      <c r="G98" s="1244"/>
      <c r="H98" s="1244"/>
      <c r="I98" s="1244"/>
      <c r="J98" s="1244"/>
      <c r="K98" s="1244"/>
      <c r="L98" s="1244"/>
      <c r="M98" s="1244"/>
      <c r="N98" s="1244"/>
      <c r="O98" s="1244"/>
      <c r="P98" s="1244"/>
      <c r="Q98" s="1244"/>
      <c r="R98" s="1244"/>
      <c r="S98" s="1244"/>
      <c r="T98" s="1248"/>
      <c r="U98" s="1248"/>
      <c r="V98" s="1248"/>
      <c r="W98" s="1248"/>
      <c r="X98" s="1248"/>
      <c r="Y98" s="1255"/>
      <c r="Z98" s="1255"/>
      <c r="AA98" s="1255"/>
      <c r="AB98" s="1255"/>
      <c r="AC98" s="1255"/>
      <c r="AD98" s="1255"/>
      <c r="AE98" s="1255"/>
      <c r="AF98" s="1255"/>
      <c r="AG98" s="1255"/>
      <c r="AH98" s="1255"/>
      <c r="AI98" s="1255"/>
      <c r="AJ98" s="1255"/>
      <c r="AK98" s="1255"/>
      <c r="AL98" s="1255"/>
    </row>
    <row r="99" spans="3:38" ht="14.4" hidden="1" customHeight="1" x14ac:dyDescent="0.3">
      <c r="C99" s="1245"/>
      <c r="D99" s="1244"/>
      <c r="E99" s="1244"/>
      <c r="F99" s="1244"/>
      <c r="G99" s="1244"/>
      <c r="H99" s="1244"/>
      <c r="I99" s="1244"/>
      <c r="J99" s="1244"/>
      <c r="K99" s="1244"/>
      <c r="L99" s="1244"/>
      <c r="M99" s="1244"/>
      <c r="N99" s="1244"/>
      <c r="O99" s="1244"/>
      <c r="P99" s="1244"/>
      <c r="Q99" s="1244"/>
      <c r="R99" s="1244"/>
      <c r="S99" s="1244"/>
      <c r="T99" s="1248"/>
      <c r="U99" s="1248"/>
      <c r="V99" s="1248"/>
      <c r="W99" s="1248"/>
      <c r="X99" s="1248"/>
      <c r="Y99" s="1255"/>
      <c r="Z99" s="1255"/>
      <c r="AA99" s="1255"/>
      <c r="AB99" s="1255"/>
      <c r="AC99" s="1255"/>
      <c r="AD99" s="1255"/>
      <c r="AE99" s="1255"/>
      <c r="AF99" s="1255"/>
      <c r="AG99" s="1255"/>
      <c r="AH99" s="1255"/>
      <c r="AI99" s="1255"/>
      <c r="AJ99" s="1255"/>
      <c r="AK99" s="1255"/>
      <c r="AL99" s="1255"/>
    </row>
    <row r="100" spans="3:38" ht="14.4" hidden="1" customHeight="1" x14ac:dyDescent="0.3">
      <c r="C100" s="1245"/>
      <c r="D100" s="1244"/>
      <c r="E100" s="1244"/>
      <c r="F100" s="1244"/>
      <c r="G100" s="1244"/>
      <c r="H100" s="1244"/>
      <c r="I100" s="1244"/>
      <c r="J100" s="1244"/>
      <c r="K100" s="1244"/>
      <c r="L100" s="1244"/>
      <c r="M100" s="1244"/>
      <c r="N100" s="1244"/>
      <c r="O100" s="1244"/>
      <c r="P100" s="1244"/>
      <c r="Q100" s="1244"/>
      <c r="R100" s="1244"/>
      <c r="S100" s="1244"/>
      <c r="T100" s="1248"/>
      <c r="U100" s="1248"/>
      <c r="V100" s="1248"/>
      <c r="W100" s="1248"/>
      <c r="X100" s="1248"/>
      <c r="Y100" s="1255"/>
      <c r="Z100" s="1255"/>
      <c r="AA100" s="1255"/>
      <c r="AB100" s="1255"/>
      <c r="AC100" s="1255"/>
      <c r="AD100" s="1255"/>
      <c r="AE100" s="1255"/>
      <c r="AF100" s="1255"/>
      <c r="AG100" s="1255"/>
      <c r="AH100" s="1255"/>
      <c r="AI100" s="1255"/>
      <c r="AJ100" s="1255"/>
      <c r="AK100" s="1255"/>
      <c r="AL100" s="1255"/>
    </row>
    <row r="101" spans="3:38" ht="14.4" hidden="1" customHeight="1" x14ac:dyDescent="0.3">
      <c r="T101" s="1255"/>
      <c r="U101" s="1255"/>
      <c r="V101" s="1255"/>
      <c r="W101" s="1255"/>
      <c r="X101" s="1255"/>
      <c r="Y101" s="1255"/>
      <c r="Z101" s="1255"/>
      <c r="AA101" s="1255"/>
      <c r="AB101" s="1255"/>
      <c r="AC101" s="1255"/>
      <c r="AD101" s="1255"/>
      <c r="AE101" s="1255"/>
      <c r="AF101" s="1255"/>
      <c r="AG101" s="1255"/>
      <c r="AH101" s="1255"/>
      <c r="AI101" s="1255"/>
      <c r="AJ101" s="1255"/>
      <c r="AK101" s="1255"/>
      <c r="AL101" s="1255"/>
    </row>
    <row r="102" spans="3:38" ht="14.4" hidden="1" customHeight="1" x14ac:dyDescent="0.3">
      <c r="T102" s="1255"/>
      <c r="U102" s="1255"/>
      <c r="V102" s="1255"/>
      <c r="W102" s="1255"/>
      <c r="X102" s="1255"/>
      <c r="Y102" s="1255"/>
      <c r="Z102" s="1255"/>
      <c r="AA102" s="1255"/>
      <c r="AB102" s="1255"/>
      <c r="AC102" s="1255"/>
      <c r="AD102" s="1255"/>
      <c r="AE102" s="1255"/>
      <c r="AF102" s="1255"/>
      <c r="AG102" s="1255"/>
      <c r="AH102" s="1255"/>
      <c r="AI102" s="1255"/>
      <c r="AJ102" s="1255"/>
      <c r="AK102" s="1255"/>
      <c r="AL102" s="1255"/>
    </row>
    <row r="103" spans="3:38" ht="14.4" hidden="1" customHeight="1" x14ac:dyDescent="0.3">
      <c r="T103" s="1255"/>
      <c r="U103" s="1255"/>
      <c r="V103" s="1255"/>
      <c r="W103" s="1255"/>
      <c r="X103" s="1255"/>
      <c r="Y103" s="1255"/>
      <c r="Z103" s="1255"/>
      <c r="AA103" s="1255"/>
      <c r="AB103" s="1255"/>
      <c r="AC103" s="1255"/>
      <c r="AD103" s="1255"/>
      <c r="AE103" s="1255"/>
      <c r="AF103" s="1255"/>
      <c r="AG103" s="1255"/>
      <c r="AH103" s="1255"/>
      <c r="AI103" s="1255"/>
      <c r="AJ103" s="1255"/>
      <c r="AK103" s="1255"/>
      <c r="AL103" s="1255"/>
    </row>
    <row r="104" spans="3:38" ht="14.4" hidden="1" customHeight="1" x14ac:dyDescent="0.3">
      <c r="T104" s="1255"/>
      <c r="U104" s="1255"/>
      <c r="V104" s="1255"/>
      <c r="W104" s="1255"/>
      <c r="X104" s="1255"/>
      <c r="Y104" s="1255"/>
      <c r="Z104" s="1255"/>
      <c r="AA104" s="1255"/>
      <c r="AB104" s="1255"/>
      <c r="AC104" s="1255"/>
      <c r="AD104" s="1255"/>
      <c r="AE104" s="1255"/>
      <c r="AF104" s="1255"/>
      <c r="AG104" s="1255"/>
      <c r="AH104" s="1255"/>
      <c r="AI104" s="1255"/>
      <c r="AJ104" s="1255"/>
      <c r="AK104" s="1255"/>
      <c r="AL104" s="1255"/>
    </row>
    <row r="105" spans="3:38" ht="14.4" hidden="1" customHeight="1" x14ac:dyDescent="0.3">
      <c r="T105" s="1255"/>
      <c r="U105" s="1255"/>
      <c r="V105" s="1255"/>
      <c r="W105" s="1255"/>
      <c r="X105" s="1255"/>
      <c r="Y105" s="1255"/>
      <c r="Z105" s="1255"/>
      <c r="AA105" s="1255"/>
      <c r="AB105" s="1255"/>
      <c r="AC105" s="1255"/>
      <c r="AD105" s="1255"/>
      <c r="AE105" s="1255"/>
      <c r="AF105" s="1255"/>
      <c r="AG105" s="1255"/>
      <c r="AH105" s="1255"/>
      <c r="AI105" s="1255"/>
      <c r="AJ105" s="1255"/>
      <c r="AK105" s="1255"/>
      <c r="AL105" s="1255"/>
    </row>
    <row r="106" spans="3:38" ht="14.4" hidden="1" customHeight="1" x14ac:dyDescent="0.3">
      <c r="T106" s="1255"/>
      <c r="U106" s="1255"/>
      <c r="V106" s="1255"/>
      <c r="W106" s="1255"/>
      <c r="X106" s="1255"/>
      <c r="Y106" s="1255"/>
      <c r="Z106" s="1255"/>
      <c r="AA106" s="1255"/>
      <c r="AB106" s="1255"/>
      <c r="AC106" s="1255"/>
      <c r="AD106" s="1255"/>
      <c r="AE106" s="1255"/>
      <c r="AF106" s="1255"/>
      <c r="AG106" s="1255"/>
      <c r="AH106" s="1255"/>
      <c r="AI106" s="1255"/>
      <c r="AJ106" s="1255"/>
      <c r="AK106" s="1255"/>
      <c r="AL106" s="1255"/>
    </row>
    <row r="107" spans="3:38" ht="14.4" hidden="1" customHeight="1" x14ac:dyDescent="0.3">
      <c r="T107" s="1255"/>
      <c r="U107" s="1255"/>
      <c r="V107" s="1255"/>
      <c r="W107" s="1255"/>
      <c r="X107" s="1255"/>
      <c r="Y107" s="1255"/>
      <c r="Z107" s="1255"/>
      <c r="AA107" s="1255"/>
      <c r="AB107" s="1255"/>
      <c r="AC107" s="1255"/>
      <c r="AD107" s="1255"/>
      <c r="AE107" s="1255"/>
      <c r="AF107" s="1255"/>
      <c r="AG107" s="1255"/>
      <c r="AH107" s="1255"/>
      <c r="AI107" s="1255"/>
      <c r="AJ107" s="1255"/>
      <c r="AK107" s="1255"/>
      <c r="AL107" s="1255"/>
    </row>
    <row r="108" spans="3:38" ht="14.4" hidden="1" customHeight="1" x14ac:dyDescent="0.3">
      <c r="T108" s="1255"/>
      <c r="U108" s="1255"/>
      <c r="V108" s="1255"/>
      <c r="W108" s="1255"/>
      <c r="X108" s="1255"/>
      <c r="Y108" s="1255"/>
      <c r="Z108" s="1255"/>
      <c r="AA108" s="1255"/>
      <c r="AB108" s="1255"/>
      <c r="AC108" s="1255"/>
      <c r="AD108" s="1255"/>
      <c r="AE108" s="1255"/>
      <c r="AF108" s="1255"/>
      <c r="AG108" s="1255"/>
      <c r="AH108" s="1255"/>
      <c r="AI108" s="1255"/>
      <c r="AJ108" s="1255"/>
      <c r="AK108" s="1255"/>
      <c r="AL108" s="1255"/>
    </row>
    <row r="109" spans="3:38" ht="14.4" hidden="1" customHeight="1" x14ac:dyDescent="0.3">
      <c r="T109" s="1255"/>
      <c r="U109" s="1255"/>
      <c r="V109" s="1255"/>
      <c r="W109" s="1255"/>
      <c r="X109" s="1255"/>
      <c r="Y109" s="1255"/>
      <c r="Z109" s="1255"/>
      <c r="AA109" s="1255"/>
      <c r="AB109" s="1255"/>
      <c r="AC109" s="1255"/>
      <c r="AD109" s="1255"/>
      <c r="AE109" s="1255"/>
      <c r="AF109" s="1255"/>
      <c r="AG109" s="1255"/>
      <c r="AH109" s="1255"/>
      <c r="AI109" s="1255"/>
      <c r="AJ109" s="1255"/>
      <c r="AK109" s="1255"/>
      <c r="AL109" s="1255"/>
    </row>
    <row r="110" spans="3:38" ht="14.4" hidden="1" customHeight="1" x14ac:dyDescent="0.3">
      <c r="T110" s="1255"/>
      <c r="U110" s="1255"/>
      <c r="V110" s="1255"/>
      <c r="W110" s="1255"/>
      <c r="X110" s="1255"/>
      <c r="Y110" s="1255"/>
      <c r="Z110" s="1255"/>
      <c r="AA110" s="1255"/>
      <c r="AB110" s="1255"/>
      <c r="AC110" s="1255"/>
      <c r="AD110" s="1255"/>
      <c r="AE110" s="1255"/>
      <c r="AF110" s="1255"/>
      <c r="AG110" s="1255"/>
      <c r="AH110" s="1255"/>
      <c r="AI110" s="1255"/>
      <c r="AJ110" s="1255"/>
      <c r="AK110" s="1255"/>
      <c r="AL110" s="1255"/>
    </row>
    <row r="111" spans="3:38" ht="14.4" hidden="1" customHeight="1" x14ac:dyDescent="0.3">
      <c r="T111" s="1255"/>
      <c r="U111" s="1255"/>
      <c r="V111" s="1255"/>
      <c r="W111" s="1255"/>
      <c r="X111" s="1255"/>
      <c r="Y111" s="1255"/>
      <c r="Z111" s="1255"/>
      <c r="AA111" s="1255"/>
      <c r="AB111" s="1255"/>
      <c r="AC111" s="1255"/>
      <c r="AD111" s="1255"/>
      <c r="AE111" s="1255"/>
      <c r="AF111" s="1255"/>
      <c r="AG111" s="1255"/>
      <c r="AH111" s="1255"/>
      <c r="AI111" s="1255"/>
      <c r="AJ111" s="1255"/>
      <c r="AK111" s="1255"/>
      <c r="AL111" s="1255"/>
    </row>
    <row r="112" spans="3:38" ht="14.4" hidden="1" customHeight="1" x14ac:dyDescent="0.3">
      <c r="T112" s="1255"/>
      <c r="U112" s="1255"/>
      <c r="V112" s="1255"/>
      <c r="W112" s="1255"/>
      <c r="X112" s="1255"/>
      <c r="Y112" s="1255"/>
      <c r="Z112" s="1255"/>
      <c r="AA112" s="1255"/>
      <c r="AB112" s="1255"/>
      <c r="AC112" s="1255"/>
      <c r="AD112" s="1255"/>
      <c r="AE112" s="1255"/>
      <c r="AF112" s="1255"/>
      <c r="AG112" s="1255"/>
      <c r="AH112" s="1255"/>
      <c r="AI112" s="1255"/>
      <c r="AJ112" s="1255"/>
      <c r="AK112" s="1255"/>
      <c r="AL112" s="1255"/>
    </row>
    <row r="113" spans="20:38" ht="14.4" hidden="1" customHeight="1" x14ac:dyDescent="0.3">
      <c r="T113" s="1255"/>
      <c r="U113" s="1255"/>
      <c r="V113" s="1255"/>
      <c r="W113" s="1255"/>
      <c r="X113" s="1255"/>
      <c r="Y113" s="1255"/>
      <c r="Z113" s="1255"/>
      <c r="AA113" s="1255"/>
      <c r="AB113" s="1255"/>
      <c r="AC113" s="1255"/>
      <c r="AD113" s="1255"/>
      <c r="AE113" s="1255"/>
      <c r="AF113" s="1255"/>
      <c r="AG113" s="1255"/>
      <c r="AH113" s="1255"/>
      <c r="AI113" s="1255"/>
      <c r="AJ113" s="1255"/>
      <c r="AK113" s="1255"/>
      <c r="AL113" s="1255"/>
    </row>
    <row r="114" spans="20:38" ht="14.4" hidden="1" customHeight="1" x14ac:dyDescent="0.3">
      <c r="T114" s="1255"/>
      <c r="U114" s="1255"/>
      <c r="V114" s="1255"/>
      <c r="W114" s="1255"/>
      <c r="X114" s="1255"/>
      <c r="Y114" s="1255"/>
      <c r="Z114" s="1255"/>
      <c r="AA114" s="1255"/>
      <c r="AB114" s="1255"/>
      <c r="AC114" s="1255"/>
      <c r="AD114" s="1255"/>
      <c r="AE114" s="1255"/>
      <c r="AF114" s="1255"/>
      <c r="AG114" s="1255"/>
      <c r="AH114" s="1255"/>
      <c r="AI114" s="1255"/>
      <c r="AJ114" s="1255"/>
      <c r="AK114" s="1255"/>
      <c r="AL114" s="1255"/>
    </row>
    <row r="115" spans="20:38" ht="14.4" hidden="1" customHeight="1" x14ac:dyDescent="0.3">
      <c r="T115" s="1255"/>
      <c r="U115" s="1255"/>
      <c r="V115" s="1255"/>
      <c r="W115" s="1255"/>
      <c r="X115" s="1255"/>
      <c r="Y115" s="1255"/>
      <c r="Z115" s="1255"/>
      <c r="AA115" s="1255"/>
      <c r="AB115" s="1255"/>
      <c r="AC115" s="1255"/>
      <c r="AD115" s="1255"/>
      <c r="AE115" s="1255"/>
      <c r="AF115" s="1255"/>
      <c r="AG115" s="1255"/>
      <c r="AH115" s="1255"/>
      <c r="AI115" s="1255"/>
      <c r="AJ115" s="1255"/>
      <c r="AK115" s="1255"/>
      <c r="AL115" s="1255"/>
    </row>
    <row r="116" spans="20:38" ht="14.4" hidden="1" customHeight="1" x14ac:dyDescent="0.3">
      <c r="T116" s="1255"/>
      <c r="U116" s="1255"/>
      <c r="V116" s="1255"/>
      <c r="W116" s="1255"/>
      <c r="X116" s="1255"/>
      <c r="Y116" s="1255"/>
      <c r="Z116" s="1255"/>
      <c r="AA116" s="1255"/>
      <c r="AB116" s="1255"/>
      <c r="AC116" s="1255"/>
      <c r="AD116" s="1255"/>
      <c r="AE116" s="1255"/>
      <c r="AF116" s="1255"/>
      <c r="AG116" s="1255"/>
      <c r="AH116" s="1255"/>
      <c r="AI116" s="1255"/>
      <c r="AJ116" s="1255"/>
      <c r="AK116" s="1255"/>
      <c r="AL116" s="1255"/>
    </row>
    <row r="117" spans="20:38" ht="14.4" hidden="1" customHeight="1" x14ac:dyDescent="0.3">
      <c r="T117" s="1255"/>
      <c r="U117" s="1255"/>
      <c r="V117" s="1255"/>
      <c r="W117" s="1255"/>
      <c r="X117" s="1255"/>
      <c r="Y117" s="1255"/>
      <c r="Z117" s="1255"/>
      <c r="AA117" s="1255"/>
      <c r="AB117" s="1255"/>
      <c r="AC117" s="1255"/>
      <c r="AD117" s="1255"/>
      <c r="AE117" s="1255"/>
      <c r="AF117" s="1255"/>
      <c r="AG117" s="1255"/>
      <c r="AH117" s="1255"/>
      <c r="AI117" s="1255"/>
      <c r="AJ117" s="1255"/>
      <c r="AK117" s="1255"/>
      <c r="AL117" s="1255"/>
    </row>
    <row r="118" spans="20:38" ht="14.4" hidden="1" customHeight="1" x14ac:dyDescent="0.3">
      <c r="T118" s="1255"/>
      <c r="U118" s="1255"/>
      <c r="V118" s="1255"/>
      <c r="W118" s="1255"/>
      <c r="X118" s="1255"/>
      <c r="Y118" s="1255"/>
      <c r="Z118" s="1255"/>
      <c r="AA118" s="1255"/>
      <c r="AB118" s="1255"/>
      <c r="AC118" s="1255"/>
      <c r="AD118" s="1255"/>
      <c r="AE118" s="1255"/>
      <c r="AF118" s="1255"/>
      <c r="AG118" s="1255"/>
      <c r="AH118" s="1255"/>
      <c r="AI118" s="1255"/>
      <c r="AJ118" s="1255"/>
      <c r="AK118" s="1255"/>
      <c r="AL118" s="1255"/>
    </row>
    <row r="119" spans="20:38" ht="14.4" hidden="1" customHeight="1" x14ac:dyDescent="0.3">
      <c r="T119" s="1255"/>
      <c r="U119" s="1255"/>
      <c r="V119" s="1255"/>
      <c r="W119" s="1255"/>
      <c r="X119" s="1255"/>
      <c r="Y119" s="1255"/>
      <c r="Z119" s="1255"/>
      <c r="AA119" s="1255"/>
      <c r="AB119" s="1255"/>
      <c r="AC119" s="1255"/>
      <c r="AD119" s="1255"/>
      <c r="AE119" s="1255"/>
      <c r="AF119" s="1255"/>
      <c r="AG119" s="1255"/>
      <c r="AH119" s="1255"/>
      <c r="AI119" s="1255"/>
      <c r="AJ119" s="1255"/>
      <c r="AK119" s="1255"/>
      <c r="AL119" s="1255"/>
    </row>
    <row r="120" spans="20:38" ht="14.4" hidden="1" customHeight="1" x14ac:dyDescent="0.3">
      <c r="T120" s="1255"/>
      <c r="U120" s="1255"/>
      <c r="V120" s="1255"/>
      <c r="W120" s="1255"/>
      <c r="X120" s="1255"/>
      <c r="Y120" s="1255"/>
      <c r="Z120" s="1255"/>
      <c r="AA120" s="1255"/>
      <c r="AB120" s="1255"/>
      <c r="AC120" s="1255"/>
      <c r="AD120" s="1255"/>
      <c r="AE120" s="1255"/>
      <c r="AF120" s="1255"/>
      <c r="AG120" s="1255"/>
      <c r="AH120" s="1255"/>
      <c r="AI120" s="1255"/>
      <c r="AJ120" s="1255"/>
      <c r="AK120" s="1255"/>
      <c r="AL120" s="1255"/>
    </row>
    <row r="121" spans="20:38" ht="14.4" hidden="1" customHeight="1" x14ac:dyDescent="0.3">
      <c r="T121" s="1255"/>
      <c r="U121" s="1255"/>
      <c r="V121" s="1255"/>
      <c r="W121" s="1255"/>
      <c r="X121" s="1255"/>
      <c r="Y121" s="1255"/>
      <c r="Z121" s="1255"/>
      <c r="AA121" s="1255"/>
      <c r="AB121" s="1255"/>
      <c r="AC121" s="1255"/>
      <c r="AD121" s="1255"/>
      <c r="AE121" s="1255"/>
      <c r="AF121" s="1255"/>
      <c r="AG121" s="1255"/>
      <c r="AH121" s="1255"/>
      <c r="AI121" s="1255"/>
      <c r="AJ121" s="1255"/>
      <c r="AK121" s="1255"/>
      <c r="AL121" s="1255"/>
    </row>
    <row r="122" spans="20:38" ht="14.4" hidden="1" customHeight="1" x14ac:dyDescent="0.3">
      <c r="T122" s="1255"/>
      <c r="U122" s="1255"/>
      <c r="V122" s="1255"/>
      <c r="W122" s="1255"/>
      <c r="X122" s="1255"/>
      <c r="Y122" s="1255"/>
      <c r="Z122" s="1255"/>
      <c r="AA122" s="1255"/>
      <c r="AB122" s="1255"/>
      <c r="AC122" s="1255"/>
      <c r="AD122" s="1255"/>
      <c r="AE122" s="1255"/>
      <c r="AF122" s="1255"/>
      <c r="AG122" s="1255"/>
      <c r="AH122" s="1255"/>
      <c r="AI122" s="1255"/>
      <c r="AJ122" s="1255"/>
      <c r="AK122" s="1255"/>
      <c r="AL122" s="1255"/>
    </row>
    <row r="123" spans="20:38" ht="14.4" hidden="1" customHeight="1" x14ac:dyDescent="0.3">
      <c r="T123" s="1255"/>
      <c r="U123" s="1255"/>
      <c r="V123" s="1255"/>
      <c r="W123" s="1255"/>
      <c r="X123" s="1255"/>
      <c r="Y123" s="1255"/>
      <c r="Z123" s="1255"/>
      <c r="AA123" s="1255"/>
      <c r="AB123" s="1255"/>
      <c r="AC123" s="1255"/>
      <c r="AD123" s="1255"/>
      <c r="AE123" s="1255"/>
      <c r="AF123" s="1255"/>
      <c r="AG123" s="1255"/>
      <c r="AH123" s="1255"/>
      <c r="AI123" s="1255"/>
      <c r="AJ123" s="1255"/>
      <c r="AK123" s="1255"/>
      <c r="AL123" s="1255"/>
    </row>
    <row r="124" spans="20:38" ht="14.4" hidden="1" customHeight="1" x14ac:dyDescent="0.3">
      <c r="T124" s="1255"/>
      <c r="U124" s="1255"/>
      <c r="V124" s="1255"/>
      <c r="W124" s="1255"/>
      <c r="X124" s="1255"/>
      <c r="Y124" s="1255"/>
      <c r="Z124" s="1255"/>
      <c r="AA124" s="1255"/>
      <c r="AB124" s="1255"/>
      <c r="AC124" s="1255"/>
      <c r="AD124" s="1255"/>
      <c r="AE124" s="1255"/>
      <c r="AF124" s="1255"/>
      <c r="AG124" s="1255"/>
      <c r="AH124" s="1255"/>
      <c r="AI124" s="1255"/>
      <c r="AJ124" s="1255"/>
      <c r="AK124" s="1255"/>
      <c r="AL124" s="1255"/>
    </row>
    <row r="125" spans="20:38" ht="14.4" hidden="1" customHeight="1" x14ac:dyDescent="0.3">
      <c r="T125" s="1255"/>
      <c r="U125" s="1255"/>
      <c r="V125" s="1255"/>
      <c r="W125" s="1255"/>
      <c r="X125" s="1255"/>
      <c r="Y125" s="1255"/>
      <c r="Z125" s="1255"/>
      <c r="AA125" s="1255"/>
      <c r="AB125" s="1255"/>
      <c r="AC125" s="1255"/>
      <c r="AD125" s="1255"/>
      <c r="AE125" s="1255"/>
      <c r="AF125" s="1255"/>
      <c r="AG125" s="1255"/>
      <c r="AH125" s="1255"/>
      <c r="AI125" s="1255"/>
      <c r="AJ125" s="1255"/>
      <c r="AK125" s="1255"/>
      <c r="AL125" s="1255"/>
    </row>
    <row r="126" spans="20:38" ht="14.4" hidden="1" customHeight="1" x14ac:dyDescent="0.3">
      <c r="T126" s="1255"/>
      <c r="U126" s="1255"/>
      <c r="V126" s="1255"/>
      <c r="W126" s="1255"/>
      <c r="X126" s="1255"/>
      <c r="Y126" s="1255"/>
      <c r="Z126" s="1255"/>
      <c r="AA126" s="1255"/>
      <c r="AB126" s="1255"/>
      <c r="AC126" s="1255"/>
      <c r="AD126" s="1255"/>
      <c r="AE126" s="1255"/>
      <c r="AF126" s="1255"/>
      <c r="AG126" s="1255"/>
      <c r="AH126" s="1255"/>
      <c r="AI126" s="1255"/>
      <c r="AJ126" s="1255"/>
      <c r="AK126" s="1255"/>
      <c r="AL126" s="1255"/>
    </row>
    <row r="127" spans="20:38" ht="14.4" hidden="1" customHeight="1" x14ac:dyDescent="0.3">
      <c r="T127" s="1255"/>
      <c r="U127" s="1255"/>
      <c r="V127" s="1255"/>
      <c r="W127" s="1255"/>
      <c r="X127" s="1255"/>
      <c r="Y127" s="1255"/>
      <c r="Z127" s="1255"/>
      <c r="AA127" s="1255"/>
      <c r="AB127" s="1255"/>
      <c r="AC127" s="1255"/>
      <c r="AD127" s="1255"/>
      <c r="AE127" s="1255"/>
      <c r="AF127" s="1255"/>
      <c r="AG127" s="1255"/>
      <c r="AH127" s="1255"/>
      <c r="AI127" s="1255"/>
      <c r="AJ127" s="1255"/>
      <c r="AK127" s="1255"/>
      <c r="AL127" s="1255"/>
    </row>
    <row r="128" spans="20:38" ht="14.4" hidden="1" customHeight="1" x14ac:dyDescent="0.3">
      <c r="T128" s="1255"/>
      <c r="U128" s="1255"/>
      <c r="V128" s="1255"/>
      <c r="W128" s="1255"/>
      <c r="X128" s="1255"/>
      <c r="Y128" s="1255"/>
      <c r="Z128" s="1255"/>
      <c r="AA128" s="1255"/>
      <c r="AB128" s="1255"/>
      <c r="AC128" s="1255"/>
      <c r="AD128" s="1255"/>
      <c r="AE128" s="1255"/>
      <c r="AF128" s="1255"/>
      <c r="AG128" s="1255"/>
      <c r="AH128" s="1255"/>
      <c r="AI128" s="1255"/>
      <c r="AJ128" s="1255"/>
      <c r="AK128" s="1255"/>
      <c r="AL128" s="1255"/>
    </row>
    <row r="129" spans="20:38" ht="14.4" hidden="1" customHeight="1" x14ac:dyDescent="0.3">
      <c r="T129" s="1255"/>
      <c r="U129" s="1255"/>
      <c r="V129" s="1255"/>
      <c r="W129" s="1255"/>
      <c r="X129" s="1255"/>
      <c r="Y129" s="1255"/>
      <c r="Z129" s="1255"/>
      <c r="AA129" s="1255"/>
      <c r="AB129" s="1255"/>
      <c r="AC129" s="1255"/>
      <c r="AD129" s="1255"/>
      <c r="AE129" s="1255"/>
      <c r="AF129" s="1255"/>
      <c r="AG129" s="1255"/>
      <c r="AH129" s="1255"/>
      <c r="AI129" s="1255"/>
      <c r="AJ129" s="1255"/>
      <c r="AK129" s="1255"/>
      <c r="AL129" s="1255"/>
    </row>
    <row r="130" spans="20:38" ht="14.4" hidden="1" customHeight="1" x14ac:dyDescent="0.3">
      <c r="T130" s="1255"/>
      <c r="U130" s="1255"/>
      <c r="V130" s="1255"/>
      <c r="W130" s="1255"/>
      <c r="X130" s="1255"/>
      <c r="Y130" s="1255"/>
      <c r="Z130" s="1255"/>
      <c r="AA130" s="1255"/>
      <c r="AB130" s="1255"/>
      <c r="AC130" s="1255"/>
      <c r="AD130" s="1255"/>
      <c r="AE130" s="1255"/>
      <c r="AF130" s="1255"/>
      <c r="AG130" s="1255"/>
      <c r="AH130" s="1255"/>
      <c r="AI130" s="1255"/>
      <c r="AJ130" s="1255"/>
      <c r="AK130" s="1255"/>
      <c r="AL130" s="1255"/>
    </row>
    <row r="131" spans="20:38" ht="14.4" hidden="1" customHeight="1" x14ac:dyDescent="0.3">
      <c r="T131" s="1255"/>
      <c r="U131" s="1255"/>
      <c r="V131" s="1255"/>
      <c r="W131" s="1255"/>
      <c r="X131" s="1255"/>
      <c r="Y131" s="1255"/>
      <c r="Z131" s="1255"/>
      <c r="AA131" s="1255"/>
      <c r="AB131" s="1255"/>
      <c r="AC131" s="1255"/>
      <c r="AD131" s="1255"/>
      <c r="AE131" s="1255"/>
      <c r="AF131" s="1255"/>
      <c r="AG131" s="1255"/>
      <c r="AH131" s="1255"/>
      <c r="AI131" s="1255"/>
      <c r="AJ131" s="1255"/>
      <c r="AK131" s="1255"/>
      <c r="AL131" s="1255"/>
    </row>
    <row r="132" spans="20:38" ht="14.4" hidden="1" customHeight="1" x14ac:dyDescent="0.3">
      <c r="T132" s="1255"/>
      <c r="U132" s="1255"/>
      <c r="V132" s="1255"/>
      <c r="W132" s="1255"/>
      <c r="X132" s="1255"/>
      <c r="Y132" s="1255"/>
      <c r="Z132" s="1255"/>
      <c r="AA132" s="1255"/>
      <c r="AB132" s="1255"/>
      <c r="AC132" s="1255"/>
      <c r="AD132" s="1255"/>
      <c r="AE132" s="1255"/>
      <c r="AF132" s="1255"/>
      <c r="AG132" s="1255"/>
      <c r="AH132" s="1255"/>
      <c r="AI132" s="1255"/>
      <c r="AJ132" s="1255"/>
      <c r="AK132" s="1255"/>
      <c r="AL132" s="1255"/>
    </row>
    <row r="133" spans="20:38" ht="14.4" hidden="1" customHeight="1" x14ac:dyDescent="0.3">
      <c r="T133" s="1255"/>
      <c r="U133" s="1255"/>
      <c r="V133" s="1255"/>
      <c r="W133" s="1255"/>
      <c r="X133" s="1255"/>
      <c r="Y133" s="1255"/>
      <c r="Z133" s="1255"/>
      <c r="AA133" s="1255"/>
      <c r="AB133" s="1255"/>
      <c r="AC133" s="1255"/>
      <c r="AD133" s="1255"/>
      <c r="AE133" s="1255"/>
      <c r="AF133" s="1255"/>
      <c r="AG133" s="1255"/>
      <c r="AH133" s="1255"/>
      <c r="AI133" s="1255"/>
      <c r="AJ133" s="1255"/>
      <c r="AK133" s="1255"/>
      <c r="AL133" s="1255"/>
    </row>
    <row r="134" spans="20:38" ht="14.4" hidden="1" customHeight="1" x14ac:dyDescent="0.3">
      <c r="T134" s="1255"/>
      <c r="U134" s="1255"/>
      <c r="V134" s="1255"/>
      <c r="W134" s="1255"/>
      <c r="X134" s="1255"/>
      <c r="Y134" s="1255"/>
      <c r="Z134" s="1255"/>
      <c r="AA134" s="1255"/>
      <c r="AB134" s="1255"/>
      <c r="AC134" s="1255"/>
      <c r="AD134" s="1255"/>
      <c r="AE134" s="1255"/>
      <c r="AF134" s="1255"/>
      <c r="AG134" s="1255"/>
      <c r="AH134" s="1255"/>
      <c r="AI134" s="1255"/>
      <c r="AJ134" s="1255"/>
      <c r="AK134" s="1255"/>
      <c r="AL134" s="1255"/>
    </row>
    <row r="135" spans="20:38" ht="14.4" hidden="1" customHeight="1" x14ac:dyDescent="0.3">
      <c r="T135" s="1255"/>
      <c r="U135" s="1255"/>
      <c r="V135" s="1255"/>
      <c r="W135" s="1255"/>
      <c r="X135" s="1255"/>
      <c r="Y135" s="1255"/>
      <c r="Z135" s="1255"/>
      <c r="AA135" s="1255"/>
      <c r="AB135" s="1255"/>
      <c r="AC135" s="1255"/>
      <c r="AD135" s="1255"/>
      <c r="AE135" s="1255"/>
      <c r="AF135" s="1255"/>
      <c r="AG135" s="1255"/>
      <c r="AH135" s="1255"/>
      <c r="AI135" s="1255"/>
      <c r="AJ135" s="1255"/>
      <c r="AK135" s="1255"/>
      <c r="AL135" s="1255"/>
    </row>
    <row r="136" spans="20:38" ht="14.4" hidden="1" customHeight="1" x14ac:dyDescent="0.3">
      <c r="T136" s="1255"/>
      <c r="U136" s="1255"/>
      <c r="V136" s="1255"/>
      <c r="W136" s="1255"/>
      <c r="X136" s="1255"/>
      <c r="Y136" s="1255"/>
      <c r="Z136" s="1255"/>
      <c r="AA136" s="1255"/>
      <c r="AB136" s="1255"/>
      <c r="AC136" s="1255"/>
      <c r="AD136" s="1255"/>
      <c r="AE136" s="1255"/>
      <c r="AF136" s="1255"/>
      <c r="AG136" s="1255"/>
      <c r="AH136" s="1255"/>
      <c r="AI136" s="1255"/>
      <c r="AJ136" s="1255"/>
      <c r="AK136" s="1255"/>
      <c r="AL136" s="1255"/>
    </row>
    <row r="137" spans="20:38" ht="14.4" hidden="1" customHeight="1" x14ac:dyDescent="0.3">
      <c r="T137" s="1255"/>
      <c r="U137" s="1255"/>
      <c r="V137" s="1255"/>
      <c r="W137" s="1255"/>
      <c r="X137" s="1255"/>
      <c r="Y137" s="1255"/>
      <c r="Z137" s="1255"/>
      <c r="AA137" s="1255"/>
      <c r="AB137" s="1255"/>
      <c r="AC137" s="1255"/>
      <c r="AD137" s="1255"/>
      <c r="AE137" s="1255"/>
      <c r="AF137" s="1255"/>
      <c r="AG137" s="1255"/>
      <c r="AH137" s="1255"/>
      <c r="AI137" s="1255"/>
      <c r="AJ137" s="1255"/>
      <c r="AK137" s="1255"/>
      <c r="AL137" s="1255"/>
    </row>
    <row r="138" spans="20:38" ht="14.4" hidden="1" customHeight="1" x14ac:dyDescent="0.3">
      <c r="T138" s="1255"/>
      <c r="U138" s="1255"/>
      <c r="V138" s="1255"/>
      <c r="W138" s="1255"/>
      <c r="X138" s="1255"/>
      <c r="Y138" s="1255"/>
      <c r="Z138" s="1255"/>
      <c r="AA138" s="1255"/>
      <c r="AB138" s="1255"/>
      <c r="AC138" s="1255"/>
      <c r="AD138" s="1255"/>
      <c r="AE138" s="1255"/>
      <c r="AF138" s="1255"/>
      <c r="AG138" s="1255"/>
      <c r="AH138" s="1255"/>
      <c r="AI138" s="1255"/>
      <c r="AJ138" s="1255"/>
      <c r="AK138" s="1255"/>
      <c r="AL138" s="1255"/>
    </row>
  </sheetData>
  <sheetProtection algorithmName="SHA-512" hashValue="TZPGlxcUCP9QPYHKNm+tmW23uSpyhSMG9IVUNHh7Sro1iwczj5lZI73DecNTUj1izZ0XOLf7E6lI5OtxiXGyDQ==" saltValue="wGRA0L0DQ12U557z+KNJlA==" spinCount="100000" sheet="1" objects="1" scenarios="1" selectLockedCells="1"/>
  <mergeCells count="94">
    <mergeCell ref="AQ7:AQ27"/>
    <mergeCell ref="A2:AJ3"/>
    <mergeCell ref="AP2:AS3"/>
    <mergeCell ref="BD3:BH3"/>
    <mergeCell ref="BI3:BM3"/>
    <mergeCell ref="B5:D5"/>
    <mergeCell ref="F5:H5"/>
    <mergeCell ref="J5:L5"/>
    <mergeCell ref="N5:P5"/>
    <mergeCell ref="R5:T5"/>
    <mergeCell ref="V5:X5"/>
    <mergeCell ref="B7:F7"/>
    <mergeCell ref="S7:U7"/>
    <mergeCell ref="AJ7:AJ8"/>
    <mergeCell ref="B8:F8"/>
    <mergeCell ref="H8:Q8"/>
    <mergeCell ref="M10:Q10"/>
    <mergeCell ref="AC8:AG8"/>
    <mergeCell ref="B9:F9"/>
    <mergeCell ref="H9:Q9"/>
    <mergeCell ref="AC9:AD9"/>
    <mergeCell ref="S8:Y9"/>
    <mergeCell ref="AF9:AK9"/>
    <mergeCell ref="AD10:AD12"/>
    <mergeCell ref="AE10:AE16"/>
    <mergeCell ref="AD14:AD21"/>
    <mergeCell ref="AB19:AC19"/>
    <mergeCell ref="S13:Y17"/>
    <mergeCell ref="S10:Y12"/>
    <mergeCell ref="S18:Y23"/>
    <mergeCell ref="H10:L10"/>
    <mergeCell ref="B13:F13"/>
    <mergeCell ref="B14:F14"/>
    <mergeCell ref="B19:F19"/>
    <mergeCell ref="B21:F21"/>
    <mergeCell ref="H23:Q23"/>
    <mergeCell ref="H13:Q13"/>
    <mergeCell ref="H14:Q14"/>
    <mergeCell ref="H18:Q18"/>
    <mergeCell ref="H19:Q19"/>
    <mergeCell ref="N20:Q20"/>
    <mergeCell ref="H21:J22"/>
    <mergeCell ref="K21:M22"/>
    <mergeCell ref="N21:Q22"/>
    <mergeCell ref="B11:F11"/>
    <mergeCell ref="H11:L11"/>
    <mergeCell ref="M11:Q11"/>
    <mergeCell ref="B12:F12"/>
    <mergeCell ref="H12:Q12"/>
    <mergeCell ref="AR14:AR18"/>
    <mergeCell ref="B15:F15"/>
    <mergeCell ref="H15:Q15"/>
    <mergeCell ref="B16:E16"/>
    <mergeCell ref="F16:I16"/>
    <mergeCell ref="J16:M16"/>
    <mergeCell ref="N16:Q16"/>
    <mergeCell ref="B17:F17"/>
    <mergeCell ref="H17:Q17"/>
    <mergeCell ref="B18:F18"/>
    <mergeCell ref="AM14:AM21"/>
    <mergeCell ref="AN19:AO19"/>
    <mergeCell ref="AR19:AR23"/>
    <mergeCell ref="B20:E20"/>
    <mergeCell ref="F20:I20"/>
    <mergeCell ref="J20:M20"/>
    <mergeCell ref="B24:F24"/>
    <mergeCell ref="H24:Q24"/>
    <mergeCell ref="AC24:AG24"/>
    <mergeCell ref="B25:F25"/>
    <mergeCell ref="H25:Q25"/>
    <mergeCell ref="S24:U24"/>
    <mergeCell ref="S25:Y31"/>
    <mergeCell ref="AF25:AK25"/>
    <mergeCell ref="B26:F26"/>
    <mergeCell ref="H26:Q26"/>
    <mergeCell ref="AJ26:AJ27"/>
    <mergeCell ref="B27:F27"/>
    <mergeCell ref="H27:Q27"/>
    <mergeCell ref="G7:R7"/>
    <mergeCell ref="AI30:AK30"/>
    <mergeCell ref="AO31:AR32"/>
    <mergeCell ref="B32:Q32"/>
    <mergeCell ref="B28:F28"/>
    <mergeCell ref="H28:Q28"/>
    <mergeCell ref="H29:I29"/>
    <mergeCell ref="J29:Q29"/>
    <mergeCell ref="B30:J31"/>
    <mergeCell ref="K30:K31"/>
    <mergeCell ref="L30:Q31"/>
    <mergeCell ref="AF30:AH30"/>
    <mergeCell ref="AB29:AO29"/>
    <mergeCell ref="AM23:AM25"/>
    <mergeCell ref="AL19:AL25"/>
    <mergeCell ref="AC25:AD25"/>
  </mergeCells>
  <conditionalFormatting sqref="B9:G9">
    <cfRule type="expression" dxfId="382" priority="68">
      <formula>$B$9=0</formula>
    </cfRule>
  </conditionalFormatting>
  <conditionalFormatting sqref="B18:Q18">
    <cfRule type="expression" dxfId="381" priority="67">
      <formula>$B$18=0</formula>
    </cfRule>
  </conditionalFormatting>
  <conditionalFormatting sqref="B14:Q14">
    <cfRule type="expression" dxfId="380" priority="66">
      <formula>$B$14=0</formula>
    </cfRule>
  </conditionalFormatting>
  <conditionalFormatting sqref="B19:G19">
    <cfRule type="expression" dxfId="379" priority="64">
      <formula>$B$19=0</formula>
    </cfRule>
  </conditionalFormatting>
  <conditionalFormatting sqref="H23">
    <cfRule type="expression" dxfId="378" priority="69">
      <formula>$H$25&gt;0</formula>
    </cfRule>
  </conditionalFormatting>
  <conditionalFormatting sqref="AA9:AA10 AA24:AA25">
    <cfRule type="expression" dxfId="377" priority="78">
      <formula>$AU$17=1</formula>
    </cfRule>
  </conditionalFormatting>
  <conditionalFormatting sqref="AP9:AP10 AP24:AP25">
    <cfRule type="expression" dxfId="376" priority="79">
      <formula>$AU$17=2</formula>
    </cfRule>
  </conditionalFormatting>
  <conditionalFormatting sqref="AC6:AD6 AM6:AN6">
    <cfRule type="expression" dxfId="375" priority="80">
      <formula>$AU$17=3</formula>
    </cfRule>
  </conditionalFormatting>
  <conditionalFormatting sqref="AC28:AD28 AM28:AN28">
    <cfRule type="expression" dxfId="374" priority="81">
      <formula>$AU$17=4</formula>
    </cfRule>
  </conditionalFormatting>
  <conditionalFormatting sqref="AA16:AA17">
    <cfRule type="expression" dxfId="373" priority="90">
      <formula>$AU$24="1_3"</formula>
    </cfRule>
  </conditionalFormatting>
  <conditionalFormatting sqref="AP16:AP17">
    <cfRule type="expression" dxfId="372" priority="91">
      <formula>$AU$24="2_3"</formula>
    </cfRule>
  </conditionalFormatting>
  <conditionalFormatting sqref="AH6:AI6">
    <cfRule type="expression" dxfId="371" priority="92">
      <formula>$AU$24="3_3"</formula>
    </cfRule>
  </conditionalFormatting>
  <conditionalFormatting sqref="AH28:AI28">
    <cfRule type="expression" dxfId="370" priority="93">
      <formula>$AU$24="4_3"</formula>
    </cfRule>
  </conditionalFormatting>
  <conditionalFormatting sqref="B11:G11">
    <cfRule type="expression" dxfId="369" priority="99">
      <formula>$AU$10=0</formula>
    </cfRule>
  </conditionalFormatting>
  <conditionalFormatting sqref="B5 F5 J5 N5 R5 V5">
    <cfRule type="cellIs" dxfId="368" priority="53" operator="equal">
      <formula>$A$2</formula>
    </cfRule>
  </conditionalFormatting>
  <conditionalFormatting sqref="S24">
    <cfRule type="cellIs" dxfId="367" priority="50" operator="equal">
      <formula>0</formula>
    </cfRule>
  </conditionalFormatting>
  <conditionalFormatting sqref="S7">
    <cfRule type="cellIs" dxfId="366" priority="51" operator="equal">
      <formula>0</formula>
    </cfRule>
  </conditionalFormatting>
  <conditionalFormatting sqref="S10:Y23">
    <cfRule type="cellIs" dxfId="365" priority="49" operator="equal">
      <formula>0</formula>
    </cfRule>
  </conditionalFormatting>
  <conditionalFormatting sqref="H9:Q9">
    <cfRule type="expression" dxfId="364" priority="45">
      <formula>$B$9=0</formula>
    </cfRule>
  </conditionalFormatting>
  <conditionalFormatting sqref="M11:Q11">
    <cfRule type="expression" dxfId="363" priority="46">
      <formula>$AU$10=1</formula>
    </cfRule>
  </conditionalFormatting>
  <conditionalFormatting sqref="H11:L11">
    <cfRule type="expression" dxfId="362" priority="47">
      <formula>$AU$10=2</formula>
    </cfRule>
  </conditionalFormatting>
  <conditionalFormatting sqref="H11:Q11">
    <cfRule type="expression" dxfId="361" priority="48">
      <formula>$AU$10=0</formula>
    </cfRule>
  </conditionalFormatting>
  <conditionalFormatting sqref="H10:L10">
    <cfRule type="expression" dxfId="360" priority="39">
      <formula>$AU$10=2</formula>
    </cfRule>
  </conditionalFormatting>
  <conditionalFormatting sqref="H10:L10">
    <cfRule type="expression" dxfId="359" priority="40">
      <formula>$AU$10=0</formula>
    </cfRule>
  </conditionalFormatting>
  <conditionalFormatting sqref="M10:Q10">
    <cfRule type="expression" dxfId="358" priority="37">
      <formula>$AU$10=1</formula>
    </cfRule>
  </conditionalFormatting>
  <conditionalFormatting sqref="M10:Q10">
    <cfRule type="expression" dxfId="357" priority="38">
      <formula>$AU$10=0</formula>
    </cfRule>
  </conditionalFormatting>
  <conditionalFormatting sqref="S8">
    <cfRule type="cellIs" dxfId="356" priority="34" operator="equal">
      <formula>0</formula>
    </cfRule>
  </conditionalFormatting>
  <conditionalFormatting sqref="AQ7:AQ27">
    <cfRule type="cellIs" dxfId="355" priority="35" operator="equal">
      <formula>0</formula>
    </cfRule>
  </conditionalFormatting>
  <conditionalFormatting sqref="S8:Y9">
    <cfRule type="cellIs" dxfId="354" priority="33" operator="equal">
      <formula>0</formula>
    </cfRule>
  </conditionalFormatting>
  <conditionalFormatting sqref="B20:Q20">
    <cfRule type="expression" dxfId="353" priority="31">
      <formula>$B$20=0</formula>
    </cfRule>
    <cfRule type="expression" dxfId="352" priority="32">
      <formula>$B$19=0</formula>
    </cfRule>
  </conditionalFormatting>
  <conditionalFormatting sqref="G7">
    <cfRule type="expression" dxfId="351" priority="30">
      <formula>$AS$33=1</formula>
    </cfRule>
  </conditionalFormatting>
  <conditionalFormatting sqref="G7:R7">
    <cfRule type="cellIs" dxfId="350" priority="29" operator="equal">
      <formula>0</formula>
    </cfRule>
  </conditionalFormatting>
  <conditionalFormatting sqref="R8">
    <cfRule type="expression" dxfId="349" priority="28">
      <formula>$AS$33=1</formula>
    </cfRule>
  </conditionalFormatting>
  <conditionalFormatting sqref="S25:Y31">
    <cfRule type="expression" dxfId="348" priority="27">
      <formula>$AS$33=1</formula>
    </cfRule>
  </conditionalFormatting>
  <conditionalFormatting sqref="AD14:AD21">
    <cfRule type="expression" dxfId="347" priority="7">
      <formula>$AU$25=1</formula>
    </cfRule>
  </conditionalFormatting>
  <conditionalFormatting sqref="AD10:AD12 AB19:AC19">
    <cfRule type="expression" dxfId="346" priority="8">
      <formula>$AU$25=1</formula>
    </cfRule>
  </conditionalFormatting>
  <conditionalFormatting sqref="AM14:AM21">
    <cfRule type="expression" dxfId="345" priority="9">
      <formula>$AU$25=2</formula>
    </cfRule>
  </conditionalFormatting>
  <conditionalFormatting sqref="AM23:AM25 AN19:AO19">
    <cfRule type="expression" dxfId="344" priority="10">
      <formula>$AU$25=2</formula>
    </cfRule>
  </conditionalFormatting>
  <conditionalFormatting sqref="AF9:AK9">
    <cfRule type="expression" dxfId="343" priority="11">
      <formula>$AU$25=3</formula>
    </cfRule>
  </conditionalFormatting>
  <conditionalFormatting sqref="AC9:AD9 AJ7:AJ8">
    <cfRule type="expression" dxfId="342" priority="12">
      <formula>$AU$25=3</formula>
    </cfRule>
  </conditionalFormatting>
  <conditionalFormatting sqref="AF25:AK25">
    <cfRule type="expression" dxfId="341" priority="13">
      <formula>$AU$25=4</formula>
    </cfRule>
  </conditionalFormatting>
  <conditionalFormatting sqref="AC25:AD25 AJ26:AJ27">
    <cfRule type="expression" dxfId="340" priority="14">
      <formula>$AU$25=4</formula>
    </cfRule>
  </conditionalFormatting>
  <conditionalFormatting sqref="AC24:AG24">
    <cfRule type="expression" dxfId="339" priority="15">
      <formula>$AU$25=4</formula>
    </cfRule>
  </conditionalFormatting>
  <conditionalFormatting sqref="AE10:AE16">
    <cfRule type="expression" dxfId="338" priority="16">
      <formula>$AU$25=1</formula>
    </cfRule>
  </conditionalFormatting>
  <conditionalFormatting sqref="AL19:AL25">
    <cfRule type="expression" dxfId="337" priority="17">
      <formula>$AU$25=2</formula>
    </cfRule>
  </conditionalFormatting>
  <conditionalFormatting sqref="AC8:AG8">
    <cfRule type="expression" dxfId="336" priority="18">
      <formula>$AU$25=3</formula>
    </cfRule>
  </conditionalFormatting>
  <conditionalFormatting sqref="AC14 AC20">
    <cfRule type="expression" dxfId="335" priority="19">
      <formula>$AU$25=1</formula>
    </cfRule>
  </conditionalFormatting>
  <conditionalFormatting sqref="AN20 AN14">
    <cfRule type="expression" dxfId="334" priority="20">
      <formula>$AU$25=2</formula>
    </cfRule>
  </conditionalFormatting>
  <conditionalFormatting sqref="AJ10 AF10">
    <cfRule type="expression" dxfId="333" priority="21">
      <formula>$AU$25=3</formula>
    </cfRule>
  </conditionalFormatting>
  <conditionalFormatting sqref="AF26">
    <cfRule type="expression" dxfId="332" priority="22">
      <formula>$AU$25=4</formula>
    </cfRule>
  </conditionalFormatting>
  <conditionalFormatting sqref="AH7:AH8 AH10:AH24 AH26:AH27">
    <cfRule type="expression" dxfId="331" priority="23">
      <formula>$AU$10=2</formula>
    </cfRule>
  </conditionalFormatting>
  <conditionalFormatting sqref="AB17:AC17 AE17:AL17 AN17:AO17">
    <cfRule type="expression" dxfId="330" priority="24">
      <formula>$AU$10=1</formula>
    </cfRule>
  </conditionalFormatting>
  <conditionalFormatting sqref="AH26:AH27 AH18:AH24 AH10:AH16 AH7:AH8">
    <cfRule type="expression" dxfId="329" priority="25">
      <formula>$AU$10=3</formula>
    </cfRule>
  </conditionalFormatting>
  <conditionalFormatting sqref="AB17:AC17 AE17:AG17 AI17:AL17 AN17:AO17">
    <cfRule type="expression" dxfId="328" priority="26">
      <formula>$AU$10=3</formula>
    </cfRule>
  </conditionalFormatting>
  <conditionalFormatting sqref="AB29:AO29">
    <cfRule type="cellIs" dxfId="327" priority="6" operator="equal">
      <formula>0</formula>
    </cfRule>
  </conditionalFormatting>
  <conditionalFormatting sqref="AB29:AO29">
    <cfRule type="expression" dxfId="326" priority="5">
      <formula>$AS$33=1</formula>
    </cfRule>
  </conditionalFormatting>
  <conditionalFormatting sqref="H19:Q19">
    <cfRule type="expression" dxfId="325" priority="4">
      <formula>$B$19=0</formula>
    </cfRule>
  </conditionalFormatting>
  <conditionalFormatting sqref="B16:Q16">
    <cfRule type="expression" dxfId="324" priority="2">
      <formula>$AU$19=0</formula>
    </cfRule>
  </conditionalFormatting>
  <conditionalFormatting sqref="B17:Q17">
    <cfRule type="expression" dxfId="323" priority="1">
      <formula>$B$17=0</formula>
    </cfRule>
  </conditionalFormatting>
  <dataValidations count="11">
    <dataValidation type="list" allowBlank="1" showInputMessage="1" showErrorMessage="1" sqref="H18:I18" xr:uid="{03423405-0C07-466F-B522-F98C09F29554}">
      <formula1>INDIRECT(CONCATENATE("_",AV7,"_",H15))</formula1>
    </dataValidation>
    <dataValidation type="list" allowBlank="1" showInputMessage="1" showErrorMessage="1" sqref="J18:Q18" xr:uid="{5F81804D-25D0-4183-BD0D-A0814C4ABCEF}">
      <formula1>INDIRECT(CONCATENATE("_",AA10,"_",J15))</formula1>
    </dataValidation>
    <dataValidation type="whole" allowBlank="1" showInputMessage="1" showErrorMessage="1" sqref="J11 L11" xr:uid="{267CBC3B-850C-45FD-9D7C-71607254024B}">
      <formula1>1</formula1>
      <formula2>(V16/100)-1</formula2>
    </dataValidation>
    <dataValidation type="whole" allowBlank="1" showInputMessage="1" showErrorMessage="1" sqref="H11:I11" xr:uid="{A0B29AE3-F0B4-433D-8899-F8C4E9DB28D6}">
      <formula1>1</formula1>
      <formula2>(AR14/100)-1</formula2>
    </dataValidation>
    <dataValidation type="whole" allowBlank="1" showInputMessage="1" showErrorMessage="1" sqref="M11:Q11" xr:uid="{F2A6A9D8-B6CE-4CC1-A313-8B2220270ACC}">
      <formula1>1</formula1>
      <formula2>(AI30/100)-1</formula2>
    </dataValidation>
    <dataValidation type="whole" allowBlank="1" showInputMessage="1" showErrorMessage="1" sqref="K11" xr:uid="{531F17CF-1BD3-49B6-9F7D-F6092B4BB980}">
      <formula1>1</formula1>
      <formula2>(#REF!/100)-1</formula2>
    </dataValidation>
    <dataValidation type="whole" allowBlank="1" showInputMessage="1" showErrorMessage="1" errorTitle="Minimum 80 mm" sqref="F20:I20 N20:Q20" xr:uid="{E6E9C6EB-88AC-492D-9B22-1710CD85D84F}">
      <formula1>80</formula1>
      <formula2>1300</formula2>
    </dataValidation>
    <dataValidation type="list" allowBlank="1" showInputMessage="1" showErrorMessage="1" sqref="H27:Q27" xr:uid="{2C42D2C4-A974-46AE-8FC8-EB73A0EE8530}">
      <formula1>_umisteni_zavesu</formula1>
    </dataValidation>
    <dataValidation type="whole" allowBlank="1" showErrorMessage="1" errorTitle="MAX 1300 mm" error="MAXIMUM 1300 mm x 2500 mm" sqref="AI30:AK30" xr:uid="{1DC719F3-562D-474E-8551-873DD99B1703}">
      <formula1>100</formula1>
      <formula2>IF(AR14&gt;=1250,1250,2550)</formula2>
    </dataValidation>
    <dataValidation type="whole" allowBlank="1" showErrorMessage="1" errorTitle="MAX 2500" error="MAXIMUM 1300 mm x 2500 mm" sqref="AR14:AR18" xr:uid="{5D0647A4-D77B-4BD8-A546-47ABB8B159C7}">
      <formula1>100</formula1>
      <formula2>IF(AI30&gt;=1250,1250,2550)</formula2>
    </dataValidation>
    <dataValidation type="whole" operator="greaterThanOrEqual" allowBlank="1" showInputMessage="1" showErrorMessage="1" sqref="H26:Q26" xr:uid="{3B541465-FD96-40AF-8382-2D3EADE1125B}">
      <formula1>1</formula1>
    </dataValidation>
  </dataValidations>
  <hyperlinks>
    <hyperlink ref="AP2:AS3" location="Hlavní!A1" display="Hlavní!A1" xr:uid="{79EABCE1-9DB6-4452-A5FE-5F109419DA9A}"/>
    <hyperlink ref="F5:H5" location="Ram_2!A1" display="Ram_2!A1" xr:uid="{E2F86BE7-14E9-45EE-ABCE-F1D41AD0F66F}"/>
    <hyperlink ref="J5:L5" location="Ram_3!A1" display="Ram_3!A1" xr:uid="{1CFDD429-7D3A-4853-BEDE-F38995BA190F}"/>
    <hyperlink ref="N5:P5" location="Ram_4!A1" display="Ram_4!A1" xr:uid="{FBE9D14A-872F-47C3-8F84-2BC908D512F7}"/>
    <hyperlink ref="R5:T5" location="Ram_5!A1" display="Ram_5!A1" xr:uid="{C141B69E-EC3A-4E98-A21B-C2656EAA34B4}"/>
    <hyperlink ref="V5:X5" location="Ram_6!A1" display="Ram_6!A1" xr:uid="{68B809E5-9CE5-4C3F-8596-6C87363897C5}"/>
    <hyperlink ref="B5:D5" location="Ram_1!A1" display="Ram_1!A1" xr:uid="{01DD102F-2A6F-4ADB-BD6E-104591DDFF48}"/>
    <hyperlink ref="AO31:AR32" location="_souhrn!A1" display="_souhrn!A1" xr:uid="{A47F4E8E-3D89-4CDD-8009-56298DFAF563}"/>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3825" r:id="rId4" name="Check Box 1967">
              <controlPr locked="0" defaultSize="0" autoFill="0" autoLine="0" autoPict="0">
                <anchor moveWithCells="1">
                  <from>
                    <xdr:col>26</xdr:col>
                    <xdr:colOff>685800</xdr:colOff>
                    <xdr:row>0</xdr:row>
                    <xdr:rowOff>0</xdr:rowOff>
                  </from>
                  <to>
                    <xdr:col>27</xdr:col>
                    <xdr:colOff>0</xdr:colOff>
                    <xdr:row>1</xdr:row>
                    <xdr:rowOff>68580</xdr:rowOff>
                  </to>
                </anchor>
              </controlPr>
            </control>
          </mc:Choice>
        </mc:AlternateContent>
        <mc:AlternateContent xmlns:mc="http://schemas.openxmlformats.org/markup-compatibility/2006">
          <mc:Choice Requires="x14">
            <control shapeId="333826" r:id="rId5" name="Option Button 2">
              <controlPr defaultSize="0" autoFill="0" autoLine="0" autoPict="0">
                <anchor moveWithCells="1">
                  <from>
                    <xdr:col>8</xdr:col>
                    <xdr:colOff>91440</xdr:colOff>
                    <xdr:row>20</xdr:row>
                    <xdr:rowOff>45720</xdr:rowOff>
                  </from>
                  <to>
                    <xdr:col>9</xdr:col>
                    <xdr:colOff>22860</xdr:colOff>
                    <xdr:row>21</xdr:row>
                    <xdr:rowOff>30480</xdr:rowOff>
                  </to>
                </anchor>
              </controlPr>
            </control>
          </mc:Choice>
        </mc:AlternateContent>
        <mc:AlternateContent xmlns:mc="http://schemas.openxmlformats.org/markup-compatibility/2006">
          <mc:Choice Requires="x14">
            <control shapeId="333827" r:id="rId6" name="Option Button 3">
              <controlPr defaultSize="0" autoFill="0" autoLine="0" autoPict="0">
                <anchor moveWithCells="1">
                  <from>
                    <xdr:col>11</xdr:col>
                    <xdr:colOff>106680</xdr:colOff>
                    <xdr:row>20</xdr:row>
                    <xdr:rowOff>30480</xdr:rowOff>
                  </from>
                  <to>
                    <xdr:col>12</xdr:col>
                    <xdr:colOff>7620</xdr:colOff>
                    <xdr:row>21</xdr:row>
                    <xdr:rowOff>68580</xdr:rowOff>
                  </to>
                </anchor>
              </controlPr>
            </control>
          </mc:Choice>
        </mc:AlternateContent>
        <mc:AlternateContent xmlns:mc="http://schemas.openxmlformats.org/markup-compatibility/2006">
          <mc:Choice Requires="x14">
            <control shapeId="333828" r:id="rId7" name="Option Button 4">
              <controlPr defaultSize="0" autoFill="0" autoLine="0" autoPict="0">
                <anchor moveWithCells="1">
                  <from>
                    <xdr:col>14</xdr:col>
                    <xdr:colOff>274320</xdr:colOff>
                    <xdr:row>20</xdr:row>
                    <xdr:rowOff>45720</xdr:rowOff>
                  </from>
                  <to>
                    <xdr:col>15</xdr:col>
                    <xdr:colOff>297180</xdr:colOff>
                    <xdr:row>21</xdr:row>
                    <xdr:rowOff>45720</xdr:rowOff>
                  </to>
                </anchor>
              </controlPr>
            </control>
          </mc:Choice>
        </mc:AlternateContent>
        <mc:AlternateContent xmlns:mc="http://schemas.openxmlformats.org/markup-compatibility/2006">
          <mc:Choice Requires="x14">
            <control shapeId="333829" r:id="rId8" name="Check Box 5">
              <controlPr defaultSize="0" autoFill="0" autoLine="0" autoPict="0">
                <anchor moveWithCells="1">
                  <from>
                    <xdr:col>5</xdr:col>
                    <xdr:colOff>68580</xdr:colOff>
                    <xdr:row>6</xdr:row>
                    <xdr:rowOff>0</xdr:rowOff>
                  </from>
                  <to>
                    <xdr:col>5</xdr:col>
                    <xdr:colOff>289560</xdr:colOff>
                    <xdr:row>6</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3" id="{E5A90C67-CCE8-493E-89F5-050D1CC90A49}">
            <xm:f>kombinace_5!$V$1&lt;3</xm:f>
            <x14:dxf>
              <font>
                <color theme="0"/>
              </font>
              <fill>
                <patternFill>
                  <bgColor theme="0"/>
                </patternFill>
              </fill>
              <border>
                <bottom/>
                <vertical/>
                <horizontal/>
              </border>
            </x14:dxf>
          </x14:cfRule>
          <xm:sqref>B24:Q24</xm:sqref>
        </x14:conditionalFormatting>
        <x14:conditionalFormatting xmlns:xm="http://schemas.microsoft.com/office/excel/2006/main">
          <x14:cfRule type="expression" priority="59" id="{79EAFF2F-AFBB-4A2E-A92B-938F09384257}">
            <xm:f>'Translate &amp; Prices'!$D$1=4</xm:f>
            <x14:dxf>
              <numFmt numFmtId="173" formatCode="#,##0.00\ [$Ft-40E]"/>
            </x14:dxf>
          </x14:cfRule>
          <x14:cfRule type="expression" priority="60" id="{A2460798-DCB1-4BDD-B345-57EF1080D81E}">
            <xm:f>'Translate &amp; Prices'!$D$1=3</xm:f>
            <x14:dxf>
              <numFmt numFmtId="172" formatCode="#,##0.00\ [$zł-415]"/>
            </x14:dxf>
          </x14:cfRule>
          <x14:cfRule type="expression" priority="61" id="{B71A7152-D3AF-4392-A7A4-BF2C3F69FDA6}">
            <xm:f>'Translate &amp; Prices'!$D$1=2</xm:f>
            <x14:dxf>
              <numFmt numFmtId="171" formatCode="#,##0.00\ [$€-1]"/>
            </x14:dxf>
          </x14:cfRule>
          <x14:cfRule type="expression" priority="62" id="{D1F80675-4412-486E-8ED6-83D15752FD45}">
            <xm:f>'Translate &amp; Prices'!$D$1=1</xm:f>
            <x14:dxf>
              <numFmt numFmtId="170" formatCode="#,##0.00\ &quot;Kč&quot;"/>
            </x14:dxf>
          </x14:cfRule>
          <xm:sqref>L30</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32B94628-3651-417C-A8C8-294083E9440F}">
          <x14:formula1>
            <xm:f>IF($H$12=kombinace_1!$DP$2,_znacka_zavesy,_znacka_vyklopy)</xm:f>
          </x14:formula1>
          <xm:sqref>H13:Q13</xm:sqref>
        </x14:dataValidation>
        <x14:dataValidation type="list" allowBlank="1" showInputMessage="1" showErrorMessage="1" xr:uid="{0D646771-2537-4072-B33E-108B9722FE6B}">
          <x14:formula1>
            <xm:f>'Translate &amp; Prices'!$B$536:$B$537</xm:f>
          </x14:formula1>
          <xm:sqref>H29:I29</xm:sqref>
        </x14:dataValidation>
        <x14:dataValidation type="list" allowBlank="1" showInputMessage="1" showErrorMessage="1" xr:uid="{42D71A7F-120E-43DE-8C8D-413E716D9F4E}">
          <x14:formula1>
            <xm:f>kombinace_1!$X$3:$X$5</xm:f>
          </x14:formula1>
          <xm:sqref>H24:Q24</xm:sqref>
        </x14:dataValidation>
        <x14:dataValidation type="list" allowBlank="1" showInputMessage="1" showErrorMessage="1" xr:uid="{C9662861-36C6-4DFF-914C-E258F98085CF}">
          <x14:formula1>
            <xm:f>kombinace_1!$BY$13:$BY$16</xm:f>
          </x14:formula1>
          <xm:sqref>H9:Q9</xm:sqref>
        </x14:dataValidation>
        <x14:dataValidation type="list" allowBlank="1" showInputMessage="1" showErrorMessage="1" xr:uid="{71E07F6C-D199-4601-956E-C164968CA8EC}">
          <x14:formula1>
            <xm:f>kombinace_1!$DN$2:$DN$4</xm:f>
          </x14:formula1>
          <xm:sqref>H14:Q14</xm:sqref>
        </x14:dataValidation>
        <x14:dataValidation type="list" allowBlank="1" showInputMessage="1" showErrorMessage="1" xr:uid="{D4FA6A80-48F1-44E4-A216-F257DB204665}">
          <x14:formula1>
            <xm:f>IF(AU9=2,INDIRECT(CONCATENATE("_",AV7,"_",H13,"_",AA29)),IF(AU9=3,INDIRECT(VLOOKUP(H13,kombinace_1!$AA:$AB,2,0))))</xm:f>
          </x14:formula1>
          <xm:sqref>H15</xm:sqref>
        </x14:dataValidation>
        <x14:dataValidation type="list" allowBlank="1" showInputMessage="1" showErrorMessage="1" xr:uid="{55FFC0E5-5F97-4026-A50C-108AAE204D9D}">
          <x14:formula1>
            <xm:f>IF(#REF!=2,INDIRECT(CONCATENATE("_",AA10,"_",J13,"_",AA20)),IF(#REF!=3,INDIRECT(VLOOKUP(J13,kombinace_1!$AA:$AB,2,0))))</xm:f>
          </x14:formula1>
          <xm:sqref>J15</xm:sqref>
        </x14:dataValidation>
        <x14:dataValidation type="list" allowBlank="1" showInputMessage="1" showErrorMessage="1" xr:uid="{BD6B18B4-0A65-48F6-845F-DCAFE1663B2D}">
          <x14:formula1>
            <xm:f>IF(AA12=2,INDIRECT(CONCATENATE("_",AB10,"_",K13,"_",AB20)),IF(AA12=3,INDIRECT(VLOOKUP(K13,kombinace_1!$AA:$AB,2,0))))</xm:f>
          </x14:formula1>
          <xm:sqref>K15:Q15</xm:sqref>
        </x14:dataValidation>
        <x14:dataValidation type="list" allowBlank="1" showInputMessage="1" showErrorMessage="1" xr:uid="{1E11A686-6012-4342-ABBD-95EEF83A98D1}">
          <x14:formula1>
            <xm:f>IF(AV9=2,INDIRECT(CONCATENATE("_",#REF!,"_",I13,"_",#REF!)),IF(AV9=3,INDIRECT(VLOOKUP(I13,kombinace_1!$AA:$AB,2,0))))</xm:f>
          </x14:formula1>
          <xm:sqref>I15</xm:sqref>
        </x14:dataValidation>
        <x14:dataValidation type="list" allowBlank="1" showInputMessage="1" showErrorMessage="1" xr:uid="{52A08859-2D05-4904-9CF2-F640DFC8727F}">
          <x14:formula1>
            <xm:f>IF(kombinace_5!H1=TRUE,kombinace_1!$BQ$2,kombinace_1!$BQ$2:$BR$2)</xm:f>
          </x14:formula1>
          <xm:sqref>H12:Q12</xm:sqref>
        </x14:dataValidation>
        <x14:dataValidation type="list" allowBlank="1" showInputMessage="1" showErrorMessage="1" xr:uid="{5CD5C2E0-3373-4570-B664-4428043C5257}">
          <x14:formula1>
            <xm:f>IF(kombinace_5!H1=TRUE,_kombinovane_profily,_vše_profily)</xm:f>
          </x14:formula1>
          <xm:sqref>H8:Q8</xm:sqref>
        </x14:dataValidation>
        <x14:dataValidation type="list" allowBlank="1" showInputMessage="1" showErrorMessage="1" xr:uid="{C68FA1DC-6796-4664-9737-D11BE1591A41}">
          <x14:formula1>
            <xm:f>IF(OR(H8=kombinace_1!A15,H8=kombinace_1!A16,H8=kombinace_1!A17,H8=kombinace_1!A22,H8=kombinace_1!A23,,H8=kombinace_1!A24,H8=kombinace_1!A25),_corleone,IF(H8="",_N1,INDIRECT(kombinace_5!S1)))</xm:f>
          </x14:formula1>
          <xm:sqref>H25:Q25</xm:sqref>
        </x14:dataValidation>
        <x14:dataValidation type="list" allowBlank="1" showInputMessage="1" showErrorMessage="1" xr:uid="{2087E4F3-7CE6-4417-8E06-47BEFB1DE81F}">
          <x14:formula1>
            <xm:f>IF(AM19&lt;2100,kombinace_1!BY8:BY12,kombinace_1!BY9:BY12)</xm:f>
          </x14:formula1>
          <xm:sqref>H19:Q19</xm:sqref>
        </x14:dataValidation>
        <x14:dataValidation type="list" allowBlank="1" showInputMessage="1" showErrorMessage="1" xr:uid="{6CEA497E-8687-4153-906F-A3EC13A82B68}">
          <x14:formula1>
            <xm:f>IF(H15=kombinace_1!AB40,'Translate &amp; Prices'!$B$209:$B$211,IF(H15=kombinace_1!AB41,'Translate &amp; Prices'!$B$209:$B$211,'Translate &amp; Prices'!$B$213:$B$217))</xm:f>
          </x14:formula1>
          <xm:sqref>N16:Q16</xm:sqref>
        </x14:dataValidation>
        <x14:dataValidation type="list" allowBlank="1" showInputMessage="1" showErrorMessage="1" xr:uid="{08CDB1B0-29F4-477B-A6B8-543A6111915D}">
          <x14:formula1>
            <xm:f>IF(H15=kombinace_1!AB40,_strong_vzpera_horni,IF(H15=kombinace_1!AB41,_strong_klopna,'Translate &amp; Prices'!$B$165:$B$166))</xm:f>
          </x14:formula1>
          <xm:sqref>F16:I16</xm:sqref>
        </x14:dataValidation>
        <x14:dataValidation type="list" allowBlank="1" showInputMessage="1" showErrorMessage="1" xr:uid="{3CAEA5B9-54A8-4E30-8F2A-0924C6201600}">
          <x14:formula1>
            <xm:f>IF(OR(H8=kombinace_1!F14,H8=kombinace_1!F15,H8=kombinace_1!F16,H8=kombinace_1!F17,H8=kombinace_1!F18,H8=kombinace_1!F19),_zavesy_kombo,IF(H15=kombinace_1!AB8,_ramena_HL,_umisteni_zavesu))</xm:f>
          </x14:formula1>
          <xm:sqref>H17:Q17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597C1-34C8-4CCB-90B3-804BC9D3751C}">
  <sheetPr codeName="List18"/>
  <dimension ref="A1:DQ61"/>
  <sheetViews>
    <sheetView topLeftCell="BV1" workbookViewId="0">
      <selection activeCell="CD1" sqref="CD1:CF1048576"/>
    </sheetView>
  </sheetViews>
  <sheetFormatPr defaultRowHeight="14.4" x14ac:dyDescent="0.3"/>
  <cols>
    <col min="1" max="1" width="29.109375" style="137" bestFit="1" customWidth="1"/>
    <col min="2" max="2" width="24" style="137" customWidth="1"/>
    <col min="3" max="3" width="17" style="137" bestFit="1" customWidth="1"/>
    <col min="4" max="4" width="17" style="137" customWidth="1"/>
    <col min="5" max="5" width="3" style="406" customWidth="1"/>
    <col min="6" max="6" width="15.44140625" style="137" bestFit="1" customWidth="1"/>
    <col min="7" max="7" width="11.109375" style="137" bestFit="1" customWidth="1"/>
    <col min="8" max="8" width="18.109375" style="137" bestFit="1" customWidth="1"/>
    <col min="9" max="9" width="24.109375" style="137" bestFit="1" customWidth="1"/>
    <col min="10" max="11" width="18.109375" style="137" customWidth="1"/>
    <col min="12" max="12" width="3" style="406" customWidth="1"/>
    <col min="13" max="13" width="21" style="137" bestFit="1" customWidth="1"/>
    <col min="14" max="14" width="15" style="137" bestFit="1" customWidth="1"/>
    <col min="15" max="15" width="3" style="406" customWidth="1"/>
    <col min="16" max="16" width="23.109375" style="137" customWidth="1"/>
    <col min="17" max="18" width="19.44140625" style="137" bestFit="1" customWidth="1"/>
    <col min="19" max="19" width="19.44140625" style="137" customWidth="1"/>
    <col min="20" max="21" width="15.109375" style="137" customWidth="1"/>
    <col min="22" max="22" width="19.44140625" style="137" bestFit="1" customWidth="1"/>
    <col min="23" max="23" width="3" style="406" customWidth="1"/>
    <col min="24" max="24" width="12.21875" style="137" bestFit="1" customWidth="1"/>
    <col min="25" max="25" width="4.109375" style="137" bestFit="1" customWidth="1"/>
    <col min="26" max="26" width="3" style="406" customWidth="1"/>
    <col min="27" max="27" width="18.5546875" style="137" bestFit="1" customWidth="1"/>
    <col min="28" max="28" width="17.33203125" style="137" bestFit="1" customWidth="1"/>
    <col min="29" max="29" width="14.33203125" style="137" bestFit="1" customWidth="1"/>
    <col min="30" max="30" width="16.44140625" style="137" customWidth="1"/>
    <col min="31" max="31" width="3" style="406" customWidth="1"/>
    <col min="32" max="32" width="17.33203125" style="137" customWidth="1"/>
    <col min="33" max="48" width="16.5546875" style="137" customWidth="1"/>
    <col min="49" max="49" width="3" style="406" customWidth="1"/>
    <col min="50" max="53" width="19.6640625" style="137" customWidth="1"/>
    <col min="54" max="54" width="3" style="406" customWidth="1"/>
    <col min="55" max="61" width="9.5546875" style="137" customWidth="1"/>
    <col min="62" max="62" width="3" style="406" customWidth="1"/>
    <col min="63" max="63" width="17.33203125" style="137" bestFit="1" customWidth="1"/>
    <col min="64" max="64" width="3" style="406" customWidth="1"/>
    <col min="65" max="65" width="12.88671875" style="137" customWidth="1"/>
    <col min="66" max="68" width="8.88671875" style="137"/>
    <col min="69" max="69" width="6.88671875" style="137" bestFit="1" customWidth="1"/>
    <col min="70" max="70" width="18.5546875" style="137" bestFit="1" customWidth="1"/>
    <col min="71" max="72" width="8.88671875" style="137"/>
    <col min="73" max="73" width="13.77734375" style="137" customWidth="1"/>
    <col min="74" max="74" width="32.6640625" style="137" customWidth="1"/>
    <col min="75" max="75" width="17.77734375" style="137" customWidth="1"/>
    <col min="76" max="76" width="8.88671875" style="137"/>
    <col min="77" max="77" width="21.33203125" style="137" bestFit="1" customWidth="1"/>
    <col min="78" max="81" width="8.88671875" style="137"/>
    <col min="82" max="82" width="16.5546875" style="137" customWidth="1"/>
    <col min="83" max="84" width="8.88671875" style="137"/>
    <col min="85" max="85" width="28.77734375" style="137" bestFit="1" customWidth="1"/>
    <col min="86" max="86" width="23.33203125" style="137" bestFit="1" customWidth="1"/>
    <col min="87" max="87" width="20.88671875" style="137" bestFit="1" customWidth="1"/>
    <col min="88" max="88" width="22.109375" style="137" bestFit="1" customWidth="1"/>
    <col min="89" max="89" width="23.5546875" style="137" bestFit="1" customWidth="1"/>
    <col min="90" max="90" width="20.109375" style="137" bestFit="1" customWidth="1"/>
    <col min="91" max="91" width="23.5546875" style="137" bestFit="1" customWidth="1"/>
    <col min="92" max="92" width="20.109375" style="137" bestFit="1" customWidth="1"/>
    <col min="93" max="93" width="23.5546875" style="137" bestFit="1" customWidth="1"/>
    <col min="94" max="94" width="20.109375" style="137" bestFit="1" customWidth="1"/>
    <col min="95" max="95" width="21.44140625" style="137" bestFit="1" customWidth="1"/>
    <col min="96" max="96" width="19.109375" style="137" bestFit="1" customWidth="1"/>
    <col min="97" max="97" width="21.44140625" style="137" bestFit="1" customWidth="1"/>
    <col min="98" max="98" width="19.109375" style="137" bestFit="1" customWidth="1"/>
    <col min="99" max="99" width="23.5546875" style="137" bestFit="1" customWidth="1"/>
    <col min="100" max="100" width="20.109375" style="137" bestFit="1" customWidth="1"/>
    <col min="101" max="102" width="19.109375" style="137" bestFit="1" customWidth="1"/>
    <col min="103" max="103" width="23.5546875" style="137" bestFit="1" customWidth="1"/>
    <col min="104" max="104" width="20.109375" style="137" bestFit="1" customWidth="1"/>
    <col min="105" max="110" width="19.109375" style="137" bestFit="1" customWidth="1"/>
    <col min="111" max="111" width="23.5546875" style="137" bestFit="1" customWidth="1"/>
    <col min="112" max="112" width="20.109375" style="137" bestFit="1" customWidth="1"/>
    <col min="113" max="113" width="23.5546875" style="137" bestFit="1" customWidth="1"/>
    <col min="114" max="114" width="20.109375" style="137" bestFit="1" customWidth="1"/>
    <col min="115" max="116" width="19.109375" style="137" bestFit="1" customWidth="1"/>
    <col min="117" max="16384" width="8.88671875" style="137"/>
  </cols>
  <sheetData>
    <row r="1" spans="1:121" x14ac:dyDescent="0.3">
      <c r="A1" s="376" t="s">
        <v>38</v>
      </c>
      <c r="B1" s="405"/>
      <c r="C1" s="405"/>
      <c r="D1" s="405"/>
      <c r="F1" s="376" t="s">
        <v>2064</v>
      </c>
      <c r="G1" s="405"/>
      <c r="H1" s="405" t="b">
        <v>0</v>
      </c>
      <c r="I1" s="405"/>
      <c r="J1" s="405"/>
      <c r="K1" s="405"/>
      <c r="M1" s="376" t="s">
        <v>2065</v>
      </c>
      <c r="N1" s="405"/>
      <c r="P1" s="405" t="e" cm="1">
        <f t="array" ref="P1">IF($S$1=Varianta_N1,_N1,IF($S$1=Varianta_A1,_A1,IF($S$1=Varianta_N2,_N2,IF($S$1=Varianta_A2,_A2,IF($S$1=Varianta_N3,_N3,IF($S$1=Varianta_A3,_A3,0))))))</f>
        <v>#N/A</v>
      </c>
      <c r="Q1" s="412" t="s">
        <v>2132</v>
      </c>
      <c r="R1" s="413" t="e">
        <f>VLOOKUP(Ram_5!H8,$A:$C,3,0)</f>
        <v>#N/A</v>
      </c>
      <c r="S1" s="405" t="e">
        <f>CONCATENATE("_",R1,V1)</f>
        <v>#N/A</v>
      </c>
      <c r="T1" s="405"/>
      <c r="U1" s="412" t="s">
        <v>2131</v>
      </c>
      <c r="V1" s="413">
        <v>1</v>
      </c>
      <c r="X1" s="376" t="s">
        <v>2066</v>
      </c>
      <c r="Y1" s="405"/>
      <c r="AA1" s="405" t="s">
        <v>1085</v>
      </c>
      <c r="AB1" s="405"/>
      <c r="AC1" s="405"/>
      <c r="AD1" s="405"/>
      <c r="AF1" s="405" t="s">
        <v>2067</v>
      </c>
      <c r="AG1" s="405"/>
      <c r="AH1" s="405"/>
      <c r="AI1" s="405"/>
      <c r="AJ1" s="405"/>
      <c r="AK1" s="405"/>
      <c r="AL1" s="405"/>
      <c r="AM1" s="405"/>
      <c r="AN1" s="405"/>
      <c r="AO1" s="405"/>
      <c r="AP1" s="405"/>
      <c r="AQ1" s="405"/>
      <c r="AR1" s="405"/>
      <c r="AS1" s="405"/>
      <c r="AT1" s="405"/>
      <c r="AU1" s="405"/>
      <c r="AV1" s="405"/>
      <c r="AX1" s="405" t="s">
        <v>735</v>
      </c>
      <c r="AY1" s="405"/>
      <c r="AZ1" s="405"/>
      <c r="BA1" s="405"/>
      <c r="BC1" s="405" t="s">
        <v>22</v>
      </c>
      <c r="BD1" s="405"/>
      <c r="BE1" s="405"/>
      <c r="BF1" s="405"/>
      <c r="BG1" s="405"/>
      <c r="BH1" s="405"/>
      <c r="BI1" s="405"/>
      <c r="BK1" s="405" t="s">
        <v>1031</v>
      </c>
      <c r="BM1" s="137" t="s">
        <v>2121</v>
      </c>
      <c r="BQ1" s="414" t="s">
        <v>1441</v>
      </c>
    </row>
    <row r="2" spans="1:121" x14ac:dyDescent="0.3">
      <c r="A2" s="407" t="s">
        <v>2068</v>
      </c>
      <c r="B2" s="407" t="s">
        <v>2125</v>
      </c>
      <c r="C2" s="407" t="s">
        <v>2126</v>
      </c>
      <c r="D2" s="407" t="s">
        <v>2065</v>
      </c>
      <c r="F2" s="407" t="s">
        <v>2070</v>
      </c>
      <c r="G2" s="407" t="s">
        <v>2071</v>
      </c>
      <c r="H2" s="407" t="s">
        <v>2072</v>
      </c>
      <c r="I2" s="407" t="s">
        <v>2073</v>
      </c>
      <c r="J2" s="407"/>
      <c r="K2" s="407"/>
      <c r="M2" s="407" t="s">
        <v>2074</v>
      </c>
      <c r="P2" s="407" t="s">
        <v>2127</v>
      </c>
      <c r="Q2" s="407" t="s">
        <v>2124</v>
      </c>
      <c r="R2" s="407" t="s">
        <v>2128</v>
      </c>
      <c r="S2" s="407" t="s">
        <v>2123</v>
      </c>
      <c r="T2" s="407" t="s">
        <v>2129</v>
      </c>
      <c r="U2" s="407" t="s">
        <v>2066</v>
      </c>
      <c r="V2" s="407" t="s">
        <v>2130</v>
      </c>
      <c r="X2" s="407" t="s">
        <v>2075</v>
      </c>
      <c r="Y2" s="407" t="s">
        <v>2076</v>
      </c>
      <c r="AA2" s="407" t="s">
        <v>1441</v>
      </c>
      <c r="AB2" s="407" t="s">
        <v>2077</v>
      </c>
      <c r="AC2" s="407" t="s">
        <v>2078</v>
      </c>
      <c r="AD2" s="407" t="s">
        <v>1031</v>
      </c>
      <c r="AF2" s="408" t="s">
        <v>2079</v>
      </c>
      <c r="AG2" s="408" t="s">
        <v>1030</v>
      </c>
      <c r="AH2" s="137">
        <v>1</v>
      </c>
      <c r="AI2" s="137">
        <v>2</v>
      </c>
      <c r="AJ2" s="137">
        <v>3</v>
      </c>
      <c r="AK2" s="137">
        <v>4</v>
      </c>
      <c r="AL2" s="137">
        <v>5</v>
      </c>
      <c r="AM2" s="137">
        <v>6</v>
      </c>
      <c r="AN2" s="137">
        <v>7</v>
      </c>
      <c r="AO2" s="137">
        <v>8</v>
      </c>
      <c r="AP2" s="137">
        <v>9</v>
      </c>
      <c r="AQ2" s="137">
        <v>10</v>
      </c>
      <c r="AR2" s="137">
        <v>11</v>
      </c>
      <c r="AS2" s="137">
        <v>12</v>
      </c>
      <c r="AT2" s="137">
        <v>13</v>
      </c>
      <c r="AU2" s="137">
        <v>14</v>
      </c>
      <c r="AV2" s="137">
        <v>15</v>
      </c>
      <c r="AX2" s="407" t="s">
        <v>2069</v>
      </c>
      <c r="AY2" s="407" t="s">
        <v>1441</v>
      </c>
      <c r="AZ2" s="407" t="s">
        <v>2080</v>
      </c>
      <c r="BA2" s="407" t="s">
        <v>2081</v>
      </c>
      <c r="BC2" s="409">
        <v>1</v>
      </c>
      <c r="BD2" s="409">
        <v>2</v>
      </c>
      <c r="BE2" s="409">
        <v>3</v>
      </c>
      <c r="BF2" s="409">
        <v>4</v>
      </c>
      <c r="BG2" s="409">
        <v>5</v>
      </c>
      <c r="BH2" s="409">
        <v>6</v>
      </c>
      <c r="BI2" s="409">
        <v>7</v>
      </c>
      <c r="BK2" s="409" t="s">
        <v>2082</v>
      </c>
      <c r="BM2" s="407" t="s">
        <v>2122</v>
      </c>
      <c r="BN2" s="407" t="s">
        <v>2123</v>
      </c>
      <c r="BO2" s="407" t="s">
        <v>2066</v>
      </c>
      <c r="BQ2" s="137" t="str">
        <f>'Translate &amp; Prices'!B531</f>
        <v>Závěsy</v>
      </c>
      <c r="BR2" s="137" t="str">
        <f>'Translate &amp; Prices'!B532</f>
        <v>Výklopy</v>
      </c>
      <c r="BU2" s="137" t="e">
        <f>CONCATENATE("_",#REF!,"_",#REF!)</f>
        <v>#REF!</v>
      </c>
      <c r="BV2" s="137" t="s">
        <v>2149</v>
      </c>
      <c r="BW2" s="137" t="s">
        <v>2144</v>
      </c>
      <c r="BY2" s="137" t="s">
        <v>250</v>
      </c>
      <c r="CA2" s="137" t="s">
        <v>2176</v>
      </c>
      <c r="CD2" s="137" t="s">
        <v>2265</v>
      </c>
      <c r="CF2" s="137" t="s">
        <v>2628</v>
      </c>
      <c r="CG2" s="407" t="s">
        <v>845</v>
      </c>
      <c r="CH2" s="407" t="s">
        <v>2264</v>
      </c>
      <c r="CI2" s="410" t="s">
        <v>845</v>
      </c>
      <c r="CJ2" s="410" t="s">
        <v>2264</v>
      </c>
      <c r="CK2" s="407" t="s">
        <v>845</v>
      </c>
      <c r="CL2" s="407" t="s">
        <v>2264</v>
      </c>
      <c r="CM2" s="410" t="s">
        <v>845</v>
      </c>
      <c r="CN2" s="410" t="s">
        <v>2264</v>
      </c>
      <c r="CO2" s="407" t="s">
        <v>845</v>
      </c>
      <c r="CP2" s="407" t="s">
        <v>2264</v>
      </c>
      <c r="CQ2" s="410" t="s">
        <v>845</v>
      </c>
      <c r="CR2" s="410" t="s">
        <v>2264</v>
      </c>
      <c r="CS2" s="407" t="s">
        <v>845</v>
      </c>
      <c r="CT2" s="407" t="s">
        <v>2264</v>
      </c>
      <c r="CU2" s="410" t="s">
        <v>845</v>
      </c>
      <c r="CV2" s="410" t="s">
        <v>2264</v>
      </c>
      <c r="CW2" s="407" t="s">
        <v>845</v>
      </c>
      <c r="CX2" s="407" t="s">
        <v>2264</v>
      </c>
      <c r="CY2" s="410" t="s">
        <v>845</v>
      </c>
      <c r="CZ2" s="410" t="s">
        <v>2264</v>
      </c>
      <c r="DA2" s="407" t="s">
        <v>845</v>
      </c>
      <c r="DB2" s="407" t="s">
        <v>2264</v>
      </c>
      <c r="DC2" s="410" t="s">
        <v>845</v>
      </c>
      <c r="DD2" s="410" t="s">
        <v>2264</v>
      </c>
      <c r="DE2" s="407" t="s">
        <v>845</v>
      </c>
      <c r="DF2" s="407" t="s">
        <v>2264</v>
      </c>
      <c r="DG2" s="410" t="s">
        <v>845</v>
      </c>
      <c r="DH2" s="410" t="s">
        <v>2264</v>
      </c>
      <c r="DI2" s="407" t="s">
        <v>845</v>
      </c>
      <c r="DJ2" s="407" t="s">
        <v>2264</v>
      </c>
      <c r="DK2" s="410" t="s">
        <v>845</v>
      </c>
      <c r="DL2" s="410" t="s">
        <v>2264</v>
      </c>
      <c r="DN2" s="137" t="str">
        <f>'Translate &amp; Prices'!B533</f>
        <v>Naložený</v>
      </c>
      <c r="DP2" s="137" t="str">
        <f>'Translate &amp; Prices'!B531</f>
        <v>Závěsy</v>
      </c>
      <c r="DQ2" s="137">
        <v>2</v>
      </c>
    </row>
    <row r="3" spans="1:121" x14ac:dyDescent="0.3">
      <c r="A3" s="446" t="str">
        <f>'Translate &amp; Prices'!B6</f>
        <v>BRW (elox.)</v>
      </c>
      <c r="B3" s="137">
        <v>1</v>
      </c>
      <c r="C3" s="137" t="s">
        <v>1222</v>
      </c>
      <c r="D3" s="137">
        <v>1</v>
      </c>
      <c r="F3" s="137" t="s">
        <v>2083</v>
      </c>
      <c r="G3" s="137" t="s">
        <v>713</v>
      </c>
      <c r="H3" s="137" t="s">
        <v>2084</v>
      </c>
      <c r="I3" s="137">
        <v>1</v>
      </c>
      <c r="J3" s="137">
        <v>2</v>
      </c>
      <c r="K3" s="137" t="s">
        <v>1222</v>
      </c>
      <c r="M3" s="137" t="s">
        <v>2085</v>
      </c>
      <c r="N3" s="137" t="s">
        <v>991</v>
      </c>
      <c r="Q3" s="414" t="s">
        <v>2134</v>
      </c>
      <c r="R3" s="414" t="s">
        <v>2135</v>
      </c>
      <c r="S3" s="414" t="s">
        <v>2136</v>
      </c>
      <c r="T3" s="414" t="s">
        <v>2137</v>
      </c>
      <c r="U3" s="414" t="s">
        <v>2138</v>
      </c>
      <c r="V3" s="414" t="s">
        <v>2139</v>
      </c>
      <c r="X3" s="137" t="str">
        <f>'Translate &amp; Prices'!$B$543</f>
        <v>Transparentní</v>
      </c>
      <c r="Y3" s="137">
        <v>1</v>
      </c>
      <c r="AA3" s="137" t="s">
        <v>2087</v>
      </c>
      <c r="AB3" s="137" t="s">
        <v>2144</v>
      </c>
      <c r="AF3" s="407" t="s">
        <v>245</v>
      </c>
      <c r="AG3" s="407" t="s">
        <v>1032</v>
      </c>
      <c r="AY3" s="137" t="s">
        <v>2117</v>
      </c>
      <c r="BK3" s="137" t="s">
        <v>245</v>
      </c>
      <c r="BQ3" s="137" t="s">
        <v>2117</v>
      </c>
      <c r="BR3" s="137" t="s">
        <v>2087</v>
      </c>
      <c r="BU3" s="137" t="e">
        <f>VLOOKUP(BU2,BV:BW,2,0)</f>
        <v>#REF!</v>
      </c>
      <c r="BV3" s="137" t="s">
        <v>2152</v>
      </c>
      <c r="BW3" s="137" t="s">
        <v>2148</v>
      </c>
      <c r="BY3" s="137" t="str">
        <f>'Translate &amp; Prices'!B210</f>
        <v>Vlevo</v>
      </c>
      <c r="BZ3" s="137">
        <v>1</v>
      </c>
      <c r="CA3" s="137">
        <v>32</v>
      </c>
      <c r="CD3" s="137" t="s">
        <v>2272</v>
      </c>
      <c r="CE3" s="137">
        <v>1</v>
      </c>
      <c r="CF3" s="137">
        <v>1</v>
      </c>
      <c r="CG3" s="407" t="s">
        <v>2272</v>
      </c>
      <c r="CH3" s="407" t="s">
        <v>2272</v>
      </c>
      <c r="CI3" s="410" t="s">
        <v>2273</v>
      </c>
      <c r="CJ3" s="410" t="s">
        <v>2273</v>
      </c>
      <c r="CK3" s="407" t="s">
        <v>2097</v>
      </c>
      <c r="CL3" s="407" t="s">
        <v>2097</v>
      </c>
      <c r="CM3" s="410" t="s">
        <v>2100</v>
      </c>
      <c r="CN3" s="410" t="s">
        <v>2100</v>
      </c>
      <c r="CO3" s="407" t="s">
        <v>2107</v>
      </c>
      <c r="CP3" s="407" t="s">
        <v>2107</v>
      </c>
      <c r="CQ3" s="410" t="s">
        <v>2274</v>
      </c>
      <c r="CR3" s="410" t="s">
        <v>2274</v>
      </c>
      <c r="CS3" s="407" t="s">
        <v>2102</v>
      </c>
      <c r="CT3" s="407" t="s">
        <v>2102</v>
      </c>
      <c r="CU3" s="410" t="s">
        <v>2108</v>
      </c>
      <c r="CV3" s="410" t="s">
        <v>2108</v>
      </c>
      <c r="CW3" s="407" t="s">
        <v>2269</v>
      </c>
      <c r="CX3" s="407" t="s">
        <v>2269</v>
      </c>
      <c r="CY3" s="410" t="s">
        <v>2111</v>
      </c>
      <c r="CZ3" s="410" t="s">
        <v>2111</v>
      </c>
      <c r="DA3" s="407" t="s">
        <v>2268</v>
      </c>
      <c r="DB3" s="407" t="s">
        <v>2268</v>
      </c>
      <c r="DC3" s="410" t="s">
        <v>2113</v>
      </c>
      <c r="DD3" s="410" t="s">
        <v>2113</v>
      </c>
      <c r="DE3" s="407" t="s">
        <v>2114</v>
      </c>
      <c r="DF3" s="407" t="s">
        <v>2114</v>
      </c>
      <c r="DG3" s="137" t="s">
        <v>2638</v>
      </c>
      <c r="DH3" s="137" t="s">
        <v>2638</v>
      </c>
      <c r="DI3" s="137" t="s">
        <v>2639</v>
      </c>
      <c r="DJ3" s="137" t="s">
        <v>2639</v>
      </c>
      <c r="DK3" s="410" t="s">
        <v>2119</v>
      </c>
      <c r="DL3" s="410" t="s">
        <v>2119</v>
      </c>
      <c r="DN3" s="137" t="str">
        <f>'Translate &amp; Prices'!B534</f>
        <v>Polonaložený</v>
      </c>
      <c r="DP3" s="137" t="str">
        <f>'Translate &amp; Prices'!B532</f>
        <v>Výklopy</v>
      </c>
      <c r="DQ3" s="137">
        <v>3</v>
      </c>
    </row>
    <row r="4" spans="1:121" x14ac:dyDescent="0.3">
      <c r="A4" s="446" t="str">
        <f>'Translate &amp; Prices'!B7</f>
        <v>BRW antracit</v>
      </c>
      <c r="B4" s="137">
        <v>1</v>
      </c>
      <c r="C4" s="137" t="s">
        <v>1222</v>
      </c>
      <c r="D4" s="137">
        <v>0</v>
      </c>
      <c r="G4" s="137" t="s">
        <v>2084</v>
      </c>
      <c r="H4" s="137" t="s">
        <v>713</v>
      </c>
      <c r="I4" s="137">
        <v>0</v>
      </c>
      <c r="J4" s="137">
        <v>2</v>
      </c>
      <c r="K4" s="137" t="s">
        <v>1222</v>
      </c>
      <c r="M4" s="137" t="s">
        <v>2088</v>
      </c>
      <c r="N4" s="137" t="s">
        <v>1648</v>
      </c>
      <c r="Q4" s="446" t="str">
        <f>'Translate &amp; Prices'!$B$82</f>
        <v>Čiré</v>
      </c>
      <c r="R4" s="446" t="str">
        <f>'Translate &amp; Prices'!$B$93</f>
        <v>Stopsol bronz</v>
      </c>
      <c r="S4" s="446" t="str">
        <f>'Translate &amp; Prices'!$B$82</f>
        <v>Čiré</v>
      </c>
      <c r="T4" s="446" t="str">
        <f>'Translate &amp; Prices'!$B$93</f>
        <v>Stopsol bronz</v>
      </c>
      <c r="U4" s="446" t="str">
        <f>'Translate &amp; Prices'!$B$98</f>
        <v>Zrcadlo</v>
      </c>
      <c r="V4" s="446" t="str">
        <f>'Translate &amp; Prices'!$B$98</f>
        <v>Zrcadlo</v>
      </c>
      <c r="X4" s="137" t="str">
        <f>'Translate &amp; Prices'!$B$544</f>
        <v>Bílá</v>
      </c>
      <c r="Y4" s="137">
        <v>2</v>
      </c>
      <c r="AA4" s="137" t="s">
        <v>2087</v>
      </c>
      <c r="AB4" s="137" t="s">
        <v>2272</v>
      </c>
      <c r="AC4" s="137">
        <v>1</v>
      </c>
      <c r="AD4" s="137">
        <v>1</v>
      </c>
      <c r="AF4" s="407" t="s">
        <v>246</v>
      </c>
      <c r="AG4" s="407" t="s">
        <v>1032</v>
      </c>
      <c r="AY4" s="137" t="s">
        <v>2117</v>
      </c>
      <c r="AZ4" s="137" t="s">
        <v>2154</v>
      </c>
      <c r="BK4" s="137" t="s">
        <v>246</v>
      </c>
      <c r="BQ4" s="137" t="s">
        <v>2087</v>
      </c>
      <c r="BR4" s="137" t="s">
        <v>2099</v>
      </c>
      <c r="BV4" s="137" t="s">
        <v>2153</v>
      </c>
      <c r="BW4" s="137" t="s">
        <v>2147</v>
      </c>
      <c r="BY4" s="137" t="str">
        <f>'Translate &amp; Prices'!B209</f>
        <v xml:space="preserve">Vpravo </v>
      </c>
      <c r="BZ4" s="137">
        <v>2</v>
      </c>
      <c r="CA4" s="137">
        <v>64</v>
      </c>
      <c r="CD4" s="137" t="s">
        <v>2273</v>
      </c>
      <c r="CE4" s="137">
        <v>1</v>
      </c>
      <c r="CF4" s="137">
        <v>0</v>
      </c>
      <c r="CG4" s="137" t="str">
        <f>CONCATENATE("_",CG2,"_",CG3)</f>
        <v>_Úzký_Aventos_HF</v>
      </c>
      <c r="CH4" s="137" t="str">
        <f t="shared" ref="CH4:DL4" si="0">CONCATENATE("_",CH2,"_",CH3)</f>
        <v>_široký_Aventos_HF</v>
      </c>
      <c r="CI4" s="137" t="str">
        <f t="shared" si="0"/>
        <v>_Úzký_Aventos_HK-XS</v>
      </c>
      <c r="CJ4" s="137" t="str">
        <f t="shared" si="0"/>
        <v>_široký_Aventos_HK-XS</v>
      </c>
      <c r="CK4" s="137" t="str">
        <f t="shared" si="0"/>
        <v>_Úzký_FREElight</v>
      </c>
      <c r="CL4" s="137" t="str">
        <f t="shared" si="0"/>
        <v>_široký_FREElight</v>
      </c>
      <c r="CM4" s="137" t="str">
        <f t="shared" si="0"/>
        <v>_Úzký_FREEfold</v>
      </c>
      <c r="CN4" s="137" t="str">
        <f t="shared" si="0"/>
        <v>_široký_FREEfold</v>
      </c>
      <c r="CO4" s="137" t="str">
        <f t="shared" si="0"/>
        <v>_Úzký_Maxi</v>
      </c>
      <c r="CP4" s="137" t="str">
        <f t="shared" si="0"/>
        <v>_široký_Maxi</v>
      </c>
      <c r="CQ4" s="137" t="str">
        <f t="shared" si="0"/>
        <v>_Úzký_Duo_Forte</v>
      </c>
      <c r="CR4" s="137" t="str">
        <f t="shared" si="0"/>
        <v>_široký_Duo_Forte</v>
      </c>
      <c r="CS4" s="137" t="str">
        <f t="shared" si="0"/>
        <v>_Úzký_Duo</v>
      </c>
      <c r="CT4" s="137" t="str">
        <f t="shared" si="0"/>
        <v>_široký_Duo</v>
      </c>
      <c r="CU4" s="137" t="str">
        <f t="shared" si="0"/>
        <v>_Úzký_K12</v>
      </c>
      <c r="CV4" s="137" t="str">
        <f t="shared" si="0"/>
        <v>_široký_K12</v>
      </c>
      <c r="CW4" s="137" t="str">
        <f t="shared" si="0"/>
        <v>_Úzký_Spodní_K12</v>
      </c>
      <c r="CX4" s="137" t="str">
        <f t="shared" si="0"/>
        <v>_široký_Spodní_K12</v>
      </c>
      <c r="CY4" s="137" t="str">
        <f t="shared" si="0"/>
        <v>_Úzký_Kraby</v>
      </c>
      <c r="CZ4" s="137" t="str">
        <f t="shared" si="0"/>
        <v>_široký_Kraby</v>
      </c>
      <c r="DA4" s="137" t="str">
        <f t="shared" si="0"/>
        <v>_Úzký_Spodní_Kraby</v>
      </c>
      <c r="DB4" s="137" t="str">
        <f t="shared" si="0"/>
        <v>_široký_Spodní_Kraby</v>
      </c>
      <c r="DC4" s="137" t="str">
        <f t="shared" si="0"/>
        <v>_Úzký_Kiaro</v>
      </c>
      <c r="DD4" s="137" t="str">
        <f t="shared" si="0"/>
        <v>_široký_Kiaro</v>
      </c>
      <c r="DE4" s="137" t="str">
        <f t="shared" si="0"/>
        <v>_Úzký_Link</v>
      </c>
      <c r="DF4" s="137" t="str">
        <f t="shared" si="0"/>
        <v>_široký_Link</v>
      </c>
      <c r="DG4" s="137" t="str">
        <f t="shared" si="0"/>
        <v>_Úzký_Strong_horní</v>
      </c>
      <c r="DH4" s="137" t="str">
        <f t="shared" si="0"/>
        <v>_široký_Strong_horní</v>
      </c>
      <c r="DI4" s="137" t="str">
        <f t="shared" si="0"/>
        <v>_Úzký_Strong_spodní</v>
      </c>
      <c r="DJ4" s="137" t="str">
        <f t="shared" si="0"/>
        <v>_široký_Strong_spodní</v>
      </c>
      <c r="DK4" s="137" t="str">
        <f t="shared" si="0"/>
        <v>_Úzký_LiftMini</v>
      </c>
      <c r="DL4" s="137" t="str">
        <f t="shared" si="0"/>
        <v>_široký_LiftMini</v>
      </c>
      <c r="DN4" s="137" t="str">
        <f>'Translate &amp; Prices'!B535</f>
        <v>Vložený</v>
      </c>
    </row>
    <row r="5" spans="1:121" x14ac:dyDescent="0.3">
      <c r="A5" s="446" t="str">
        <f>'Translate &amp; Prices'!B8</f>
        <v>BRW bílá mat</v>
      </c>
      <c r="B5" s="137">
        <v>1</v>
      </c>
      <c r="C5" s="137" t="s">
        <v>1222</v>
      </c>
      <c r="D5" s="137">
        <v>0</v>
      </c>
      <c r="F5" s="137" t="s">
        <v>2090</v>
      </c>
      <c r="G5" s="137" t="s">
        <v>712</v>
      </c>
      <c r="H5" s="137" t="s">
        <v>2084</v>
      </c>
      <c r="I5" s="137">
        <v>1</v>
      </c>
      <c r="J5" s="137">
        <v>2</v>
      </c>
      <c r="K5" s="137" t="s">
        <v>1222</v>
      </c>
      <c r="M5" s="137" t="s">
        <v>2091</v>
      </c>
      <c r="N5" s="137" t="s">
        <v>1011</v>
      </c>
      <c r="Q5" s="446" t="str">
        <f>'Translate &amp; Prices'!$B$87</f>
        <v>Satinato</v>
      </c>
      <c r="R5" s="446" t="str">
        <f>'Translate &amp; Prices'!$B$94</f>
        <v>Lakomat</v>
      </c>
      <c r="S5" s="446" t="str">
        <f>'Translate &amp; Prices'!$B$87</f>
        <v>Satinato</v>
      </c>
      <c r="T5" s="446" t="str">
        <f>'Translate &amp; Prices'!$B$105</f>
        <v>Master  Ligne</v>
      </c>
      <c r="U5" s="446" t="str">
        <f>'Translate &amp; Prices'!$B$99</f>
        <v>Zrcadlo hnědé</v>
      </c>
      <c r="V5" s="446" t="str">
        <f>'Translate &amp; Prices'!$B$99</f>
        <v>Zrcadlo hnědé</v>
      </c>
      <c r="X5" s="137" t="str">
        <f>'Translate &amp; Prices'!$B$545</f>
        <v>Černá</v>
      </c>
      <c r="Y5" s="137">
        <v>3</v>
      </c>
      <c r="AA5" s="137" t="s">
        <v>2087</v>
      </c>
      <c r="AB5" s="137" t="s">
        <v>2275</v>
      </c>
      <c r="AC5" s="137">
        <v>0</v>
      </c>
      <c r="AD5" s="137">
        <v>0</v>
      </c>
      <c r="AF5" s="410" t="s">
        <v>245</v>
      </c>
      <c r="AG5" s="410" t="s">
        <v>2093</v>
      </c>
      <c r="AY5" s="137" t="s">
        <v>2117</v>
      </c>
      <c r="AZ5" s="137" t="s">
        <v>2155</v>
      </c>
      <c r="BK5" s="137" t="s">
        <v>2094</v>
      </c>
      <c r="BQ5" s="137" t="s">
        <v>1021</v>
      </c>
      <c r="BR5" s="137" t="s">
        <v>2109</v>
      </c>
      <c r="BV5" s="137" t="s">
        <v>2150</v>
      </c>
      <c r="BW5" s="137" t="s">
        <v>2145</v>
      </c>
      <c r="BY5" s="137" t="str">
        <f>'Translate &amp; Prices'!B207</f>
        <v>Nahoře</v>
      </c>
      <c r="BZ5" s="137">
        <v>3</v>
      </c>
      <c r="CA5" s="137">
        <v>76</v>
      </c>
      <c r="CD5" s="137" t="s">
        <v>2097</v>
      </c>
      <c r="CE5" s="137">
        <v>1</v>
      </c>
      <c r="CF5" s="137">
        <v>0</v>
      </c>
      <c r="CG5" s="404" t="s">
        <v>2177</v>
      </c>
      <c r="CH5" s="404" t="s">
        <v>2185</v>
      </c>
      <c r="CI5" s="404" t="s">
        <v>2192</v>
      </c>
      <c r="CJ5" s="404" t="s">
        <v>2197</v>
      </c>
      <c r="CK5" s="404" t="s">
        <v>2200</v>
      </c>
      <c r="CL5" s="404" t="s">
        <v>2210</v>
      </c>
      <c r="CM5" s="404" t="s">
        <v>2200</v>
      </c>
      <c r="CN5" s="404" t="s">
        <v>2210</v>
      </c>
      <c r="CO5" s="404" t="s">
        <v>2200</v>
      </c>
      <c r="CP5" s="404" t="s">
        <v>2210</v>
      </c>
      <c r="CQ5" s="404" t="s">
        <v>2221</v>
      </c>
      <c r="CR5" s="404" t="s">
        <v>2229</v>
      </c>
      <c r="CS5" s="404" t="s">
        <v>2221</v>
      </c>
      <c r="CT5" s="404" t="s">
        <v>2229</v>
      </c>
      <c r="CU5" s="404" t="s">
        <v>2200</v>
      </c>
      <c r="CV5" s="404" t="s">
        <v>2210</v>
      </c>
      <c r="CW5" s="404" t="s">
        <v>2221</v>
      </c>
      <c r="CX5" s="404" t="s">
        <v>2235</v>
      </c>
      <c r="CY5" s="404" t="s">
        <v>2200</v>
      </c>
      <c r="CZ5" s="404" t="s">
        <v>2210</v>
      </c>
      <c r="DA5" s="404" t="s">
        <v>2221</v>
      </c>
      <c r="DB5" s="404" t="s">
        <v>2235</v>
      </c>
      <c r="DC5" s="404" t="s">
        <v>2221</v>
      </c>
      <c r="DD5" s="404" t="s">
        <v>2235</v>
      </c>
      <c r="DE5" s="404" t="s">
        <v>2221</v>
      </c>
      <c r="DF5" s="404" t="s">
        <v>2235</v>
      </c>
      <c r="DG5" s="404" t="s">
        <v>2200</v>
      </c>
      <c r="DH5" s="404" t="s">
        <v>2210</v>
      </c>
      <c r="DI5" s="404" t="s">
        <v>2200</v>
      </c>
      <c r="DJ5" s="404" t="s">
        <v>2210</v>
      </c>
      <c r="DK5" s="404" t="s">
        <v>2221</v>
      </c>
      <c r="DL5" s="404" t="s">
        <v>2235</v>
      </c>
    </row>
    <row r="6" spans="1:121" x14ac:dyDescent="0.3">
      <c r="A6" s="446" t="str">
        <f>'Translate &amp; Prices'!B9</f>
        <v>BRW bílá lesk</v>
      </c>
      <c r="B6" s="137">
        <v>1</v>
      </c>
      <c r="C6" s="137" t="s">
        <v>1222</v>
      </c>
      <c r="D6" s="137">
        <v>0</v>
      </c>
      <c r="G6" s="137" t="s">
        <v>2084</v>
      </c>
      <c r="H6" s="137" t="s">
        <v>712</v>
      </c>
      <c r="I6" s="137">
        <v>0</v>
      </c>
      <c r="J6" s="137">
        <v>2</v>
      </c>
      <c r="K6" s="137" t="s">
        <v>1222</v>
      </c>
      <c r="N6" s="137" t="s">
        <v>1624</v>
      </c>
      <c r="Q6" s="446" t="str">
        <f>'Translate &amp; Prices'!$B$89</f>
        <v>Satinato hnědé</v>
      </c>
      <c r="R6" s="446" t="str">
        <f>'Translate &amp; Prices'!$B$98</f>
        <v>Zrcadlo</v>
      </c>
      <c r="S6" s="446" t="str">
        <f>'Translate &amp; Prices'!$B$89</f>
        <v>Satinato hnědé</v>
      </c>
      <c r="T6" s="446" t="str">
        <f>'Translate &amp; Prices'!$B$106</f>
        <v>Master  Point</v>
      </c>
      <c r="U6" s="446" t="str">
        <f>'Translate &amp; Prices'!$B$100</f>
        <v>Zrcadlo grafit</v>
      </c>
      <c r="V6" s="446" t="str">
        <f>'Translate &amp; Prices'!$B$100</f>
        <v>Zrcadlo grafit</v>
      </c>
      <c r="AA6" s="137" t="s">
        <v>2087</v>
      </c>
      <c r="AB6" s="137" t="s">
        <v>2276</v>
      </c>
      <c r="AC6" s="137">
        <v>0</v>
      </c>
      <c r="AD6" s="137">
        <v>0</v>
      </c>
      <c r="AF6" s="410" t="s">
        <v>246</v>
      </c>
      <c r="AG6" s="410" t="s">
        <v>2093</v>
      </c>
      <c r="AY6" s="137" t="s">
        <v>2117</v>
      </c>
      <c r="AZ6" s="137" t="s">
        <v>2156</v>
      </c>
      <c r="BK6" s="137" t="s">
        <v>2095</v>
      </c>
      <c r="BR6" s="137" t="s">
        <v>1021</v>
      </c>
      <c r="BV6" s="137" t="s">
        <v>2151</v>
      </c>
      <c r="BW6" s="137" t="s">
        <v>2146</v>
      </c>
      <c r="BY6" s="137" t="str">
        <f>'Translate &amp; Prices'!B208</f>
        <v>Dole</v>
      </c>
      <c r="BZ6" s="137">
        <v>4</v>
      </c>
      <c r="CA6" s="137">
        <v>96</v>
      </c>
      <c r="CD6" s="137" t="s">
        <v>2100</v>
      </c>
      <c r="CE6" s="137">
        <v>1</v>
      </c>
      <c r="CF6" s="137">
        <v>1</v>
      </c>
      <c r="CG6" s="404"/>
      <c r="CH6" s="404"/>
      <c r="CI6" s="404"/>
      <c r="CJ6" s="404"/>
      <c r="CK6" s="404" t="s">
        <v>2201</v>
      </c>
      <c r="CL6" s="404" t="s">
        <v>2211</v>
      </c>
      <c r="CM6" s="404" t="s">
        <v>2201</v>
      </c>
      <c r="CN6" s="404" t="s">
        <v>2211</v>
      </c>
      <c r="CO6" s="404" t="s">
        <v>2201</v>
      </c>
      <c r="CP6" s="404" t="s">
        <v>2211</v>
      </c>
      <c r="CQ6" s="404" t="s">
        <v>2222</v>
      </c>
      <c r="CR6" s="404" t="s">
        <v>2230</v>
      </c>
      <c r="CS6" s="404" t="s">
        <v>2222</v>
      </c>
      <c r="CT6" s="404" t="s">
        <v>2230</v>
      </c>
      <c r="CU6" s="404" t="s">
        <v>2201</v>
      </c>
      <c r="CV6" s="404" t="s">
        <v>2211</v>
      </c>
      <c r="CW6" s="404" t="s">
        <v>2223</v>
      </c>
      <c r="CX6" s="404" t="s">
        <v>2229</v>
      </c>
      <c r="CY6" s="404" t="s">
        <v>2201</v>
      </c>
      <c r="CZ6" s="404" t="s">
        <v>2211</v>
      </c>
      <c r="DA6" s="404" t="s">
        <v>2223</v>
      </c>
      <c r="DB6" s="404" t="s">
        <v>2229</v>
      </c>
      <c r="DC6" s="404" t="s">
        <v>2223</v>
      </c>
      <c r="DD6" s="404" t="s">
        <v>2229</v>
      </c>
      <c r="DE6" s="404" t="s">
        <v>2223</v>
      </c>
      <c r="DF6" s="404" t="s">
        <v>2229</v>
      </c>
      <c r="DG6" s="404" t="s">
        <v>2201</v>
      </c>
      <c r="DH6" s="404" t="s">
        <v>2211</v>
      </c>
      <c r="DI6" s="404" t="s">
        <v>2201</v>
      </c>
      <c r="DJ6" s="404" t="s">
        <v>2211</v>
      </c>
      <c r="DK6" s="404" t="s">
        <v>2223</v>
      </c>
      <c r="DL6" s="404" t="s">
        <v>2229</v>
      </c>
    </row>
    <row r="7" spans="1:121" x14ac:dyDescent="0.3">
      <c r="A7" s="446" t="str">
        <f>'Translate &amp; Prices'!B10</f>
        <v>BRW hnědá</v>
      </c>
      <c r="B7" s="137">
        <v>1</v>
      </c>
      <c r="C7" s="137" t="s">
        <v>1222</v>
      </c>
      <c r="D7" s="137">
        <v>0</v>
      </c>
      <c r="F7" s="137" t="s">
        <v>2096</v>
      </c>
      <c r="G7" s="137" t="s">
        <v>714</v>
      </c>
      <c r="H7" s="137" t="s">
        <v>2084</v>
      </c>
      <c r="I7" s="137">
        <v>1</v>
      </c>
      <c r="J7" s="137">
        <v>2</v>
      </c>
      <c r="K7" s="137" t="s">
        <v>1222</v>
      </c>
      <c r="Q7" s="446" t="str">
        <f>'Translate &amp; Prices'!$B$90</f>
        <v>Satinato grafit</v>
      </c>
      <c r="R7" s="446" t="str">
        <f>'Translate &amp; Prices'!$B$99</f>
        <v>Zrcadlo hnědé</v>
      </c>
      <c r="S7" s="446" t="str">
        <f>'Translate &amp; Prices'!$B$90</f>
        <v>Satinato grafit</v>
      </c>
      <c r="T7" s="446" t="str">
        <f>'Translate &amp; Prices'!$B$108</f>
        <v>Master  Shine</v>
      </c>
      <c r="U7" s="446" t="str">
        <f>'Translate &amp; Prices'!$B$109</f>
        <v>Lacobel RAL 1013</v>
      </c>
      <c r="V7" s="446" t="str">
        <f>'Translate &amp; Prices'!$B$109</f>
        <v>Lacobel RAL 1013</v>
      </c>
      <c r="AA7" s="137" t="s">
        <v>2087</v>
      </c>
      <c r="AB7" s="137" t="s">
        <v>2277</v>
      </c>
      <c r="AC7" s="137">
        <v>1</v>
      </c>
      <c r="AD7" s="137">
        <v>0</v>
      </c>
      <c r="AF7" s="407" t="s">
        <v>245</v>
      </c>
      <c r="AG7" s="407" t="s">
        <v>2097</v>
      </c>
      <c r="AY7" s="137" t="s">
        <v>2117</v>
      </c>
      <c r="AZ7" s="137" t="s">
        <v>2157</v>
      </c>
      <c r="BK7" s="137" t="s">
        <v>2098</v>
      </c>
      <c r="BR7" s="137" t="s">
        <v>2117</v>
      </c>
      <c r="BV7" s="137" t="s">
        <v>2169</v>
      </c>
      <c r="BW7" s="137" t="s">
        <v>2172</v>
      </c>
      <c r="CA7" s="137">
        <v>128</v>
      </c>
      <c r="CD7" s="137" t="s">
        <v>2102</v>
      </c>
      <c r="CE7" s="137">
        <v>1</v>
      </c>
      <c r="CF7" s="137">
        <v>0</v>
      </c>
      <c r="CG7" s="404"/>
      <c r="CH7" s="404"/>
      <c r="CI7" s="404"/>
      <c r="CJ7" s="404"/>
      <c r="CK7" s="404" t="s">
        <v>2202</v>
      </c>
      <c r="CL7" s="404" t="s">
        <v>2212</v>
      </c>
      <c r="CM7" s="404" t="s">
        <v>2202</v>
      </c>
      <c r="CN7" s="404" t="s">
        <v>2212</v>
      </c>
      <c r="CO7" s="404" t="s">
        <v>2202</v>
      </c>
      <c r="CP7" s="404" t="s">
        <v>2212</v>
      </c>
      <c r="CQ7" s="404" t="s">
        <v>2223</v>
      </c>
      <c r="CR7" s="404" t="s">
        <v>2231</v>
      </c>
      <c r="CS7" s="404" t="s">
        <v>2223</v>
      </c>
      <c r="CT7" s="404" t="s">
        <v>2231</v>
      </c>
      <c r="CU7" s="404" t="s">
        <v>2202</v>
      </c>
      <c r="CV7" s="404" t="s">
        <v>2212</v>
      </c>
      <c r="CW7" s="404" t="s">
        <v>2226</v>
      </c>
      <c r="CX7" s="404" t="s">
        <v>2231</v>
      </c>
      <c r="CY7" s="404" t="s">
        <v>2202</v>
      </c>
      <c r="CZ7" s="404" t="s">
        <v>2212</v>
      </c>
      <c r="DA7" s="404" t="s">
        <v>2226</v>
      </c>
      <c r="DB7" s="404" t="s">
        <v>2231</v>
      </c>
      <c r="DC7" s="404" t="s">
        <v>2226</v>
      </c>
      <c r="DD7" s="404" t="s">
        <v>2231</v>
      </c>
      <c r="DE7" s="404" t="s">
        <v>2226</v>
      </c>
      <c r="DF7" s="404" t="s">
        <v>2231</v>
      </c>
      <c r="DG7" s="404" t="s">
        <v>2202</v>
      </c>
      <c r="DH7" s="404" t="s">
        <v>2212</v>
      </c>
      <c r="DI7" s="404" t="s">
        <v>2202</v>
      </c>
      <c r="DJ7" s="404" t="s">
        <v>2212</v>
      </c>
      <c r="DK7" s="404" t="s">
        <v>2226</v>
      </c>
      <c r="DL7" s="404" t="s">
        <v>2231</v>
      </c>
      <c r="DN7" s="165" t="s">
        <v>125</v>
      </c>
      <c r="DO7" s="165" t="s">
        <v>125</v>
      </c>
    </row>
    <row r="8" spans="1:121" x14ac:dyDescent="0.3">
      <c r="A8" s="446" t="str">
        <f>'Translate &amp; Prices'!B11</f>
        <v>BRW broušené</v>
      </c>
      <c r="B8" s="137">
        <v>1</v>
      </c>
      <c r="C8" s="137" t="s">
        <v>1222</v>
      </c>
      <c r="D8" s="137">
        <v>0</v>
      </c>
      <c r="G8" s="137" t="s">
        <v>2084</v>
      </c>
      <c r="H8" s="137" t="s">
        <v>714</v>
      </c>
      <c r="I8" s="137">
        <v>0</v>
      </c>
      <c r="J8" s="137">
        <v>2</v>
      </c>
      <c r="K8" s="137" t="s">
        <v>1222</v>
      </c>
      <c r="Q8" s="446" t="str">
        <f>'Translate &amp; Prices'!$B$91</f>
        <v>Screen</v>
      </c>
      <c r="R8" s="446" t="str">
        <f>'Translate &amp; Prices'!$B$100</f>
        <v>Zrcadlo grafit</v>
      </c>
      <c r="S8" s="446" t="str">
        <f>'Translate &amp; Prices'!$B$91</f>
        <v>Screen</v>
      </c>
      <c r="U8" s="446" t="str">
        <f>'Translate &amp; Prices'!$B$110</f>
        <v>Lacobel RAL 1014</v>
      </c>
      <c r="V8" s="446" t="str">
        <f>'Translate &amp; Prices'!$B$110</f>
        <v>Lacobel RAL 1014</v>
      </c>
      <c r="AA8" s="137" t="s">
        <v>2087</v>
      </c>
      <c r="AB8" s="137" t="s">
        <v>2278</v>
      </c>
      <c r="AC8" s="137">
        <v>0</v>
      </c>
      <c r="AD8" s="137">
        <v>0</v>
      </c>
      <c r="AF8" s="407" t="s">
        <v>246</v>
      </c>
      <c r="AG8" s="407" t="s">
        <v>2097</v>
      </c>
      <c r="AY8" s="137" t="s">
        <v>2117</v>
      </c>
      <c r="AZ8" s="137" t="s">
        <v>2158</v>
      </c>
      <c r="BV8" s="137" t="s">
        <v>2170</v>
      </c>
      <c r="BW8" s="137" t="s">
        <v>2173</v>
      </c>
      <c r="BY8" s="137">
        <v>2</v>
      </c>
      <c r="CA8" s="137">
        <v>160</v>
      </c>
      <c r="CD8" s="137" t="s">
        <v>2274</v>
      </c>
      <c r="CE8" s="137">
        <v>1</v>
      </c>
      <c r="CF8" s="137">
        <v>0</v>
      </c>
      <c r="CG8" s="404"/>
      <c r="CH8" s="404"/>
      <c r="CI8" s="404"/>
      <c r="CJ8" s="404"/>
      <c r="CK8" s="404" t="s">
        <v>2203</v>
      </c>
      <c r="CL8" s="404" t="s">
        <v>2213</v>
      </c>
      <c r="CM8" s="404" t="s">
        <v>2203</v>
      </c>
      <c r="CN8" s="404" t="s">
        <v>2213</v>
      </c>
      <c r="CO8" s="404" t="s">
        <v>2203</v>
      </c>
      <c r="CP8" s="404" t="s">
        <v>2213</v>
      </c>
      <c r="CQ8" s="404" t="s">
        <v>2224</v>
      </c>
      <c r="CR8" s="404" t="s">
        <v>2232</v>
      </c>
      <c r="CS8" s="404" t="s">
        <v>2224</v>
      </c>
      <c r="CT8" s="404" t="s">
        <v>2232</v>
      </c>
      <c r="CU8" s="404" t="s">
        <v>2203</v>
      </c>
      <c r="CV8" s="404" t="s">
        <v>2213</v>
      </c>
      <c r="CW8" s="404"/>
      <c r="CX8" s="404" t="s">
        <v>2233</v>
      </c>
      <c r="CY8" s="404" t="s">
        <v>2203</v>
      </c>
      <c r="CZ8" s="404" t="s">
        <v>2213</v>
      </c>
      <c r="DA8" s="404"/>
      <c r="DB8" s="404" t="s">
        <v>2233</v>
      </c>
      <c r="DC8" s="404"/>
      <c r="DD8" s="404" t="s">
        <v>2233</v>
      </c>
      <c r="DE8" s="404"/>
      <c r="DF8" s="404" t="s">
        <v>2233</v>
      </c>
      <c r="DG8" s="404" t="s">
        <v>2203</v>
      </c>
      <c r="DH8" s="404" t="s">
        <v>2213</v>
      </c>
      <c r="DI8" s="404" t="s">
        <v>2203</v>
      </c>
      <c r="DJ8" s="404" t="s">
        <v>2213</v>
      </c>
      <c r="DK8" s="404"/>
      <c r="DL8" s="404" t="s">
        <v>2233</v>
      </c>
      <c r="DN8" s="165" t="s">
        <v>126</v>
      </c>
      <c r="DO8" s="165" t="s">
        <v>126</v>
      </c>
    </row>
    <row r="9" spans="1:121" x14ac:dyDescent="0.3">
      <c r="A9" s="446" t="str">
        <f>'Translate &amp; Prices'!B12</f>
        <v>BRW černá mat</v>
      </c>
      <c r="B9" s="137">
        <v>1</v>
      </c>
      <c r="C9" s="137" t="s">
        <v>1222</v>
      </c>
      <c r="D9" s="137">
        <v>1</v>
      </c>
      <c r="Q9" s="446" t="str">
        <f>'Translate &amp; Prices'!$B$92</f>
        <v>Venus VG10</v>
      </c>
      <c r="R9" s="446" t="str">
        <f>'Translate &amp; Prices'!$B$105</f>
        <v>Master  Ligne</v>
      </c>
      <c r="S9" s="446" t="str">
        <f>'Translate &amp; Prices'!$B$92</f>
        <v>Venus VG10</v>
      </c>
      <c r="U9" s="446" t="str">
        <f>'Translate &amp; Prices'!$B$111</f>
        <v>Lacobel RAL 1015</v>
      </c>
      <c r="V9" s="446" t="str">
        <f>'Translate &amp; Prices'!$B$111</f>
        <v>Lacobel RAL 1015</v>
      </c>
      <c r="AB9" s="137" t="s">
        <v>2279</v>
      </c>
      <c r="AC9" s="137">
        <v>0</v>
      </c>
      <c r="AD9" s="137">
        <v>0</v>
      </c>
      <c r="AF9" s="410" t="s">
        <v>245</v>
      </c>
      <c r="AG9" s="410" t="s">
        <v>2100</v>
      </c>
      <c r="AY9" s="137" t="s">
        <v>2087</v>
      </c>
      <c r="BV9" s="137" t="s">
        <v>2171</v>
      </c>
      <c r="BW9" s="137" t="s">
        <v>2174</v>
      </c>
      <c r="BY9" s="137">
        <v>3</v>
      </c>
      <c r="CA9" s="137">
        <v>192</v>
      </c>
      <c r="CD9" s="137" t="s">
        <v>2107</v>
      </c>
      <c r="CE9" s="137">
        <v>1</v>
      </c>
      <c r="CF9" s="137">
        <v>0</v>
      </c>
      <c r="CG9" s="404"/>
      <c r="CH9" s="404"/>
      <c r="CI9" s="404"/>
      <c r="CJ9" s="404"/>
      <c r="CK9" s="404" t="s">
        <v>2204</v>
      </c>
      <c r="CL9" s="404" t="s">
        <v>2214</v>
      </c>
      <c r="CM9" s="404" t="s">
        <v>2204</v>
      </c>
      <c r="CN9" s="404" t="s">
        <v>2214</v>
      </c>
      <c r="CO9" s="404" t="s">
        <v>2204</v>
      </c>
      <c r="CP9" s="404" t="s">
        <v>2214</v>
      </c>
      <c r="CQ9" s="404" t="s">
        <v>2225</v>
      </c>
      <c r="CR9" s="404" t="s">
        <v>2233</v>
      </c>
      <c r="CS9" s="404" t="s">
        <v>2225</v>
      </c>
      <c r="CT9" s="404" t="s">
        <v>2233</v>
      </c>
      <c r="CU9" s="404" t="s">
        <v>2204</v>
      </c>
      <c r="CV9" s="404" t="s">
        <v>2214</v>
      </c>
      <c r="CW9" s="404"/>
      <c r="CX9" s="404"/>
      <c r="CY9" s="404" t="s">
        <v>2204</v>
      </c>
      <c r="CZ9" s="404" t="s">
        <v>2214</v>
      </c>
      <c r="DA9" s="404"/>
      <c r="DB9" s="404"/>
      <c r="DC9" s="404"/>
      <c r="DD9" s="404"/>
      <c r="DE9" s="404"/>
      <c r="DF9" s="404"/>
      <c r="DG9" s="404" t="s">
        <v>2204</v>
      </c>
      <c r="DH9" s="404" t="s">
        <v>2214</v>
      </c>
      <c r="DI9" s="404" t="s">
        <v>2204</v>
      </c>
      <c r="DJ9" s="404" t="s">
        <v>2214</v>
      </c>
      <c r="DK9" s="404"/>
      <c r="DL9" s="404"/>
      <c r="DN9" s="165" t="s">
        <v>127</v>
      </c>
      <c r="DO9" s="165" t="s">
        <v>127</v>
      </c>
    </row>
    <row r="10" spans="1:121" x14ac:dyDescent="0.3">
      <c r="A10" s="446" t="str">
        <f>'Translate &amp; Prices'!B14</f>
        <v>BRW černá broušená</v>
      </c>
      <c r="B10" s="137">
        <v>1</v>
      </c>
      <c r="C10" s="137" t="s">
        <v>1222</v>
      </c>
      <c r="D10" s="137">
        <v>0</v>
      </c>
      <c r="Q10" s="446" t="str">
        <f>'Translate &amp; Prices'!$B$93</f>
        <v>Stopsol bronz</v>
      </c>
      <c r="R10" s="446" t="str">
        <f>'Translate &amp; Prices'!$B$106</f>
        <v>Master  Point</v>
      </c>
      <c r="S10" s="446" t="str">
        <f>'Translate &amp; Prices'!$B$93</f>
        <v>Stopsol bronz</v>
      </c>
      <c r="U10" s="446" t="str">
        <f>'Translate &amp; Prices'!$B$112</f>
        <v>Lacobel RAL 2001</v>
      </c>
      <c r="V10" s="446" t="str">
        <f>'Translate &amp; Prices'!$B$112</f>
        <v>Lacobel RAL 2001</v>
      </c>
      <c r="AF10" s="410" t="s">
        <v>246</v>
      </c>
      <c r="AG10" s="410" t="s">
        <v>2100</v>
      </c>
      <c r="AY10" s="137" t="s">
        <v>2087</v>
      </c>
      <c r="AZ10" s="137" t="s">
        <v>2159</v>
      </c>
      <c r="CA10" s="137">
        <v>224</v>
      </c>
      <c r="CD10" s="137" t="s">
        <v>2108</v>
      </c>
      <c r="CE10" s="137">
        <v>1</v>
      </c>
      <c r="CF10" s="137">
        <v>0</v>
      </c>
      <c r="CG10" s="404"/>
      <c r="CH10" s="404"/>
      <c r="CI10" s="404"/>
      <c r="CJ10" s="404"/>
      <c r="CK10" s="404" t="s">
        <v>2205</v>
      </c>
      <c r="CL10" s="404" t="s">
        <v>2215</v>
      </c>
      <c r="CM10" s="404" t="s">
        <v>2205</v>
      </c>
      <c r="CN10" s="404" t="s">
        <v>2215</v>
      </c>
      <c r="CO10" s="404" t="s">
        <v>2205</v>
      </c>
      <c r="CP10" s="404" t="s">
        <v>2215</v>
      </c>
      <c r="CQ10" s="404" t="s">
        <v>2226</v>
      </c>
      <c r="CR10" s="404" t="s">
        <v>2234</v>
      </c>
      <c r="CS10" s="404" t="s">
        <v>2226</v>
      </c>
      <c r="CT10" s="404" t="s">
        <v>2234</v>
      </c>
      <c r="CU10" s="404" t="s">
        <v>2205</v>
      </c>
      <c r="CV10" s="404" t="s">
        <v>2215</v>
      </c>
      <c r="CW10" s="404"/>
      <c r="CX10" s="404"/>
      <c r="CY10" s="404" t="s">
        <v>2205</v>
      </c>
      <c r="CZ10" s="404" t="s">
        <v>2215</v>
      </c>
      <c r="DA10" s="404"/>
      <c r="DB10" s="404"/>
      <c r="DC10" s="404"/>
      <c r="DD10" s="404"/>
      <c r="DE10" s="404"/>
      <c r="DF10" s="404"/>
      <c r="DG10" s="404" t="s">
        <v>2205</v>
      </c>
      <c r="DH10" s="404" t="s">
        <v>2215</v>
      </c>
      <c r="DI10" s="404" t="s">
        <v>2205</v>
      </c>
      <c r="DJ10" s="404" t="s">
        <v>2215</v>
      </c>
      <c r="DK10" s="404"/>
      <c r="DL10" s="404"/>
      <c r="DN10" s="166" t="s">
        <v>125</v>
      </c>
      <c r="DO10" s="165" t="s">
        <v>125</v>
      </c>
    </row>
    <row r="11" spans="1:121" x14ac:dyDescent="0.3">
      <c r="A11" s="446" t="str">
        <f>'Translate &amp; Prices'!B15</f>
        <v>BRW světlá nerez (ACIER GRATA)</v>
      </c>
      <c r="B11" s="137">
        <v>1</v>
      </c>
      <c r="C11" s="137" t="s">
        <v>1222</v>
      </c>
      <c r="D11" s="137">
        <v>0</v>
      </c>
      <c r="Q11" s="446" t="str">
        <f>'Translate &amp; Prices'!$B$94</f>
        <v>Lakomat</v>
      </c>
      <c r="R11" s="446" t="str">
        <f>'Translate &amp; Prices'!$B$108</f>
        <v>Master  Shine</v>
      </c>
      <c r="S11" s="446" t="str">
        <f>'Translate &amp; Prices'!$B$96</f>
        <v>Antisol bronz</v>
      </c>
      <c r="U11" s="446" t="str">
        <f>'Translate &amp; Prices'!$B$113</f>
        <v>Lacobel RAL 3004</v>
      </c>
      <c r="V11" s="446" t="str">
        <f>'Translate &amp; Prices'!$B$113</f>
        <v>Lacobel RAL 3004</v>
      </c>
      <c r="AF11" s="407" t="s">
        <v>245</v>
      </c>
      <c r="AG11" s="407" t="s">
        <v>2102</v>
      </c>
      <c r="AY11" s="137" t="s">
        <v>2087</v>
      </c>
      <c r="AZ11" s="137" t="s">
        <v>2160</v>
      </c>
      <c r="CA11" s="137">
        <v>240</v>
      </c>
      <c r="CD11" s="137" t="s">
        <v>2269</v>
      </c>
      <c r="CE11" s="137">
        <v>1</v>
      </c>
      <c r="CF11" s="137">
        <v>0</v>
      </c>
      <c r="CG11" s="404"/>
      <c r="CH11" s="404"/>
      <c r="CI11" s="404"/>
      <c r="CJ11" s="404"/>
      <c r="CK11" s="404" t="s">
        <v>2206</v>
      </c>
      <c r="CL11" s="404"/>
      <c r="CM11" s="404" t="s">
        <v>2206</v>
      </c>
      <c r="CN11" s="404"/>
      <c r="CO11" s="404" t="s">
        <v>2206</v>
      </c>
      <c r="CP11" s="404"/>
      <c r="CQ11" s="404" t="s">
        <v>2227</v>
      </c>
      <c r="CR11" s="404"/>
      <c r="CS11" s="404" t="s">
        <v>2227</v>
      </c>
      <c r="CT11" s="404"/>
      <c r="CU11" s="404" t="s">
        <v>2206</v>
      </c>
      <c r="CV11" s="404"/>
      <c r="CW11" s="404"/>
      <c r="CX11" s="404"/>
      <c r="CY11" s="404" t="s">
        <v>2206</v>
      </c>
      <c r="CZ11" s="404"/>
      <c r="DA11" s="404"/>
      <c r="DB11" s="404"/>
      <c r="DC11" s="404"/>
      <c r="DD11" s="404"/>
      <c r="DE11" s="404"/>
      <c r="DF11" s="404"/>
      <c r="DG11" s="404" t="s">
        <v>2206</v>
      </c>
      <c r="DH11" s="404"/>
      <c r="DI11" s="404" t="s">
        <v>2206</v>
      </c>
      <c r="DJ11" s="404"/>
      <c r="DK11" s="404"/>
      <c r="DL11" s="404"/>
      <c r="DN11" s="166" t="s">
        <v>126</v>
      </c>
      <c r="DO11" s="165" t="s">
        <v>126</v>
      </c>
    </row>
    <row r="12" spans="1:121" x14ac:dyDescent="0.3">
      <c r="A12" s="446" t="str">
        <f>'Translate &amp; Prices'!B16</f>
        <v>BRW champagne</v>
      </c>
      <c r="B12" s="137">
        <v>1</v>
      </c>
      <c r="C12" s="137" t="s">
        <v>1222</v>
      </c>
      <c r="D12" s="137">
        <v>0</v>
      </c>
      <c r="Q12" s="446" t="str">
        <f>'Translate &amp; Prices'!$B$95</f>
        <v>Pisek</v>
      </c>
      <c r="R12" s="446" t="str">
        <f>'Translate &amp; Prices'!$B$109</f>
        <v>Lacobel RAL 1013</v>
      </c>
      <c r="S12" s="446" t="str">
        <f>'Translate &amp; Prices'!$B$97</f>
        <v>Antisol grafit</v>
      </c>
      <c r="U12" s="446" t="str">
        <f>'Translate &amp; Prices'!$B$114</f>
        <v>Lacobel RAL 4006</v>
      </c>
      <c r="V12" s="446" t="str">
        <f>'Translate &amp; Prices'!$B$114</f>
        <v>Lacobel RAL 4006</v>
      </c>
      <c r="AF12" s="407" t="s">
        <v>246</v>
      </c>
      <c r="AG12" s="407" t="s">
        <v>2102</v>
      </c>
      <c r="AY12" s="137" t="s">
        <v>2087</v>
      </c>
      <c r="AZ12" s="137" t="s">
        <v>2161</v>
      </c>
      <c r="CA12" s="137">
        <v>256</v>
      </c>
      <c r="CD12" s="137" t="s">
        <v>2111</v>
      </c>
      <c r="CE12" s="137">
        <v>1</v>
      </c>
      <c r="CF12" s="137">
        <v>0</v>
      </c>
      <c r="CG12" s="404"/>
      <c r="CH12" s="404"/>
      <c r="CI12" s="404"/>
      <c r="CJ12" s="404"/>
      <c r="CK12" s="404" t="s">
        <v>2207</v>
      </c>
      <c r="CL12" s="404"/>
      <c r="CM12" s="404" t="s">
        <v>2207</v>
      </c>
      <c r="CN12" s="404"/>
      <c r="CO12" s="404" t="s">
        <v>2207</v>
      </c>
      <c r="CP12" s="404"/>
      <c r="CQ12" s="404" t="s">
        <v>2228</v>
      </c>
      <c r="CR12" s="404"/>
      <c r="CS12" s="404" t="s">
        <v>2228</v>
      </c>
      <c r="CT12" s="404"/>
      <c r="CU12" s="404" t="s">
        <v>2207</v>
      </c>
      <c r="CV12" s="404"/>
      <c r="CW12" s="404"/>
      <c r="CX12" s="404"/>
      <c r="CY12" s="404" t="s">
        <v>2207</v>
      </c>
      <c r="CZ12" s="404"/>
      <c r="DA12" s="404"/>
      <c r="DB12" s="404"/>
      <c r="DC12" s="404"/>
      <c r="DD12" s="404"/>
      <c r="DE12" s="404"/>
      <c r="DF12" s="404"/>
      <c r="DG12" s="404" t="s">
        <v>2207</v>
      </c>
      <c r="DH12" s="404"/>
      <c r="DI12" s="404" t="s">
        <v>2207</v>
      </c>
      <c r="DJ12" s="404"/>
      <c r="DK12" s="404"/>
      <c r="DL12" s="404"/>
      <c r="DN12" s="166" t="s">
        <v>127</v>
      </c>
      <c r="DO12" s="165" t="s">
        <v>127</v>
      </c>
    </row>
    <row r="13" spans="1:121" x14ac:dyDescent="0.3">
      <c r="A13" s="446" t="str">
        <f>'Translate &amp; Prices'!B17</f>
        <v>BRW tmavá nerez br. (Inox lija)</v>
      </c>
      <c r="B13" s="137">
        <v>1</v>
      </c>
      <c r="C13" s="137" t="s">
        <v>1222</v>
      </c>
      <c r="D13" s="137">
        <v>0</v>
      </c>
      <c r="Q13" s="446" t="str">
        <f>'Translate &amp; Prices'!$B$96</f>
        <v>Antisol bronz</v>
      </c>
      <c r="R13" s="446" t="str">
        <f>'Translate &amp; Prices'!$B$110</f>
        <v>Lacobel RAL 1014</v>
      </c>
      <c r="S13" s="446" t="str">
        <f>'Translate &amp; Prices'!$B$102</f>
        <v>Krizet</v>
      </c>
      <c r="U13" s="446" t="str">
        <f>'Translate &amp; Prices'!$B$115</f>
        <v>Lacobel RAL 5002</v>
      </c>
      <c r="V13" s="446" t="str">
        <f>'Translate &amp; Prices'!$B$115</f>
        <v>Lacobel RAL 5002</v>
      </c>
      <c r="AF13" s="410" t="s">
        <v>245</v>
      </c>
      <c r="AG13" s="410" t="s">
        <v>2105</v>
      </c>
      <c r="AY13" s="137" t="s">
        <v>2087</v>
      </c>
      <c r="AZ13" s="137" t="s">
        <v>2162</v>
      </c>
      <c r="BY13" s="137" t="str">
        <f>'Translate &amp; Prices'!B537</f>
        <v>Ne</v>
      </c>
      <c r="BZ13" s="137">
        <v>0</v>
      </c>
      <c r="CA13" s="137">
        <v>288</v>
      </c>
      <c r="CD13" s="137" t="s">
        <v>2268</v>
      </c>
      <c r="CE13" s="137">
        <v>1</v>
      </c>
      <c r="CF13" s="137">
        <v>0</v>
      </c>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N13" s="166" t="s">
        <v>492</v>
      </c>
      <c r="DO13" s="165" t="s">
        <v>125</v>
      </c>
    </row>
    <row r="14" spans="1:121" x14ac:dyDescent="0.3">
      <c r="A14" s="446" t="str">
        <f>'Translate &amp; Prices'!B18</f>
        <v>Corleone (elox.)</v>
      </c>
      <c r="B14" s="137">
        <v>2</v>
      </c>
      <c r="C14" s="137" t="s">
        <v>1222</v>
      </c>
      <c r="D14" s="137">
        <v>0</v>
      </c>
      <c r="F14" s="137" t="str">
        <f>'Translate &amp; Prices'!B60</f>
        <v>Varna (Vlevo a Vpravo) + Siena (Nahoře a dole)</v>
      </c>
      <c r="Q14" s="446" t="str">
        <f>'Translate &amp; Prices'!$B$97</f>
        <v>Antisol grafit</v>
      </c>
      <c r="R14" s="446" t="str">
        <f>'Translate &amp; Prices'!$B$111</f>
        <v>Lacobel RAL 1015</v>
      </c>
      <c r="S14" s="446" t="str">
        <f>'Translate &amp; Prices'!$B$103</f>
        <v>Master (Carre)</v>
      </c>
      <c r="U14" s="446" t="str">
        <f>'Translate &amp; Prices'!$B$116</f>
        <v>Lacobel RAL 7035</v>
      </c>
      <c r="V14" s="446" t="str">
        <f>'Translate &amp; Prices'!$B$116</f>
        <v>Lacobel RAL 7035</v>
      </c>
      <c r="AA14" s="137" t="s">
        <v>2099</v>
      </c>
      <c r="AB14" s="137" t="s">
        <v>2148</v>
      </c>
      <c r="AF14" s="410" t="s">
        <v>246</v>
      </c>
      <c r="AG14" s="410" t="s">
        <v>2105</v>
      </c>
      <c r="AY14" s="137" t="s">
        <v>2087</v>
      </c>
      <c r="AZ14" s="137" t="s">
        <v>2163</v>
      </c>
      <c r="BY14" s="137" t="str">
        <f>'Translate &amp; Prices'!B538</f>
        <v>Horizontálně</v>
      </c>
      <c r="BZ14" s="137">
        <v>1</v>
      </c>
      <c r="CA14" s="137">
        <v>320</v>
      </c>
      <c r="CD14" s="137" t="s">
        <v>2113</v>
      </c>
      <c r="CE14" s="137">
        <v>1</v>
      </c>
      <c r="CF14" s="137">
        <v>0</v>
      </c>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4"/>
      <c r="DF14" s="404"/>
      <c r="DG14" s="404"/>
      <c r="DH14" s="404"/>
      <c r="DI14" s="404"/>
      <c r="DJ14" s="404"/>
      <c r="DK14" s="404"/>
      <c r="DL14" s="404"/>
      <c r="DN14" s="166" t="s">
        <v>493</v>
      </c>
      <c r="DO14" s="165" t="s">
        <v>126</v>
      </c>
    </row>
    <row r="15" spans="1:121" x14ac:dyDescent="0.3">
      <c r="A15" s="446" t="str">
        <f>'Translate &amp; Prices'!B19</f>
        <v>Corleone černé mat</v>
      </c>
      <c r="B15" s="137">
        <v>2</v>
      </c>
      <c r="C15" s="137" t="s">
        <v>1222</v>
      </c>
      <c r="D15" s="137">
        <v>0</v>
      </c>
      <c r="F15" s="137" t="str">
        <f>'Translate &amp; Prices'!B61</f>
        <v>Siena (Vlevo a vpravo) + Varna (Nahoře a dole)</v>
      </c>
      <c r="Q15" s="446" t="str">
        <f>'Translate &amp; Prices'!$B$98</f>
        <v>Zrcadlo</v>
      </c>
      <c r="R15" s="446" t="str">
        <f>'Translate &amp; Prices'!$B$112</f>
        <v>Lacobel RAL 2001</v>
      </c>
      <c r="S15" s="446" t="str">
        <f>'Translate &amp; Prices'!$B$104</f>
        <v xml:space="preserve">Master  Lens </v>
      </c>
      <c r="U15" s="446" t="str">
        <f>'Translate &amp; Prices'!$B$117</f>
        <v>Lacobel RAL 8017</v>
      </c>
      <c r="V15" s="446" t="str">
        <f>'Translate &amp; Prices'!$B$117</f>
        <v>Lacobel RAL 8017</v>
      </c>
      <c r="AA15" s="137" t="s">
        <v>2099</v>
      </c>
      <c r="AB15" s="137" t="s">
        <v>2097</v>
      </c>
      <c r="AC15" s="137">
        <v>1</v>
      </c>
      <c r="AD15" s="137">
        <v>0</v>
      </c>
      <c r="AF15" s="407" t="s">
        <v>245</v>
      </c>
      <c r="AG15" s="407" t="s">
        <v>2107</v>
      </c>
      <c r="AY15" s="137" t="s">
        <v>1021</v>
      </c>
      <c r="BY15" s="137" t="str">
        <f>'Translate &amp; Prices'!B539</f>
        <v>Vertikálně</v>
      </c>
      <c r="BZ15" s="137">
        <v>2</v>
      </c>
      <c r="CD15" s="137" t="s">
        <v>2114</v>
      </c>
      <c r="CE15" s="137">
        <v>1</v>
      </c>
      <c r="CF15" s="137">
        <v>0</v>
      </c>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N15" s="166" t="s">
        <v>2348</v>
      </c>
      <c r="DO15" s="165" t="s">
        <v>127</v>
      </c>
    </row>
    <row r="16" spans="1:121" x14ac:dyDescent="0.3">
      <c r="A16" s="446" t="str">
        <f>'Translate &amp; Prices'!B20</f>
        <v>Corleone champagne</v>
      </c>
      <c r="B16" s="137">
        <v>2</v>
      </c>
      <c r="C16" s="137" t="s">
        <v>1222</v>
      </c>
      <c r="D16" s="137">
        <v>0</v>
      </c>
      <c r="F16" s="137" t="str">
        <f>'Translate &amp; Prices'!B62</f>
        <v>Varna černá (Vlevo a Vpravo) + Siena černá (Nahoře a dole)</v>
      </c>
      <c r="Q16" s="446" t="str">
        <f>'Translate &amp; Prices'!$B$99</f>
        <v>Zrcadlo hnědé</v>
      </c>
      <c r="R16" s="446" t="str">
        <f>'Translate &amp; Prices'!$B$113</f>
        <v>Lacobel RAL 3004</v>
      </c>
      <c r="S16" s="446" t="str">
        <f>'Translate &amp; Prices'!$B$105</f>
        <v>Master  Ligne</v>
      </c>
      <c r="U16" s="446" t="str">
        <f>'Translate &amp; Prices'!$B$118</f>
        <v>Lacobel RAL 9003</v>
      </c>
      <c r="V16" s="446" t="str">
        <f>'Translate &amp; Prices'!$B$118</f>
        <v>Lacobel RAL 9003</v>
      </c>
      <c r="AA16" s="137" t="s">
        <v>2099</v>
      </c>
      <c r="AB16" s="137" t="s">
        <v>2100</v>
      </c>
      <c r="AC16" s="137">
        <v>1</v>
      </c>
      <c r="AD16" s="137">
        <v>1</v>
      </c>
      <c r="AF16" s="407" t="s">
        <v>246</v>
      </c>
      <c r="AG16" s="407" t="s">
        <v>2107</v>
      </c>
      <c r="AY16" s="137" t="s">
        <v>1021</v>
      </c>
      <c r="AZ16" s="137" t="s">
        <v>2164</v>
      </c>
      <c r="BY16" s="137" t="str">
        <f>'Translate &amp; Prices'!B540</f>
        <v>Horizontálně i Vertikálně</v>
      </c>
      <c r="BZ16" s="137">
        <v>3</v>
      </c>
      <c r="CD16" s="137" t="s">
        <v>2638</v>
      </c>
      <c r="CE16" s="137">
        <v>1</v>
      </c>
      <c r="CF16" s="137">
        <v>1</v>
      </c>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4"/>
      <c r="DF16" s="404"/>
      <c r="DG16" s="404"/>
      <c r="DH16" s="404"/>
      <c r="DI16" s="404"/>
      <c r="DJ16" s="404"/>
      <c r="DK16" s="404"/>
      <c r="DL16" s="404"/>
      <c r="DN16" s="166" t="s">
        <v>568</v>
      </c>
      <c r="DO16" s="165" t="s">
        <v>125</v>
      </c>
    </row>
    <row r="17" spans="1:119" x14ac:dyDescent="0.3">
      <c r="A17" s="446" t="str">
        <f>'Translate &amp; Prices'!B21</f>
        <v>Imola (elox.)</v>
      </c>
      <c r="B17" s="137">
        <v>2</v>
      </c>
      <c r="C17" s="137" t="s">
        <v>2133</v>
      </c>
      <c r="D17" s="137">
        <v>0</v>
      </c>
      <c r="F17" s="137" t="str">
        <f>'Translate &amp; Prices'!B63</f>
        <v>Siena černá (Vlevo a vpravo) + Varna černá (Nahoře a dole)</v>
      </c>
      <c r="Q17" s="446" t="str">
        <f>'Translate &amp; Prices'!$B$100</f>
        <v>Zrcadlo grafit</v>
      </c>
      <c r="R17" s="446" t="str">
        <f>'Translate &amp; Prices'!$B$114</f>
        <v>Lacobel RAL 4006</v>
      </c>
      <c r="S17" s="446" t="str">
        <f>'Translate &amp; Prices'!$B$106</f>
        <v>Master  Point</v>
      </c>
      <c r="U17" s="446" t="str">
        <f>'Translate &amp; Prices'!$B$119</f>
        <v>Lacobel RAL 9005</v>
      </c>
      <c r="V17" s="446" t="str">
        <f>'Translate &amp; Prices'!$B$119</f>
        <v>Lacobel RAL 9005</v>
      </c>
      <c r="AA17" s="137" t="s">
        <v>2099</v>
      </c>
      <c r="AB17" s="137" t="s">
        <v>2101</v>
      </c>
      <c r="AC17" s="137">
        <v>0</v>
      </c>
      <c r="AD17" s="137">
        <v>0</v>
      </c>
      <c r="AF17" s="410" t="s">
        <v>245</v>
      </c>
      <c r="AG17" s="410" t="s">
        <v>2108</v>
      </c>
      <c r="AY17" s="137" t="s">
        <v>1021</v>
      </c>
      <c r="AZ17" s="137" t="s">
        <v>2165</v>
      </c>
      <c r="CD17" s="137" t="s">
        <v>2639</v>
      </c>
      <c r="CE17" s="137">
        <v>1</v>
      </c>
      <c r="CF17" s="137">
        <v>1</v>
      </c>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N17" s="166" t="s">
        <v>569</v>
      </c>
      <c r="DO17" s="165" t="s">
        <v>126</v>
      </c>
    </row>
    <row r="18" spans="1:119" x14ac:dyDescent="0.3">
      <c r="A18" s="446" t="str">
        <f>'Translate &amp; Prices'!B22</f>
        <v>Imola černá mat</v>
      </c>
      <c r="B18" s="137">
        <v>2</v>
      </c>
      <c r="C18" s="137" t="s">
        <v>2133</v>
      </c>
      <c r="D18" s="137">
        <v>0</v>
      </c>
      <c r="F18" s="137" t="str">
        <f>'Translate &amp; Prices'!B64</f>
        <v>Varna (Vlevo a Vpravo) + Palio (Nahoře a dole)</v>
      </c>
      <c r="Q18" s="446" t="str">
        <f>'Translate &amp; Prices'!$B$102</f>
        <v>Krizet</v>
      </c>
      <c r="R18" s="446" t="str">
        <f>'Translate &amp; Prices'!$B$115</f>
        <v>Lacobel RAL 5002</v>
      </c>
      <c r="S18" s="446" t="str">
        <f>'Translate &amp; Prices'!$B$107</f>
        <v xml:space="preserve">Master  Ray </v>
      </c>
      <c r="U18" s="446" t="str">
        <f>'Translate &amp; Prices'!$B$120</f>
        <v>Lacobel RAL 9006</v>
      </c>
      <c r="V18" s="446" t="str">
        <f>'Translate &amp; Prices'!$B$120</f>
        <v>Lacobel RAL 9006</v>
      </c>
      <c r="AA18" s="137" t="s">
        <v>2099</v>
      </c>
      <c r="AB18" s="137" t="s">
        <v>2103</v>
      </c>
      <c r="AC18" s="137">
        <v>0</v>
      </c>
      <c r="AD18" s="137">
        <v>0</v>
      </c>
      <c r="AF18" s="410" t="s">
        <v>246</v>
      </c>
      <c r="AG18" s="410" t="s">
        <v>2108</v>
      </c>
      <c r="AY18" s="137" t="s">
        <v>1021</v>
      </c>
      <c r="AZ18" s="137" t="s">
        <v>2166</v>
      </c>
      <c r="BY18" s="137">
        <v>1</v>
      </c>
      <c r="CD18" s="137" t="s">
        <v>2119</v>
      </c>
      <c r="CE18" s="137">
        <v>1</v>
      </c>
      <c r="CF18" s="137">
        <v>0</v>
      </c>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N18" s="166" t="s">
        <v>570</v>
      </c>
      <c r="DO18" s="165" t="s">
        <v>127</v>
      </c>
    </row>
    <row r="19" spans="1:119" x14ac:dyDescent="0.3">
      <c r="A19" s="446" t="str">
        <f>'Translate &amp; Prices'!B23</f>
        <v>Imola bílá mat</v>
      </c>
      <c r="B19" s="137">
        <v>2</v>
      </c>
      <c r="C19" s="137" t="s">
        <v>2133</v>
      </c>
      <c r="D19" s="137">
        <v>0</v>
      </c>
      <c r="F19" s="137" t="str">
        <f>'Translate &amp; Prices'!B65</f>
        <v>Palio (Vlevo a vpravo) + Varna (Nahoře a dole)</v>
      </c>
      <c r="Q19" s="446" t="str">
        <f>'Translate &amp; Prices'!$B$103</f>
        <v>Master (Carre)</v>
      </c>
      <c r="R19" s="446" t="str">
        <f>'Translate &amp; Prices'!$B$116</f>
        <v>Lacobel RAL 7035</v>
      </c>
      <c r="S19" s="446" t="str">
        <f>'Translate &amp; Prices'!$B$108</f>
        <v>Master  Shine</v>
      </c>
      <c r="U19" s="446" t="str">
        <f>'Translate &amp; Prices'!$B$121</f>
        <v>Lacobel RAL 9007</v>
      </c>
      <c r="V19" s="446" t="str">
        <f>'Translate &amp; Prices'!$B$121</f>
        <v>Lacobel RAL 9007</v>
      </c>
      <c r="AA19" s="137" t="s">
        <v>2099</v>
      </c>
      <c r="AB19" s="137" t="s">
        <v>2104</v>
      </c>
      <c r="AC19" s="137">
        <v>0</v>
      </c>
      <c r="AD19" s="137">
        <v>0</v>
      </c>
      <c r="AF19" s="407" t="s">
        <v>245</v>
      </c>
      <c r="AG19" s="407" t="s">
        <v>2110</v>
      </c>
      <c r="AY19" s="137" t="s">
        <v>1021</v>
      </c>
      <c r="AZ19" s="137" t="s">
        <v>2167</v>
      </c>
      <c r="BY19" s="137">
        <v>2</v>
      </c>
    </row>
    <row r="20" spans="1:119" x14ac:dyDescent="0.3">
      <c r="A20" s="446" t="str">
        <f>'Translate &amp; Prices'!B24</f>
        <v>Modena (elox.)</v>
      </c>
      <c r="B20" s="137">
        <v>2</v>
      </c>
      <c r="C20" s="137" t="s">
        <v>1222</v>
      </c>
      <c r="D20" s="137">
        <v>0</v>
      </c>
      <c r="F20" s="137" t="str">
        <f>'Translate &amp; Prices'!B66</f>
        <v>Varna (Vlevo a Vpravo) + Rocca (Nahoře a dole)</v>
      </c>
      <c r="Q20" s="446" t="str">
        <f>'Translate &amp; Prices'!$B$104</f>
        <v xml:space="preserve">Master  Lens </v>
      </c>
      <c r="R20" s="446" t="str">
        <f>'Translate &amp; Prices'!$B$117</f>
        <v>Lacobel RAL 8017</v>
      </c>
      <c r="U20" s="446" t="str">
        <f>'Translate &amp; Prices'!$B$122</f>
        <v>Lacobel RAL 9010</v>
      </c>
      <c r="V20" s="446" t="str">
        <f>'Translate &amp; Prices'!$B$122</f>
        <v>Lacobel RAL 9010</v>
      </c>
      <c r="AA20" s="137" t="s">
        <v>2099</v>
      </c>
      <c r="AB20" s="137" t="s">
        <v>2106</v>
      </c>
      <c r="AC20" s="137">
        <v>0</v>
      </c>
      <c r="AD20" s="137">
        <v>0</v>
      </c>
      <c r="AF20" s="407" t="s">
        <v>246</v>
      </c>
      <c r="AG20" s="407" t="s">
        <v>2110</v>
      </c>
      <c r="AY20" s="137" t="s">
        <v>1021</v>
      </c>
      <c r="AZ20" s="137" t="s">
        <v>2168</v>
      </c>
      <c r="BY20" s="137">
        <v>3</v>
      </c>
    </row>
    <row r="21" spans="1:119" x14ac:dyDescent="0.3">
      <c r="A21" s="446" t="str">
        <f>'Translate &amp; Prices'!B25</f>
        <v>Modena černá mat</v>
      </c>
      <c r="B21" s="137">
        <v>2</v>
      </c>
      <c r="C21" s="137" t="s">
        <v>1222</v>
      </c>
      <c r="D21" s="137">
        <v>0</v>
      </c>
      <c r="F21" s="137" t="str">
        <f>'Translate &amp; Prices'!B67</f>
        <v>Rocca (Vlevo a vpravo) + Varna (Nahoře a dole)</v>
      </c>
      <c r="Q21" s="446" t="str">
        <f>'Translate &amp; Prices'!$B$105</f>
        <v>Master  Ligne</v>
      </c>
      <c r="R21" s="446" t="str">
        <f>'Translate &amp; Prices'!$B$118</f>
        <v>Lacobel RAL 9003</v>
      </c>
      <c r="U21" s="446" t="str">
        <f>'Translate &amp; Prices'!$B$123</f>
        <v>Lacobel REF 0128</v>
      </c>
      <c r="V21" s="446" t="str">
        <f>'Translate &amp; Prices'!$B$123</f>
        <v>Lacobel REF 0128</v>
      </c>
      <c r="AA21" s="137" t="s">
        <v>2099</v>
      </c>
      <c r="AB21" s="137" t="s">
        <v>2102</v>
      </c>
      <c r="AC21" s="137">
        <v>1</v>
      </c>
      <c r="AD21" s="137">
        <v>0</v>
      </c>
      <c r="AF21" s="410" t="s">
        <v>245</v>
      </c>
      <c r="AG21" s="410" t="s">
        <v>2111</v>
      </c>
      <c r="BY21" s="137">
        <v>4</v>
      </c>
    </row>
    <row r="22" spans="1:119" x14ac:dyDescent="0.3">
      <c r="A22" s="446" t="str">
        <f>'Translate &amp; Prices'!B27</f>
        <v>Modena černá broušená</v>
      </c>
      <c r="B22" s="137">
        <v>2</v>
      </c>
      <c r="C22" s="137" t="s">
        <v>1222</v>
      </c>
      <c r="D22" s="137">
        <v>0</v>
      </c>
      <c r="F22" s="137" t="str">
        <f>'Translate &amp; Prices'!B68</f>
        <v>Varna černá (Vlevo a Vpravo) + Rocca černá (Nahoře a dole)</v>
      </c>
      <c r="Q22" s="446" t="str">
        <f>'Translate &amp; Prices'!$B$106</f>
        <v>Master  Point</v>
      </c>
      <c r="R22" s="446" t="str">
        <f>'Translate &amp; Prices'!$B$119</f>
        <v>Lacobel RAL 9005</v>
      </c>
      <c r="U22" s="446" t="str">
        <f>'Translate &amp; Prices'!$B$124</f>
        <v>Lacobel REF 0327</v>
      </c>
      <c r="V22" s="446" t="str">
        <f>'Translate &amp; Prices'!$B$124</f>
        <v>Lacobel REF 0327</v>
      </c>
      <c r="AA22" s="137" t="s">
        <v>2099</v>
      </c>
      <c r="AB22" s="137" t="s">
        <v>2274</v>
      </c>
      <c r="AC22" s="137">
        <v>1</v>
      </c>
      <c r="AD22" s="137">
        <v>0</v>
      </c>
      <c r="AF22" s="410" t="s">
        <v>246</v>
      </c>
      <c r="AG22" s="410" t="s">
        <v>2111</v>
      </c>
      <c r="BY22" s="137">
        <v>5</v>
      </c>
    </row>
    <row r="23" spans="1:119" x14ac:dyDescent="0.3">
      <c r="A23" s="446" t="str">
        <f>'Translate &amp; Prices'!B28</f>
        <v>Modena tmavá nerez br. (inox lija)</v>
      </c>
      <c r="B23" s="137">
        <v>2</v>
      </c>
      <c r="C23" s="137" t="s">
        <v>1222</v>
      </c>
      <c r="D23" s="137">
        <v>0</v>
      </c>
      <c r="F23" s="137" t="str">
        <f>'Translate &amp; Prices'!B69</f>
        <v>Rocca černá (Vlevo a vpravo) + Varna černá (Nahoře a dole)</v>
      </c>
      <c r="G23" s="11"/>
      <c r="H23" s="11"/>
      <c r="I23" s="11"/>
      <c r="Q23" s="446" t="str">
        <f>'Translate &amp; Prices'!$B$107</f>
        <v xml:space="preserve">Master  Ray </v>
      </c>
      <c r="R23" s="446" t="str">
        <f>'Translate &amp; Prices'!$B$120</f>
        <v>Lacobel RAL 9006</v>
      </c>
      <c r="U23" s="446" t="str">
        <f>'Translate &amp; Prices'!$B$125</f>
        <v>Lacobel REF 0337</v>
      </c>
      <c r="V23" s="446" t="str">
        <f>'Translate &amp; Prices'!$B$125</f>
        <v>Lacobel REF 0337</v>
      </c>
      <c r="AA23" s="137" t="s">
        <v>2099</v>
      </c>
      <c r="AB23" s="137" t="s">
        <v>2107</v>
      </c>
      <c r="AC23" s="137">
        <v>1</v>
      </c>
      <c r="AD23" s="137">
        <v>0</v>
      </c>
      <c r="AF23" s="407" t="s">
        <v>245</v>
      </c>
      <c r="AG23" s="407" t="s">
        <v>2112</v>
      </c>
      <c r="BY23" s="137">
        <v>6</v>
      </c>
    </row>
    <row r="24" spans="1:119" x14ac:dyDescent="0.3">
      <c r="A24" s="446" t="str">
        <f>'Translate &amp; Prices'!B29</f>
        <v>Palio (elox.)</v>
      </c>
      <c r="B24" s="137">
        <v>2</v>
      </c>
      <c r="C24" s="137" t="s">
        <v>1222</v>
      </c>
      <c r="D24" s="137">
        <v>0</v>
      </c>
      <c r="G24" s="11"/>
      <c r="H24" s="11"/>
      <c r="I24" s="11"/>
      <c r="Q24" s="446" t="str">
        <f>'Translate &amp; Prices'!$B$108</f>
        <v>Master  Shine</v>
      </c>
      <c r="R24" s="446" t="str">
        <f>'Translate &amp; Prices'!$B$121</f>
        <v>Lacobel RAL 9007</v>
      </c>
      <c r="U24" s="446" t="str">
        <f>'Translate &amp; Prices'!$B$126</f>
        <v>Lacobel REF 0627</v>
      </c>
      <c r="V24" s="446" t="str">
        <f>'Translate &amp; Prices'!$B$126</f>
        <v>Lacobel REF 0627</v>
      </c>
      <c r="AF24" s="407" t="s">
        <v>246</v>
      </c>
      <c r="AG24" s="407" t="s">
        <v>2112</v>
      </c>
      <c r="BY24" s="137">
        <v>7</v>
      </c>
    </row>
    <row r="25" spans="1:119" x14ac:dyDescent="0.3">
      <c r="A25" s="446" t="str">
        <f>'Translate &amp; Prices'!B30</f>
        <v>Palio černá mat</v>
      </c>
      <c r="B25" s="137">
        <v>2</v>
      </c>
      <c r="C25" s="137" t="s">
        <v>1222</v>
      </c>
      <c r="D25" s="137">
        <v>0</v>
      </c>
      <c r="G25" s="11"/>
      <c r="H25" s="11"/>
      <c r="I25" s="11"/>
      <c r="Q25" s="446" t="str">
        <f>'Translate &amp; Prices'!$B$109</f>
        <v>Lacobel RAL 1013</v>
      </c>
      <c r="R25" s="446" t="str">
        <f>'Translate &amp; Prices'!$B$122</f>
        <v>Lacobel RAL 9010</v>
      </c>
      <c r="U25" s="446" t="str">
        <f>'Translate &amp; Prices'!$B$127</f>
        <v>Lacobel REF 0667</v>
      </c>
      <c r="V25" s="446" t="str">
        <f>'Translate &amp; Prices'!$B$127</f>
        <v>Lacobel REF 0667</v>
      </c>
      <c r="AF25" s="410" t="s">
        <v>245</v>
      </c>
      <c r="AG25" s="410" t="s">
        <v>2113</v>
      </c>
      <c r="BY25" s="137">
        <v>8</v>
      </c>
    </row>
    <row r="26" spans="1:119" x14ac:dyDescent="0.3">
      <c r="A26" s="446" t="str">
        <f>'Translate &amp; Prices'!B31</f>
        <v>Pisa (elox.)</v>
      </c>
      <c r="B26" s="137">
        <v>2</v>
      </c>
      <c r="C26" s="137" t="s">
        <v>2133</v>
      </c>
      <c r="D26" s="137">
        <v>0</v>
      </c>
      <c r="G26" s="11"/>
      <c r="H26" s="11"/>
      <c r="I26" s="11"/>
      <c r="Q26" s="446" t="str">
        <f>'Translate &amp; Prices'!$B$110</f>
        <v>Lacobel RAL 1014</v>
      </c>
      <c r="R26" s="446" t="str">
        <f>'Translate &amp; Prices'!$B$123</f>
        <v>Lacobel REF 0128</v>
      </c>
      <c r="U26" s="446" t="str">
        <f>'Translate &amp; Prices'!$B$128</f>
        <v>Lacobel REF 1164</v>
      </c>
      <c r="V26" s="446" t="str">
        <f>'Translate &amp; Prices'!$B$128</f>
        <v>Lacobel REF 1164</v>
      </c>
      <c r="AF26" s="410" t="s">
        <v>246</v>
      </c>
      <c r="AG26" s="410" t="s">
        <v>2113</v>
      </c>
      <c r="BY26" s="137">
        <v>9</v>
      </c>
    </row>
    <row r="27" spans="1:119" x14ac:dyDescent="0.3">
      <c r="A27" s="446" t="str">
        <f>'Translate &amp; Prices'!B32</f>
        <v>Pisa černá mat</v>
      </c>
      <c r="B27" s="137">
        <v>2</v>
      </c>
      <c r="C27" s="137" t="s">
        <v>2133</v>
      </c>
      <c r="D27" s="137">
        <v>0</v>
      </c>
      <c r="G27" s="11"/>
      <c r="H27" s="11"/>
      <c r="I27" s="11"/>
      <c r="Q27" s="446" t="str">
        <f>'Translate &amp; Prices'!$B$111</f>
        <v>Lacobel RAL 1015</v>
      </c>
      <c r="R27" s="446" t="str">
        <f>'Translate &amp; Prices'!$B$124</f>
        <v>Lacobel REF 0327</v>
      </c>
      <c r="U27" s="446" t="str">
        <f>'Translate &amp; Prices'!$B$129</f>
        <v>Lacobel REF 1236</v>
      </c>
      <c r="V27" s="446" t="str">
        <f>'Translate &amp; Prices'!$B$129</f>
        <v>Lacobel REF 1236</v>
      </c>
      <c r="AF27" s="407" t="s">
        <v>245</v>
      </c>
      <c r="AG27" s="407" t="s">
        <v>2114</v>
      </c>
      <c r="BY27" s="137">
        <v>10</v>
      </c>
    </row>
    <row r="28" spans="1:119" x14ac:dyDescent="0.3">
      <c r="A28" s="446" t="str">
        <f>'Translate &amp; Prices'!B34</f>
        <v>Ravena (elox.)</v>
      </c>
      <c r="B28" s="137">
        <v>1</v>
      </c>
      <c r="C28" s="137" t="s">
        <v>1222</v>
      </c>
      <c r="D28" s="137">
        <v>0</v>
      </c>
      <c r="G28" s="11"/>
      <c r="H28" s="11"/>
      <c r="I28" s="11"/>
      <c r="Q28" s="446" t="str">
        <f>'Translate &amp; Prices'!$B$112</f>
        <v>Lacobel RAL 2001</v>
      </c>
      <c r="R28" s="446" t="str">
        <f>'Translate &amp; Prices'!$B$125</f>
        <v>Lacobel REF 0337</v>
      </c>
      <c r="U28" s="446" t="str">
        <f>'Translate &amp; Prices'!$B$130</f>
        <v>Lacobel REF 1435</v>
      </c>
      <c r="V28" s="446" t="str">
        <f>'Translate &amp; Prices'!$B$130</f>
        <v>Lacobel REF 1435</v>
      </c>
      <c r="AA28" s="137" t="s">
        <v>2109</v>
      </c>
      <c r="AB28" s="137" t="s">
        <v>2147</v>
      </c>
      <c r="AF28" s="407" t="s">
        <v>246</v>
      </c>
      <c r="AG28" s="407" t="s">
        <v>2114</v>
      </c>
    </row>
    <row r="29" spans="1:119" x14ac:dyDescent="0.3">
      <c r="A29" s="446" t="str">
        <f>'Translate &amp; Prices'!B35</f>
        <v>Siena (elox.)</v>
      </c>
      <c r="B29" s="137">
        <v>2</v>
      </c>
      <c r="C29" s="137" t="s">
        <v>1222</v>
      </c>
      <c r="D29" s="137">
        <v>0</v>
      </c>
      <c r="G29" s="11"/>
      <c r="H29" s="11"/>
      <c r="I29" s="11"/>
      <c r="Q29" s="446" t="str">
        <f>'Translate &amp; Prices'!$B$113</f>
        <v>Lacobel RAL 3004</v>
      </c>
      <c r="R29" s="446" t="str">
        <f>'Translate &amp; Prices'!$B$126</f>
        <v>Lacobel REF 0627</v>
      </c>
      <c r="U29" s="446" t="str">
        <f>'Translate &amp; Prices'!$B$131</f>
        <v>Lacobel REF 1586</v>
      </c>
      <c r="V29" s="446" t="str">
        <f>'Translate &amp; Prices'!$B$131</f>
        <v>Lacobel REF 1586</v>
      </c>
      <c r="AA29" s="137" t="s">
        <v>2109</v>
      </c>
      <c r="AB29" s="137" t="s">
        <v>2108</v>
      </c>
      <c r="AC29" s="137">
        <v>1</v>
      </c>
      <c r="AD29" s="137">
        <v>0</v>
      </c>
      <c r="AF29" s="410" t="s">
        <v>245</v>
      </c>
      <c r="AG29" s="410" t="s">
        <v>2115</v>
      </c>
    </row>
    <row r="30" spans="1:119" x14ac:dyDescent="0.3">
      <c r="A30" s="446" t="str">
        <f>'Translate &amp; Prices'!$B$36</f>
        <v>Siena černá mat</v>
      </c>
      <c r="B30" s="137">
        <v>2</v>
      </c>
      <c r="C30" s="137" t="s">
        <v>1222</v>
      </c>
      <c r="D30" s="137">
        <v>0</v>
      </c>
      <c r="Q30" s="446" t="str">
        <f>'Translate &amp; Prices'!$B$114</f>
        <v>Lacobel RAL 4006</v>
      </c>
      <c r="R30" s="446" t="str">
        <f>'Translate &amp; Prices'!$B$127</f>
        <v>Lacobel REF 0667</v>
      </c>
      <c r="U30" s="446" t="str">
        <f>'Translate &amp; Prices'!$B$132</f>
        <v>Lacobel REF 1603</v>
      </c>
      <c r="V30" s="446" t="str">
        <f>'Translate &amp; Prices'!$B$132</f>
        <v>Lacobel REF 1603</v>
      </c>
      <c r="AA30" s="137" t="s">
        <v>2109</v>
      </c>
      <c r="AB30" s="137" t="s">
        <v>2269</v>
      </c>
      <c r="AC30" s="137">
        <v>1</v>
      </c>
      <c r="AD30" s="137">
        <v>0</v>
      </c>
      <c r="AF30" s="410" t="s">
        <v>246</v>
      </c>
      <c r="AG30" s="410" t="s">
        <v>2115</v>
      </c>
    </row>
    <row r="31" spans="1:119" x14ac:dyDescent="0.3">
      <c r="A31" s="446" t="str">
        <f>'Translate &amp; Prices'!B37</f>
        <v>Verona (elox.)</v>
      </c>
      <c r="B31" s="137">
        <v>1</v>
      </c>
      <c r="C31" s="137" t="s">
        <v>1222</v>
      </c>
      <c r="D31" s="137">
        <v>0</v>
      </c>
      <c r="G31" s="11"/>
      <c r="H31" s="11"/>
      <c r="I31" s="11"/>
      <c r="Q31" s="446" t="str">
        <f>'Translate &amp; Prices'!$B$115</f>
        <v>Lacobel RAL 5002</v>
      </c>
      <c r="R31" s="446" t="str">
        <f>'Translate &amp; Prices'!$B$128</f>
        <v>Lacobel REF 1164</v>
      </c>
      <c r="U31" s="446" t="str">
        <f>'Translate &amp; Prices'!$B$133</f>
        <v>Lacobel REF 1604</v>
      </c>
      <c r="V31" s="446" t="str">
        <f>'Translate &amp; Prices'!$B$133</f>
        <v>Lacobel REF 1604</v>
      </c>
      <c r="AA31" s="137" t="s">
        <v>2109</v>
      </c>
      <c r="AB31" s="137" t="s">
        <v>2111</v>
      </c>
      <c r="AC31" s="137">
        <v>1</v>
      </c>
      <c r="AD31" s="137">
        <v>0</v>
      </c>
      <c r="AF31" s="407" t="s">
        <v>245</v>
      </c>
      <c r="AG31" s="407" t="s">
        <v>2116</v>
      </c>
    </row>
    <row r="32" spans="1:119" x14ac:dyDescent="0.3">
      <c r="A32" s="446" t="str">
        <f>'Translate &amp; Prices'!B38</f>
        <v>Verona broušený hliník</v>
      </c>
      <c r="B32" s="137">
        <v>1</v>
      </c>
      <c r="C32" s="137" t="s">
        <v>1222</v>
      </c>
      <c r="D32" s="137">
        <v>0</v>
      </c>
      <c r="G32" s="11"/>
      <c r="H32" s="11"/>
      <c r="I32" s="11"/>
      <c r="Q32" s="446" t="str">
        <f>'Translate &amp; Prices'!$B$116</f>
        <v>Lacobel RAL 7035</v>
      </c>
      <c r="R32" s="446" t="str">
        <f>'Translate &amp; Prices'!$B$129</f>
        <v>Lacobel REF 1236</v>
      </c>
      <c r="U32" s="446" t="str">
        <f>'Translate &amp; Prices'!$B$134</f>
        <v>Matelac RAL 2001</v>
      </c>
      <c r="V32" s="446" t="str">
        <f>'Translate &amp; Prices'!$B$134</f>
        <v>Matelac RAL 2001</v>
      </c>
      <c r="AA32" s="137" t="s">
        <v>2109</v>
      </c>
      <c r="AB32" s="137" t="s">
        <v>2268</v>
      </c>
      <c r="AC32" s="137">
        <v>1</v>
      </c>
      <c r="AD32" s="137">
        <v>0</v>
      </c>
      <c r="AF32" s="407" t="s">
        <v>246</v>
      </c>
      <c r="AG32" s="407" t="s">
        <v>2116</v>
      </c>
      <c r="CD32" s="137" t="str">
        <f>'Translate &amp; Prices'!$O$569</f>
        <v>(dolnej)</v>
      </c>
    </row>
    <row r="33" spans="1:82" x14ac:dyDescent="0.3">
      <c r="A33" s="446" t="str">
        <f>'Translate &amp; Prices'!B39</f>
        <v>Verona černá lesk</v>
      </c>
      <c r="B33" s="137">
        <v>1</v>
      </c>
      <c r="C33" s="137" t="s">
        <v>1222</v>
      </c>
      <c r="D33" s="137">
        <v>0</v>
      </c>
      <c r="G33" s="11"/>
      <c r="H33" s="11"/>
      <c r="I33" s="11"/>
      <c r="Q33" s="446" t="str">
        <f>'Translate &amp; Prices'!$B$117</f>
        <v>Lacobel RAL 8017</v>
      </c>
      <c r="R33" s="446" t="str">
        <f>'Translate &amp; Prices'!$B$130</f>
        <v>Lacobel REF 1435</v>
      </c>
      <c r="U33" s="446" t="str">
        <f>'Translate &amp; Prices'!$B$135</f>
        <v>Matelac RAL 3004</v>
      </c>
      <c r="V33" s="446" t="str">
        <f>'Translate &amp; Prices'!$B$135</f>
        <v>Matelac RAL 3004</v>
      </c>
      <c r="AA33" s="137" t="s">
        <v>2109</v>
      </c>
      <c r="AB33" s="137" t="s">
        <v>2113</v>
      </c>
      <c r="AC33" s="137">
        <v>1</v>
      </c>
      <c r="AD33" s="137">
        <v>0</v>
      </c>
      <c r="AF33" s="410" t="s">
        <v>245</v>
      </c>
      <c r="AG33" s="410" t="s">
        <v>2119</v>
      </c>
      <c r="CD33" s="137" t="str">
        <f>'Translate &amp; Prices'!$O$569</f>
        <v>(dolnej)</v>
      </c>
    </row>
    <row r="34" spans="1:82" x14ac:dyDescent="0.3">
      <c r="A34" s="446" t="str">
        <f>'Translate &amp; Prices'!B40</f>
        <v>Verona černá mat</v>
      </c>
      <c r="B34" s="137">
        <v>1</v>
      </c>
      <c r="C34" s="137" t="s">
        <v>1222</v>
      </c>
      <c r="D34" s="137">
        <v>0</v>
      </c>
      <c r="G34" s="11"/>
      <c r="H34" s="11"/>
      <c r="I34" s="11"/>
      <c r="Q34" s="446" t="str">
        <f>'Translate &amp; Prices'!$B$118</f>
        <v>Lacobel RAL 9003</v>
      </c>
      <c r="R34" s="446" t="str">
        <f>'Translate &amp; Prices'!$B$131</f>
        <v>Lacobel REF 1586</v>
      </c>
      <c r="U34" s="446" t="str">
        <f>'Translate &amp; Prices'!$B$136</f>
        <v>Matelac RAL 7021</v>
      </c>
      <c r="V34" s="446" t="str">
        <f>'Translate &amp; Prices'!$B$136</f>
        <v>Matelac RAL 7021</v>
      </c>
      <c r="AB34" s="137" t="s">
        <v>2114</v>
      </c>
      <c r="AC34" s="137">
        <v>1</v>
      </c>
      <c r="AD34" s="137">
        <v>0</v>
      </c>
      <c r="AF34" s="410" t="s">
        <v>246</v>
      </c>
      <c r="AG34" s="410" t="s">
        <v>2119</v>
      </c>
      <c r="CD34" s="137" t="str">
        <f>'Translate &amp; Prices'!$O$572</f>
        <v>(prawej)</v>
      </c>
    </row>
    <row r="35" spans="1:82" x14ac:dyDescent="0.3">
      <c r="A35" s="446" t="str">
        <f>'Translate &amp; Prices'!B41</f>
        <v>Verona hnědá</v>
      </c>
      <c r="B35" s="137">
        <v>1</v>
      </c>
      <c r="C35" s="137" t="s">
        <v>1222</v>
      </c>
      <c r="D35" s="137">
        <v>0</v>
      </c>
      <c r="G35" s="11"/>
      <c r="H35" s="11"/>
      <c r="I35" s="11"/>
      <c r="Q35" s="446" t="str">
        <f>'Translate &amp; Prices'!$B$119</f>
        <v>Lacobel RAL 9005</v>
      </c>
      <c r="R35" s="446" t="str">
        <f>'Translate &amp; Prices'!$B$132</f>
        <v>Lacobel REF 1603</v>
      </c>
      <c r="U35" s="446" t="str">
        <f>'Translate &amp; Prices'!$B$137</f>
        <v>Matelac RAL 9003</v>
      </c>
      <c r="V35" s="446" t="str">
        <f>'Translate &amp; Prices'!$B$137</f>
        <v>Matelac RAL 9003</v>
      </c>
      <c r="CD35" s="137" t="str">
        <f>'Translate &amp; Prices'!$O$572</f>
        <v>(prawej)</v>
      </c>
    </row>
    <row r="36" spans="1:82" x14ac:dyDescent="0.3">
      <c r="A36" s="446" t="str">
        <f>'Translate &amp; Prices'!B42</f>
        <v>Verona champagne</v>
      </c>
      <c r="B36" s="137">
        <v>1</v>
      </c>
      <c r="C36" s="137" t="s">
        <v>1222</v>
      </c>
      <c r="D36" s="137">
        <v>0</v>
      </c>
      <c r="G36" s="11"/>
      <c r="H36" s="11"/>
      <c r="I36" s="11"/>
      <c r="Q36" s="446" t="str">
        <f>'Translate &amp; Prices'!$B$120</f>
        <v>Lacobel RAL 9006</v>
      </c>
      <c r="R36" s="446" t="str">
        <f>'Translate &amp; Prices'!$B$133</f>
        <v>Lacobel REF 1604</v>
      </c>
      <c r="U36" s="446" t="str">
        <f>'Translate &amp; Prices'!$B$138</f>
        <v>Matelac RAL 9005</v>
      </c>
      <c r="V36" s="446" t="str">
        <f>'Translate &amp; Prices'!$B$138</f>
        <v>Matelac RAL 9005</v>
      </c>
    </row>
    <row r="37" spans="1:82" x14ac:dyDescent="0.3">
      <c r="A37" s="446" t="str">
        <f>'Translate &amp; Prices'!B43</f>
        <v>Verona tmavá nerez broušená</v>
      </c>
      <c r="B37" s="137">
        <v>1</v>
      </c>
      <c r="C37" s="137" t="s">
        <v>1222</v>
      </c>
      <c r="D37" s="137">
        <v>0</v>
      </c>
      <c r="G37" s="11"/>
      <c r="H37" s="11"/>
      <c r="I37" s="11"/>
      <c r="Q37" s="446" t="str">
        <f>'Translate &amp; Prices'!$B$121</f>
        <v>Lacobel RAL 9007</v>
      </c>
      <c r="R37" s="446" t="str">
        <f>'Translate &amp; Prices'!$B$134</f>
        <v>Matelac RAL 2001</v>
      </c>
      <c r="U37" s="446" t="str">
        <f>'Translate &amp; Prices'!$B$139</f>
        <v>Matelac RAL 9006</v>
      </c>
      <c r="V37" s="446" t="str">
        <f>'Translate &amp; Prices'!$B$139</f>
        <v>Matelac RAL 9006</v>
      </c>
    </row>
    <row r="38" spans="1:82" x14ac:dyDescent="0.3">
      <c r="A38" s="446" t="str">
        <f>'Translate &amp; Prices'!B44</f>
        <v>Verona světlá nerez (Acier grata)</v>
      </c>
      <c r="B38" s="137">
        <v>1</v>
      </c>
      <c r="C38" s="137" t="s">
        <v>1222</v>
      </c>
      <c r="D38" s="137">
        <v>0</v>
      </c>
      <c r="Q38" s="446" t="str">
        <f>'Translate &amp; Prices'!$B$122</f>
        <v>Lacobel RAL 9010</v>
      </c>
      <c r="R38" s="446" t="str">
        <f>'Translate &amp; Prices'!$B$135</f>
        <v>Matelac RAL 3004</v>
      </c>
      <c r="U38" s="446" t="str">
        <f>'Translate &amp; Prices'!$B$140</f>
        <v>Matelac RAL 9010</v>
      </c>
      <c r="V38" s="446" t="str">
        <f>'Translate &amp; Prices'!$B$140</f>
        <v>Matelac RAL 9010</v>
      </c>
    </row>
    <row r="39" spans="1:82" x14ac:dyDescent="0.3">
      <c r="A39" s="446" t="str">
        <f>'Translate &amp; Prices'!B45</f>
        <v>Vivaro (elox.)</v>
      </c>
      <c r="B39" s="137">
        <v>2</v>
      </c>
      <c r="C39" s="137" t="s">
        <v>1222</v>
      </c>
      <c r="D39" s="137">
        <v>1</v>
      </c>
      <c r="Q39" s="446" t="str">
        <f>'Translate &amp; Prices'!$B$123</f>
        <v>Lacobel REF 0128</v>
      </c>
      <c r="R39" s="446" t="str">
        <f>'Translate &amp; Prices'!$B$136</f>
        <v>Matelac RAL 7021</v>
      </c>
      <c r="U39" s="446" t="str">
        <f>'Translate &amp; Prices'!$B$141</f>
        <v>Matelac REF 1435</v>
      </c>
      <c r="V39" s="446" t="str">
        <f>'Translate &amp; Prices'!$B$141</f>
        <v>Matelac REF 1435</v>
      </c>
      <c r="AA39" s="137" t="s">
        <v>1021</v>
      </c>
      <c r="AB39" s="137" t="s">
        <v>2145</v>
      </c>
    </row>
    <row r="40" spans="1:82" x14ac:dyDescent="0.3">
      <c r="A40" s="446" t="str">
        <f>'Translate &amp; Prices'!B46</f>
        <v>Vivaro černá mat</v>
      </c>
      <c r="B40" s="137">
        <v>2</v>
      </c>
      <c r="C40" s="137" t="s">
        <v>1222</v>
      </c>
      <c r="D40" s="137">
        <v>1</v>
      </c>
      <c r="Q40" s="446" t="str">
        <f>'Translate &amp; Prices'!$B$124</f>
        <v>Lacobel REF 0327</v>
      </c>
      <c r="R40" s="446" t="str">
        <f>'Translate &amp; Prices'!$B$137</f>
        <v>Matelac RAL 9003</v>
      </c>
      <c r="U40" s="446" t="str">
        <f>'Translate &amp; Prices'!$B$142</f>
        <v>Matelac REF 1586</v>
      </c>
      <c r="V40" s="446" t="str">
        <f>'Translate &amp; Prices'!$B$142</f>
        <v>Matelac REF 1586</v>
      </c>
      <c r="AA40" s="137" t="s">
        <v>1021</v>
      </c>
      <c r="AB40" s="137" t="s">
        <v>2638</v>
      </c>
      <c r="AC40" s="137">
        <v>1</v>
      </c>
      <c r="AD40" s="137">
        <v>0</v>
      </c>
    </row>
    <row r="41" spans="1:82" x14ac:dyDescent="0.3">
      <c r="A41" s="446" t="str">
        <f>'Translate &amp; Prices'!B48</f>
        <v>Vivaro tmavá nerez br. (inox lija)</v>
      </c>
      <c r="B41" s="137">
        <v>2</v>
      </c>
      <c r="C41" s="137" t="s">
        <v>1222</v>
      </c>
      <c r="D41" s="137">
        <v>0</v>
      </c>
      <c r="Q41" s="446" t="str">
        <f>'Translate &amp; Prices'!$B$125</f>
        <v>Lacobel REF 0337</v>
      </c>
      <c r="R41" s="446" t="str">
        <f>'Translate &amp; Prices'!$B$138</f>
        <v>Matelac RAL 9005</v>
      </c>
      <c r="U41" s="446" t="str">
        <f>'Translate &amp; Prices'!$B$143</f>
        <v>Matelac zrcadlo bronz</v>
      </c>
      <c r="V41" s="446" t="str">
        <f>'Translate &amp; Prices'!$B$143</f>
        <v>Matelac zrcadlo bronz</v>
      </c>
      <c r="AB41" s="137" t="s">
        <v>2639</v>
      </c>
      <c r="AC41" s="137">
        <v>1</v>
      </c>
      <c r="AD41" s="137">
        <v>0</v>
      </c>
    </row>
    <row r="42" spans="1:82" x14ac:dyDescent="0.3">
      <c r="A42" s="446" t="str">
        <f>'Translate &amp; Prices'!B49</f>
        <v>Vivaro bílá mat</v>
      </c>
      <c r="B42" s="137">
        <v>2</v>
      </c>
      <c r="C42" s="137" t="s">
        <v>1222</v>
      </c>
      <c r="D42" s="137">
        <v>0</v>
      </c>
      <c r="Q42" s="446" t="str">
        <f>'Translate &amp; Prices'!$B$126</f>
        <v>Lacobel REF 0627</v>
      </c>
      <c r="R42" s="446" t="str">
        <f>'Translate &amp; Prices'!$B$139</f>
        <v>Matelac RAL 9006</v>
      </c>
      <c r="U42" s="446" t="str">
        <f>'Translate &amp; Prices'!$B$145</f>
        <v>Matelac zrcadlo grafit</v>
      </c>
      <c r="V42" s="446" t="str">
        <f>'Translate &amp; Prices'!$B$145</f>
        <v>Matelac zrcadlo grafit</v>
      </c>
      <c r="AA42" s="137" t="s">
        <v>2117</v>
      </c>
      <c r="AB42" s="137" t="s">
        <v>2146</v>
      </c>
    </row>
    <row r="43" spans="1:82" x14ac:dyDescent="0.3">
      <c r="A43" s="446" t="str">
        <f>'Translate &amp; Prices'!B50</f>
        <v>Vivaro bílá lesk</v>
      </c>
      <c r="B43" s="137">
        <v>2</v>
      </c>
      <c r="C43" s="137" t="s">
        <v>1222</v>
      </c>
      <c r="D43" s="137">
        <v>0</v>
      </c>
      <c r="Q43" s="446" t="str">
        <f>'Translate &amp; Prices'!$B$127</f>
        <v>Lacobel REF 0667</v>
      </c>
      <c r="R43" s="446" t="str">
        <f>'Translate &amp; Prices'!$B$140</f>
        <v>Matelac RAL 9010</v>
      </c>
      <c r="U43" s="446" t="str">
        <f>'Translate &amp; Prices'!$B$146</f>
        <v>Matelac zrcadlo stříbr.</v>
      </c>
      <c r="V43" s="446" t="str">
        <f>'Translate &amp; Prices'!$B$146</f>
        <v>Matelac zrcadlo stříbr.</v>
      </c>
      <c r="AA43" s="137" t="s">
        <v>2117</v>
      </c>
      <c r="AB43" s="137" t="s">
        <v>2280</v>
      </c>
      <c r="AC43" s="137">
        <v>0</v>
      </c>
      <c r="AD43" s="137">
        <v>0</v>
      </c>
    </row>
    <row r="44" spans="1:82" x14ac:dyDescent="0.3">
      <c r="A44" s="404" t="str">
        <f>'Translate &amp; Prices'!$B$61</f>
        <v>Siena (Vlevo a vpravo) + Varna (Nahoře a dole)</v>
      </c>
      <c r="B44" s="137">
        <v>2</v>
      </c>
      <c r="C44" s="137" t="s">
        <v>1222</v>
      </c>
      <c r="D44" s="137">
        <v>0</v>
      </c>
      <c r="Q44" s="446" t="str">
        <f>'Translate &amp; Prices'!$B$128</f>
        <v>Lacobel REF 1164</v>
      </c>
      <c r="R44" s="446" t="str">
        <f>'Translate &amp; Prices'!$B$141</f>
        <v>Matelac REF 1435</v>
      </c>
      <c r="AA44" s="137" t="s">
        <v>2117</v>
      </c>
      <c r="AB44" s="137" t="s">
        <v>2119</v>
      </c>
      <c r="AC44" s="137">
        <v>1</v>
      </c>
      <c r="AD44" s="137">
        <v>0</v>
      </c>
    </row>
    <row r="45" spans="1:82" x14ac:dyDescent="0.3">
      <c r="A45" s="404" t="str">
        <f>'Translate &amp; Prices'!$B$63</f>
        <v>Siena černá (Vlevo a vpravo) + Varna černá (Nahoře a dole)</v>
      </c>
      <c r="B45" s="137">
        <v>2</v>
      </c>
      <c r="C45" s="137" t="s">
        <v>1222</v>
      </c>
      <c r="D45" s="137">
        <v>0</v>
      </c>
      <c r="Q45" s="446" t="str">
        <f>'Translate &amp; Prices'!$B$129</f>
        <v>Lacobel REF 1236</v>
      </c>
      <c r="R45" s="446" t="str">
        <f>'Translate &amp; Prices'!$B$142</f>
        <v>Matelac REF 1586</v>
      </c>
      <c r="AB45" s="137" t="s">
        <v>2281</v>
      </c>
      <c r="AC45" s="137">
        <v>0</v>
      </c>
      <c r="AD45" s="137">
        <v>0</v>
      </c>
    </row>
    <row r="46" spans="1:82" x14ac:dyDescent="0.3">
      <c r="A46" s="404" t="str">
        <f>'Translate &amp; Prices'!$B$65</f>
        <v>Palio (Vlevo a vpravo) + Varna (Nahoře a dole)</v>
      </c>
      <c r="B46" s="137">
        <v>2</v>
      </c>
      <c r="C46" s="137" t="s">
        <v>1222</v>
      </c>
      <c r="D46" s="137">
        <v>0</v>
      </c>
      <c r="Q46" s="446" t="str">
        <f>'Translate &amp; Prices'!$B$130</f>
        <v>Lacobel REF 1435</v>
      </c>
      <c r="R46" s="446" t="str">
        <f>'Translate &amp; Prices'!$B$143</f>
        <v>Matelac zrcadlo bronz</v>
      </c>
    </row>
    <row r="47" spans="1:82" x14ac:dyDescent="0.3">
      <c r="A47" s="137" t="str">
        <f>'Translate &amp; Prices'!$B$70</f>
        <v>Palio černá (Vlevo a vpravo) + Varna černá (Nahoře a dole)</v>
      </c>
      <c r="B47" s="137">
        <v>2</v>
      </c>
      <c r="C47" s="137" t="s">
        <v>1222</v>
      </c>
      <c r="D47" s="137">
        <v>0</v>
      </c>
      <c r="Q47" s="446" t="str">
        <f>'Translate &amp; Prices'!$B$131</f>
        <v>Lacobel REF 1586</v>
      </c>
      <c r="R47" s="446" t="str">
        <f>'Translate &amp; Prices'!$B$145</f>
        <v>Matelac zrcadlo grafit</v>
      </c>
    </row>
    <row r="48" spans="1:82" x14ac:dyDescent="0.3">
      <c r="A48" s="404" t="str">
        <f>'Translate &amp; Prices'!$B$67</f>
        <v>Rocca (Vlevo a vpravo) + Varna (Nahoře a dole)</v>
      </c>
      <c r="B48" s="137">
        <v>1</v>
      </c>
      <c r="C48" s="137" t="s">
        <v>1222</v>
      </c>
      <c r="D48" s="137">
        <v>0</v>
      </c>
      <c r="Q48" s="446" t="str">
        <f>'Translate &amp; Prices'!$B$132</f>
        <v>Lacobel REF 1603</v>
      </c>
      <c r="R48" s="446" t="str">
        <f>'Translate &amp; Prices'!$B$146</f>
        <v>Matelac zrcadlo stříbr.</v>
      </c>
    </row>
    <row r="49" spans="1:17" x14ac:dyDescent="0.3">
      <c r="A49" s="404" t="str">
        <f>'Translate &amp; Prices'!$B$69</f>
        <v>Rocca černá (Vlevo a vpravo) + Varna černá (Nahoře a dole)</v>
      </c>
      <c r="B49" s="137">
        <v>1</v>
      </c>
      <c r="C49" s="137" t="s">
        <v>1222</v>
      </c>
      <c r="D49" s="137">
        <v>0</v>
      </c>
      <c r="Q49" s="446" t="str">
        <f>'Translate &amp; Prices'!$B$133</f>
        <v>Lacobel REF 1604</v>
      </c>
    </row>
    <row r="50" spans="1:17" x14ac:dyDescent="0.3">
      <c r="A50" s="137" t="str">
        <f>'Translate &amp; Prices'!$B$13</f>
        <v>BRW zlatá</v>
      </c>
      <c r="B50" s="137">
        <v>1</v>
      </c>
      <c r="C50" s="137" t="s">
        <v>1222</v>
      </c>
      <c r="D50" s="137">
        <v>0</v>
      </c>
      <c r="Q50" s="446" t="str">
        <f>'Translate &amp; Prices'!$B$134</f>
        <v>Matelac RAL 2001</v>
      </c>
    </row>
    <row r="51" spans="1:17" x14ac:dyDescent="0.3">
      <c r="A51" s="137" t="str">
        <f>'Translate &amp; Prices'!$B$26</f>
        <v>Verona zlatá</v>
      </c>
      <c r="B51" s="137">
        <v>1</v>
      </c>
      <c r="C51" s="137" t="s">
        <v>1222</v>
      </c>
      <c r="D51" s="137">
        <v>0</v>
      </c>
      <c r="Q51" s="446" t="str">
        <f>'Translate &amp; Prices'!$B$135</f>
        <v>Matelac RAL 3004</v>
      </c>
    </row>
    <row r="52" spans="1:17" x14ac:dyDescent="0.3">
      <c r="A52" s="404" t="str">
        <f>'Translate &amp; Prices'!$B$33</f>
        <v>Vivaro zlatá</v>
      </c>
      <c r="B52" s="137">
        <v>2</v>
      </c>
      <c r="C52" s="137" t="s">
        <v>1222</v>
      </c>
      <c r="D52" s="137">
        <v>0</v>
      </c>
      <c r="Q52" s="446" t="str">
        <f>'Translate &amp; Prices'!$B$136</f>
        <v>Matelac RAL 7021</v>
      </c>
    </row>
    <row r="53" spans="1:17" x14ac:dyDescent="0.3">
      <c r="A53" s="137" t="str">
        <f>'Translate &amp; Prices'!$B$47</f>
        <v>Imola zlatá</v>
      </c>
      <c r="B53" s="137">
        <v>2</v>
      </c>
      <c r="C53" s="137" t="s">
        <v>2133</v>
      </c>
      <c r="D53" s="137">
        <v>0</v>
      </c>
      <c r="Q53" s="446" t="str">
        <f>'Translate &amp; Prices'!$B$137</f>
        <v>Matelac RAL 9003</v>
      </c>
    </row>
    <row r="54" spans="1:17" x14ac:dyDescent="0.3">
      <c r="A54" s="137" t="str">
        <f>'Translate &amp; Prices'!$B$57</f>
        <v>Pisa zlatá</v>
      </c>
      <c r="B54" s="137">
        <v>2</v>
      </c>
      <c r="C54" s="137" t="s">
        <v>2133</v>
      </c>
      <c r="D54" s="137">
        <v>0</v>
      </c>
      <c r="Q54" s="446" t="str">
        <f>'Translate &amp; Prices'!$B$138</f>
        <v>Matelac RAL 9005</v>
      </c>
    </row>
    <row r="55" spans="1:17" x14ac:dyDescent="0.3">
      <c r="Q55" s="446" t="str">
        <f>'Translate &amp; Prices'!$B$139</f>
        <v>Matelac RAL 9006</v>
      </c>
    </row>
    <row r="56" spans="1:17" x14ac:dyDescent="0.3">
      <c r="Q56" s="446" t="str">
        <f>'Translate &amp; Prices'!$B$140</f>
        <v>Matelac RAL 9010</v>
      </c>
    </row>
    <row r="57" spans="1:17" x14ac:dyDescent="0.3">
      <c r="Q57" s="446" t="str">
        <f>'Translate &amp; Prices'!$B$141</f>
        <v>Matelac REF 1435</v>
      </c>
    </row>
    <row r="58" spans="1:17" x14ac:dyDescent="0.3">
      <c r="Q58" s="446" t="str">
        <f>'Translate &amp; Prices'!$B$142</f>
        <v>Matelac REF 1586</v>
      </c>
    </row>
    <row r="59" spans="1:17" x14ac:dyDescent="0.3">
      <c r="Q59" s="446" t="str">
        <f>'Translate &amp; Prices'!$B$143</f>
        <v>Matelac zrcadlo bronz</v>
      </c>
    </row>
    <row r="60" spans="1:17" x14ac:dyDescent="0.3">
      <c r="Q60" s="446" t="str">
        <f>'Translate &amp; Prices'!$B$145</f>
        <v>Matelac zrcadlo grafit</v>
      </c>
    </row>
    <row r="61" spans="1:17" x14ac:dyDescent="0.3">
      <c r="Q61" s="446" t="str">
        <f>'Translate &amp; Prices'!$B$146</f>
        <v>Matelac zrcadlo stříbr.</v>
      </c>
    </row>
  </sheetData>
  <conditionalFormatting sqref="AC4:AC9 AC15:AC23 AC29:AC34 AC40:AC41 AC43:AC45">
    <cfRule type="cellIs" dxfId="317" priority="30" operator="equal">
      <formula>1</formula>
    </cfRule>
  </conditionalFormatting>
  <conditionalFormatting sqref="R5">
    <cfRule type="duplicateValues" dxfId="316" priority="25"/>
  </conditionalFormatting>
  <conditionalFormatting sqref="S20:S48">
    <cfRule type="duplicateValues" dxfId="315" priority="29"/>
  </conditionalFormatting>
  <conditionalFormatting sqref="R49:R55">
    <cfRule type="duplicateValues" dxfId="314" priority="27"/>
  </conditionalFormatting>
  <conditionalFormatting sqref="R56:R57">
    <cfRule type="duplicateValues" dxfId="313" priority="28"/>
  </conditionalFormatting>
  <conditionalFormatting sqref="Q2 Q63:Q1048576 Q4:Q61">
    <cfRule type="duplicateValues" dxfId="312" priority="31"/>
  </conditionalFormatting>
  <conditionalFormatting sqref="R2 R63:R1048576 R49:R61">
    <cfRule type="duplicateValues" dxfId="311" priority="32"/>
  </conditionalFormatting>
  <conditionalFormatting sqref="P63:P1048576 P2:P61">
    <cfRule type="duplicateValues" dxfId="310" priority="33"/>
  </conditionalFormatting>
  <conditionalFormatting sqref="R63 R58:R61">
    <cfRule type="duplicateValues" dxfId="309" priority="34"/>
  </conditionalFormatting>
  <conditionalFormatting sqref="R4">
    <cfRule type="duplicateValues" dxfId="308" priority="26"/>
  </conditionalFormatting>
  <conditionalFormatting sqref="R6:R8">
    <cfRule type="duplicateValues" dxfId="307" priority="24"/>
  </conditionalFormatting>
  <conditionalFormatting sqref="R9:R10">
    <cfRule type="duplicateValues" dxfId="306" priority="23"/>
  </conditionalFormatting>
  <conditionalFormatting sqref="R11">
    <cfRule type="duplicateValues" dxfId="305" priority="22"/>
  </conditionalFormatting>
  <conditionalFormatting sqref="R12:R36">
    <cfRule type="duplicateValues" dxfId="304" priority="21"/>
  </conditionalFormatting>
  <conditionalFormatting sqref="R37:R45">
    <cfRule type="duplicateValues" dxfId="303" priority="20"/>
  </conditionalFormatting>
  <conditionalFormatting sqref="R46:R48">
    <cfRule type="duplicateValues" dxfId="302" priority="19"/>
  </conditionalFormatting>
  <conditionalFormatting sqref="S4">
    <cfRule type="duplicateValues" dxfId="301" priority="18"/>
  </conditionalFormatting>
  <conditionalFormatting sqref="S5:S10">
    <cfRule type="duplicateValues" dxfId="300" priority="17"/>
  </conditionalFormatting>
  <conditionalFormatting sqref="S11:S12">
    <cfRule type="duplicateValues" dxfId="299" priority="16"/>
  </conditionalFormatting>
  <conditionalFormatting sqref="S13:S19">
    <cfRule type="duplicateValues" dxfId="298" priority="15"/>
  </conditionalFormatting>
  <conditionalFormatting sqref="T4">
    <cfRule type="duplicateValues" dxfId="297" priority="14"/>
  </conditionalFormatting>
  <conditionalFormatting sqref="T5:T6">
    <cfRule type="duplicateValues" dxfId="296" priority="13"/>
  </conditionalFormatting>
  <conditionalFormatting sqref="T7">
    <cfRule type="duplicateValues" dxfId="295" priority="12"/>
  </conditionalFormatting>
  <conditionalFormatting sqref="U4:U6">
    <cfRule type="duplicateValues" dxfId="294" priority="11"/>
  </conditionalFormatting>
  <conditionalFormatting sqref="U7:U31">
    <cfRule type="duplicateValues" dxfId="293" priority="10"/>
  </conditionalFormatting>
  <conditionalFormatting sqref="U32:U40">
    <cfRule type="duplicateValues" dxfId="292" priority="9"/>
  </conditionalFormatting>
  <conditionalFormatting sqref="U41:U43">
    <cfRule type="duplicateValues" dxfId="291" priority="8"/>
  </conditionalFormatting>
  <conditionalFormatting sqref="V4:V6">
    <cfRule type="duplicateValues" dxfId="290" priority="7"/>
  </conditionalFormatting>
  <conditionalFormatting sqref="V7:V31">
    <cfRule type="duplicateValues" dxfId="289" priority="6"/>
  </conditionalFormatting>
  <conditionalFormatting sqref="V32:V40">
    <cfRule type="duplicateValues" dxfId="288" priority="5"/>
  </conditionalFormatting>
  <conditionalFormatting sqref="V41:V43">
    <cfRule type="duplicateValues" dxfId="287" priority="4"/>
  </conditionalFormatting>
  <conditionalFormatting sqref="A55:A56 A58:A59">
    <cfRule type="duplicateValues" dxfId="286" priority="3"/>
  </conditionalFormatting>
  <conditionalFormatting sqref="A54 A52 A44:A49">
    <cfRule type="duplicateValues" dxfId="285" priority="2"/>
  </conditionalFormatting>
  <conditionalFormatting sqref="A3:A54">
    <cfRule type="duplicateValues" dxfId="284" priority="1"/>
  </conditionalFormatting>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A95BA-1F07-41C4-A9EC-1BEB84A31B3E}">
  <sheetPr codeName="List19">
    <tabColor rgb="FF00B0F0"/>
    <pageSetUpPr fitToPage="1"/>
  </sheetPr>
  <dimension ref="A1:BM138"/>
  <sheetViews>
    <sheetView showGridLines="0" showRowColHeaders="0" zoomScale="80" zoomScaleNormal="80" workbookViewId="0">
      <selection activeCell="AT17" sqref="AT1:XFD1048576"/>
    </sheetView>
  </sheetViews>
  <sheetFormatPr defaultColWidth="0" defaultRowHeight="14.4" customHeight="1" zeroHeight="1" x14ac:dyDescent="0.3"/>
  <cols>
    <col min="1" max="1" width="3.33203125" style="1244" customWidth="1"/>
    <col min="2" max="2" width="5.33203125" style="1245" customWidth="1"/>
    <col min="3" max="3" width="5.33203125" style="1252" customWidth="1"/>
    <col min="4" max="7" width="5.5546875" style="1250" customWidth="1"/>
    <col min="8" max="13" width="5.33203125" style="1250" customWidth="1"/>
    <col min="14" max="17" width="4.44140625" style="1250" customWidth="1"/>
    <col min="18" max="18" width="5.33203125" style="1250" customWidth="1"/>
    <col min="19" max="19" width="4.21875" style="1250" customWidth="1"/>
    <col min="20" max="21" width="5.33203125" style="1250" customWidth="1"/>
    <col min="22" max="22" width="3.33203125" style="1250" customWidth="1"/>
    <col min="23" max="25" width="5.33203125" style="1250" customWidth="1"/>
    <col min="26" max="26" width="5.33203125" style="1252" customWidth="1"/>
    <col min="27" max="27" width="3.88671875" style="1252" customWidth="1"/>
    <col min="28" max="28" width="5.33203125" style="1252" customWidth="1"/>
    <col min="29" max="29" width="3.5546875" style="1252" customWidth="1"/>
    <col min="30" max="30" width="5.33203125" style="1256" customWidth="1"/>
    <col min="31" max="31" width="5.33203125" style="1245" customWidth="1"/>
    <col min="32" max="33" width="5.33203125" style="1252" customWidth="1"/>
    <col min="34" max="34" width="4.21875" style="1252" customWidth="1"/>
    <col min="35" max="36" width="5.33203125" style="1252" customWidth="1"/>
    <col min="37" max="37" width="3.33203125" style="1252" customWidth="1"/>
    <col min="38" max="38" width="5.33203125" style="1252" customWidth="1"/>
    <col min="39" max="39" width="3.5546875" style="1252" customWidth="1"/>
    <col min="40" max="40" width="5.33203125" style="1252" customWidth="1"/>
    <col min="41" max="41" width="2.88671875" style="1252" customWidth="1"/>
    <col min="42" max="42" width="3.88671875" style="1252" customWidth="1"/>
    <col min="43" max="43" width="5.44140625" style="1252" customWidth="1"/>
    <col min="44" max="44" width="4.44140625" style="1252" customWidth="1"/>
    <col min="45" max="45" width="8.88671875" style="1252" customWidth="1"/>
    <col min="46" max="46" width="8.88671875" style="1252" hidden="1"/>
    <col min="47" max="48" width="8.88671875" style="1226" hidden="1"/>
    <col min="49" max="55" width="8.88671875" style="1250" hidden="1"/>
    <col min="56" max="16384" width="8.88671875" style="1251" hidden="1"/>
  </cols>
  <sheetData>
    <row r="1" spans="1:65" s="1228" customFormat="1" ht="8.4" customHeight="1" x14ac:dyDescent="0.3">
      <c r="A1" s="557"/>
      <c r="B1" s="557"/>
      <c r="C1" s="506"/>
      <c r="D1" s="506"/>
      <c r="E1" s="506"/>
      <c r="F1" s="506"/>
      <c r="G1" s="506"/>
      <c r="H1" s="506"/>
      <c r="I1" s="506"/>
      <c r="J1" s="506"/>
      <c r="K1" s="506"/>
      <c r="L1" s="506"/>
      <c r="M1" s="506"/>
      <c r="N1" s="506"/>
      <c r="O1" s="506"/>
      <c r="P1" s="506"/>
      <c r="Q1" s="506"/>
      <c r="R1" s="506"/>
      <c r="S1" s="506"/>
      <c r="T1" s="506"/>
      <c r="U1" s="506"/>
      <c r="V1" s="507"/>
      <c r="W1" s="507"/>
      <c r="X1" s="507"/>
      <c r="Y1" s="507"/>
      <c r="Z1" s="400"/>
      <c r="AA1" s="400"/>
      <c r="AB1" s="400"/>
      <c r="AC1" s="400"/>
      <c r="AD1" s="508"/>
      <c r="AE1" s="509"/>
      <c r="AF1" s="400"/>
      <c r="AG1" s="400"/>
      <c r="AH1" s="400"/>
      <c r="AI1" s="400"/>
      <c r="AJ1" s="400"/>
      <c r="AK1" s="400"/>
      <c r="AL1" s="400"/>
      <c r="AM1" s="400"/>
      <c r="AN1" s="400"/>
      <c r="AO1" s="400"/>
      <c r="AP1" s="400"/>
      <c r="AQ1" s="400"/>
      <c r="AR1" s="400"/>
      <c r="AS1" s="400"/>
      <c r="AT1" s="1225"/>
      <c r="AU1" s="1226"/>
      <c r="AV1" s="1226"/>
      <c r="AW1" s="1227"/>
      <c r="AX1" s="1227"/>
      <c r="AY1" s="1227"/>
      <c r="AZ1" s="1227"/>
      <c r="BA1" s="1227"/>
      <c r="BB1" s="1227"/>
      <c r="BC1" s="1227"/>
    </row>
    <row r="2" spans="1:65" s="1228" customFormat="1" ht="11.4" customHeight="1" x14ac:dyDescent="0.3">
      <c r="A2" s="860" t="str">
        <f>'Translate &amp; Prices'!$B$149&amp;" "&amp;" "&amp;6</f>
        <v>Rámeček  6</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560"/>
      <c r="AL2" s="560"/>
      <c r="AM2" s="560"/>
      <c r="AN2" s="560"/>
      <c r="AO2" s="511"/>
      <c r="AP2" s="745" t="str">
        <f>'Translate &amp; Prices'!$B$520</f>
        <v>Úvod</v>
      </c>
      <c r="AQ2" s="746"/>
      <c r="AR2" s="746"/>
      <c r="AS2" s="746"/>
      <c r="AT2" s="1225"/>
      <c r="AU2" s="1226"/>
      <c r="AV2" s="1226"/>
      <c r="AW2" s="1227"/>
      <c r="AX2" s="1229" t="e">
        <f>VLOOKUP(VLOOKUP(H8,'Translate &amp; Prices'!B60:D69,3,0),'Translate &amp; Prices'!B6:D57,2,0)</f>
        <v>#N/A</v>
      </c>
      <c r="AY2" s="1230" t="e">
        <f>((AR14/1000)*2)*AT8</f>
        <v>#N/A</v>
      </c>
      <c r="AZ2" s="1231" t="e">
        <f>((AI30/1000)*2)*AX2</f>
        <v>#N/A</v>
      </c>
      <c r="BA2" s="1231" t="e">
        <f>AY2+AZ2</f>
        <v>#N/A</v>
      </c>
      <c r="BB2" s="1229"/>
      <c r="BC2" s="1229"/>
      <c r="BD2" s="1232"/>
      <c r="BE2" s="1232"/>
      <c r="BF2" s="1232"/>
      <c r="BG2" s="1232"/>
      <c r="BH2" s="1233"/>
      <c r="BI2" s="1233"/>
      <c r="BJ2" s="1233"/>
      <c r="BK2" s="1233"/>
      <c r="BL2" s="1233"/>
      <c r="BM2" s="1233"/>
    </row>
    <row r="3" spans="1:65" s="1228" customFormat="1" ht="11.4" customHeight="1" x14ac:dyDescent="0.3">
      <c r="A3" s="860"/>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560"/>
      <c r="AL3" s="560"/>
      <c r="AM3" s="560"/>
      <c r="AN3" s="560"/>
      <c r="AO3" s="511"/>
      <c r="AP3" s="745"/>
      <c r="AQ3" s="746"/>
      <c r="AR3" s="746"/>
      <c r="AS3" s="746"/>
      <c r="AT3" s="1225"/>
      <c r="AU3" s="1226"/>
      <c r="AV3" s="1226"/>
      <c r="AW3" s="1227"/>
      <c r="AX3" s="1229" t="e">
        <f>VLOOKUP(VLOOKUP(H8,'Translate &amp; Prices'!B60:D69,3,0),'Translate &amp; Prices'!B:D,3,0)</f>
        <v>#N/A</v>
      </c>
      <c r="AY3" s="1234" t="e">
        <f>AT9+AX3</f>
        <v>#N/A</v>
      </c>
      <c r="AZ3" s="1231"/>
      <c r="BA3" s="1230"/>
      <c r="BB3" s="1229"/>
      <c r="BC3" s="1229"/>
      <c r="BD3" s="1235">
        <f>(AI30/1000)*H11</f>
        <v>0</v>
      </c>
      <c r="BE3" s="1235"/>
      <c r="BF3" s="1235"/>
      <c r="BG3" s="1235"/>
      <c r="BH3" s="1235"/>
      <c r="BI3" s="1235">
        <f>(AR14/1000)*M11</f>
        <v>0</v>
      </c>
      <c r="BJ3" s="1235"/>
      <c r="BK3" s="1235"/>
      <c r="BL3" s="1235"/>
      <c r="BM3" s="1235"/>
    </row>
    <row r="4" spans="1:65" s="1239" customFormat="1" ht="6.6" customHeight="1" x14ac:dyDescent="0.3">
      <c r="A4" s="552"/>
      <c r="B4" s="552"/>
      <c r="C4" s="553"/>
      <c r="D4" s="553"/>
      <c r="E4" s="553"/>
      <c r="F4" s="553"/>
      <c r="G4" s="553"/>
      <c r="H4" s="553"/>
      <c r="I4" s="553"/>
      <c r="J4" s="554"/>
      <c r="K4" s="554"/>
      <c r="L4" s="554"/>
      <c r="M4" s="554"/>
      <c r="N4" s="554"/>
      <c r="O4" s="554"/>
      <c r="P4" s="555"/>
      <c r="Q4" s="555"/>
      <c r="R4" s="555"/>
      <c r="S4" s="555"/>
      <c r="T4" s="555"/>
      <c r="U4" s="555"/>
      <c r="V4" s="555"/>
      <c r="W4" s="555"/>
      <c r="X4" s="555"/>
      <c r="Y4" s="555"/>
      <c r="Z4" s="555"/>
      <c r="AA4" s="555"/>
      <c r="AB4" s="555"/>
      <c r="AC4" s="555"/>
      <c r="AD4" s="508"/>
      <c r="AE4" s="509"/>
      <c r="AF4" s="529"/>
      <c r="AG4" s="529"/>
      <c r="AH4" s="529"/>
      <c r="AI4" s="529"/>
      <c r="AJ4" s="529"/>
      <c r="AK4" s="529"/>
      <c r="AL4" s="529"/>
      <c r="AM4" s="529"/>
      <c r="AN4" s="529"/>
      <c r="AO4" s="529"/>
      <c r="AP4" s="529"/>
      <c r="AQ4" s="529"/>
      <c r="AR4" s="529"/>
      <c r="AS4" s="558"/>
      <c r="AT4" s="1236"/>
      <c r="AU4" s="1237"/>
      <c r="AV4" s="1237"/>
      <c r="AW4" s="1238"/>
      <c r="AX4" s="1238"/>
      <c r="AY4" s="1238"/>
      <c r="AZ4" s="1238"/>
      <c r="BA4" s="1238"/>
      <c r="BB4" s="1238"/>
      <c r="BC4" s="1238"/>
    </row>
    <row r="5" spans="1:65" s="1228" customFormat="1" ht="14.4" customHeight="1" thickBot="1" x14ac:dyDescent="0.35">
      <c r="A5" s="510"/>
      <c r="B5" s="845" t="str">
        <f>'Translate &amp; Prices'!$B$149&amp;" "&amp;" "&amp;1</f>
        <v>Rámeček  1</v>
      </c>
      <c r="C5" s="845"/>
      <c r="D5" s="845"/>
      <c r="E5" s="561"/>
      <c r="F5" s="845" t="str">
        <f>'Translate &amp; Prices'!$B$149&amp;" "&amp;" "&amp;2</f>
        <v>Rámeček  2</v>
      </c>
      <c r="G5" s="845"/>
      <c r="H5" s="845"/>
      <c r="I5" s="512"/>
      <c r="J5" s="845" t="str">
        <f>'Translate &amp; Prices'!$B$149&amp;" "&amp;" "&amp;3</f>
        <v>Rámeček  3</v>
      </c>
      <c r="K5" s="845"/>
      <c r="L5" s="845"/>
      <c r="M5" s="512"/>
      <c r="N5" s="845" t="str">
        <f>'Translate &amp; Prices'!$B$149&amp;" "&amp;" "&amp;4</f>
        <v>Rámeček  4</v>
      </c>
      <c r="O5" s="845"/>
      <c r="P5" s="845"/>
      <c r="Q5" s="512"/>
      <c r="R5" s="845" t="str">
        <f>'Translate &amp; Prices'!$B$149&amp;" "&amp;" "&amp;5</f>
        <v>Rámeček  5</v>
      </c>
      <c r="S5" s="845"/>
      <c r="T5" s="845"/>
      <c r="U5" s="512"/>
      <c r="V5" s="845" t="str">
        <f>'Translate &amp; Prices'!$B$149&amp;" "&amp;" "&amp;6</f>
        <v>Rámeček  6</v>
      </c>
      <c r="W5" s="845"/>
      <c r="X5" s="845"/>
      <c r="Y5" s="510"/>
      <c r="Z5" s="510"/>
      <c r="AA5" s="400"/>
      <c r="AB5" s="400"/>
      <c r="AC5" s="400"/>
      <c r="AD5" s="508"/>
      <c r="AE5" s="509"/>
      <c r="AF5" s="400"/>
      <c r="AG5" s="400"/>
      <c r="AH5" s="400"/>
      <c r="AI5" s="400"/>
      <c r="AJ5" s="400"/>
      <c r="AK5" s="400"/>
      <c r="AL5" s="400"/>
      <c r="AM5" s="400"/>
      <c r="AN5" s="400"/>
      <c r="AO5" s="400"/>
      <c r="AP5" s="400"/>
      <c r="AQ5" s="400"/>
      <c r="AR5" s="400"/>
      <c r="AS5" s="557"/>
      <c r="AT5" s="1229"/>
      <c r="AU5" s="1226"/>
      <c r="AV5" s="1226"/>
      <c r="AW5" s="1227"/>
      <c r="AX5" s="1227"/>
      <c r="AY5" s="1227"/>
      <c r="AZ5" s="1227"/>
      <c r="BA5" s="1227"/>
      <c r="BB5" s="1227"/>
      <c r="BC5" s="1227"/>
    </row>
    <row r="6" spans="1:65" s="1228" customFormat="1" ht="16.8" customHeight="1" thickTop="1" thickBot="1" x14ac:dyDescent="0.35">
      <c r="A6" s="510"/>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3"/>
      <c r="AB6" s="514"/>
      <c r="AC6" s="515"/>
      <c r="AD6" s="515"/>
      <c r="AE6" s="514"/>
      <c r="AF6" s="514"/>
      <c r="AG6" s="514"/>
      <c r="AH6" s="514"/>
      <c r="AI6" s="516"/>
      <c r="AJ6" s="517"/>
      <c r="AK6" s="514"/>
      <c r="AL6" s="514"/>
      <c r="AM6" s="515"/>
      <c r="AN6" s="515"/>
      <c r="AO6" s="514"/>
      <c r="AP6" s="518"/>
      <c r="AQ6" s="400"/>
      <c r="AR6" s="400"/>
      <c r="AS6" s="400"/>
      <c r="AT6" s="1240"/>
      <c r="AU6" s="1226"/>
      <c r="AV6" s="1226"/>
      <c r="AW6" s="1227"/>
      <c r="AX6" s="1227"/>
      <c r="AY6" s="1227"/>
      <c r="AZ6" s="1227"/>
      <c r="BA6" s="1227"/>
      <c r="BB6" s="1227"/>
      <c r="BC6" s="1227"/>
    </row>
    <row r="7" spans="1:65" s="1228" customFormat="1" ht="14.4" customHeight="1" thickBot="1" x14ac:dyDescent="0.35">
      <c r="A7" s="510"/>
      <c r="B7" s="849" t="str">
        <f>'Translate &amp; Prices'!$B$522</f>
        <v>Kombinace 2 profilů</v>
      </c>
      <c r="C7" s="850"/>
      <c r="D7" s="850"/>
      <c r="E7" s="850"/>
      <c r="F7" s="850"/>
      <c r="G7" s="855">
        <f>IF(H8='Translate &amp; Prices'!B18,'Translate &amp; Prices'!B567,IF(H8='Translate &amp; Prices'!B19,'Translate &amp; Prices'!B567,IF(H8='Translate &amp; Prices'!B20,'Translate &amp; Prices'!B567,0)))</f>
        <v>0</v>
      </c>
      <c r="H7" s="855"/>
      <c r="I7" s="855"/>
      <c r="J7" s="855"/>
      <c r="K7" s="855"/>
      <c r="L7" s="855"/>
      <c r="M7" s="855"/>
      <c r="N7" s="855"/>
      <c r="O7" s="855"/>
      <c r="P7" s="855"/>
      <c r="Q7" s="855"/>
      <c r="R7" s="856"/>
      <c r="S7" s="798" t="str">
        <f>'Translate &amp; Prices'!$B$552</f>
        <v>Upozornění</v>
      </c>
      <c r="T7" s="798"/>
      <c r="U7" s="798"/>
      <c r="V7" s="400"/>
      <c r="W7" s="510"/>
      <c r="X7" s="400"/>
      <c r="Y7" s="400"/>
      <c r="Z7" s="400"/>
      <c r="AA7" s="519"/>
      <c r="AB7" s="520"/>
      <c r="AC7" s="521"/>
      <c r="AD7" s="521"/>
      <c r="AE7" s="521"/>
      <c r="AF7" s="521"/>
      <c r="AG7" s="522"/>
      <c r="AH7" s="522"/>
      <c r="AI7" s="523"/>
      <c r="AJ7" s="800">
        <v>0</v>
      </c>
      <c r="AK7" s="521"/>
      <c r="AL7" s="521"/>
      <c r="AM7" s="521"/>
      <c r="AN7" s="521"/>
      <c r="AO7" s="524"/>
      <c r="AP7" s="525"/>
      <c r="AQ7" s="858">
        <f>IFERROR(IF($AU$17&gt;2,'Translate &amp; Prices'!$B$557,0),0)</f>
        <v>0</v>
      </c>
      <c r="AR7" s="400"/>
      <c r="AS7" s="400"/>
      <c r="AT7" s="1229"/>
      <c r="AU7" s="1241" t="e">
        <f>VLOOKUP(H8,kombinace_6!$A:$B,2,0)</f>
        <v>#N/A</v>
      </c>
      <c r="AV7" s="1230" t="e">
        <f>IF(AU7=2,"Široký","Úzký")</f>
        <v>#N/A</v>
      </c>
      <c r="AW7" s="1227"/>
      <c r="AX7" s="1227"/>
      <c r="AY7" s="1227"/>
      <c r="AZ7" s="1227"/>
      <c r="BA7" s="1227"/>
      <c r="BB7" s="1227"/>
      <c r="BC7" s="1227"/>
    </row>
    <row r="8" spans="1:65" s="1228" customFormat="1" ht="30" customHeight="1" x14ac:dyDescent="0.3">
      <c r="A8" s="559"/>
      <c r="B8" s="823" t="str">
        <f>'Translate &amp; Prices'!$B$152</f>
        <v>Typ profilu</v>
      </c>
      <c r="C8" s="824"/>
      <c r="D8" s="824"/>
      <c r="E8" s="824"/>
      <c r="F8" s="824"/>
      <c r="G8" s="550"/>
      <c r="H8" s="852"/>
      <c r="I8" s="852"/>
      <c r="J8" s="852"/>
      <c r="K8" s="852"/>
      <c r="L8" s="852"/>
      <c r="M8" s="852"/>
      <c r="N8" s="852"/>
      <c r="O8" s="852"/>
      <c r="P8" s="852"/>
      <c r="Q8" s="853"/>
      <c r="R8" s="598"/>
      <c r="S8" s="868">
        <f>IF(AU10&gt;0,'Translate &amp; Prices'!B283,IF(H8=kombinace_1!A51,'Translate &amp; Prices'!B558,IF(H8=kombinace_1!A53,'Translate &amp; Prices'!B559,IF(H8=kombinace_1!A55,'Translate &amp; Prices'!B560,0))))</f>
        <v>0</v>
      </c>
      <c r="T8" s="869"/>
      <c r="U8" s="869"/>
      <c r="V8" s="869"/>
      <c r="W8" s="869"/>
      <c r="X8" s="869"/>
      <c r="Y8" s="870"/>
      <c r="Z8" s="400"/>
      <c r="AA8" s="527"/>
      <c r="AB8" s="507"/>
      <c r="AC8" s="806" t="str">
        <f>'Translate &amp; Prices'!$B$222</f>
        <v>Vzdálenost od kraje</v>
      </c>
      <c r="AD8" s="806"/>
      <c r="AE8" s="806"/>
      <c r="AF8" s="806"/>
      <c r="AG8" s="806"/>
      <c r="AH8" s="400"/>
      <c r="AI8" s="508"/>
      <c r="AJ8" s="800"/>
      <c r="AK8" s="400"/>
      <c r="AL8" s="400"/>
      <c r="AM8" s="400"/>
      <c r="AN8" s="400"/>
      <c r="AO8" s="400"/>
      <c r="AP8" s="527"/>
      <c r="AQ8" s="858"/>
      <c r="AR8" s="400"/>
      <c r="AS8" s="400"/>
      <c r="AT8" s="1232" t="e">
        <f>VLOOKUP(VLOOKUP(H8,'Translate &amp; Prices'!B60:C69,2,0),'Translate &amp; Prices'!B6:C570,2,0)</f>
        <v>#N/A</v>
      </c>
      <c r="AU8" s="1230"/>
      <c r="AV8" s="1230"/>
      <c r="AW8" s="1227"/>
    </row>
    <row r="9" spans="1:65" s="1228" customFormat="1" ht="15.6" customHeight="1" x14ac:dyDescent="0.3">
      <c r="A9" s="559"/>
      <c r="B9" s="823">
        <f>IFERROR(IF(VLOOKUP(H8,kombinace_6!$A:$D,4,0)=1,'Translate &amp; Prices'!$B$523,0),0)</f>
        <v>0</v>
      </c>
      <c r="C9" s="824"/>
      <c r="D9" s="824"/>
      <c r="E9" s="824"/>
      <c r="F9" s="824"/>
      <c r="G9" s="550"/>
      <c r="H9" s="756"/>
      <c r="I9" s="756"/>
      <c r="J9" s="756"/>
      <c r="K9" s="756"/>
      <c r="L9" s="756"/>
      <c r="M9" s="756"/>
      <c r="N9" s="756"/>
      <c r="O9" s="756"/>
      <c r="P9" s="756"/>
      <c r="Q9" s="825"/>
      <c r="R9" s="510"/>
      <c r="S9" s="846"/>
      <c r="T9" s="847"/>
      <c r="U9" s="847"/>
      <c r="V9" s="847"/>
      <c r="W9" s="847"/>
      <c r="X9" s="847"/>
      <c r="Y9" s="848"/>
      <c r="Z9" s="510"/>
      <c r="AA9" s="528"/>
      <c r="AB9" s="507"/>
      <c r="AC9" s="821">
        <v>0</v>
      </c>
      <c r="AD9" s="821"/>
      <c r="AE9" s="526"/>
      <c r="AF9" s="830" t="str">
        <f>('Translate &amp; Prices'!$B$528)&amp;" "&amp;H26&amp;" "&amp;"mm"</f>
        <v>Rozteč  mm</v>
      </c>
      <c r="AG9" s="830"/>
      <c r="AH9" s="830"/>
      <c r="AI9" s="830"/>
      <c r="AJ9" s="830"/>
      <c r="AK9" s="830"/>
      <c r="AL9" s="400"/>
      <c r="AM9" s="400"/>
      <c r="AN9" s="400"/>
      <c r="AO9" s="400"/>
      <c r="AP9" s="528"/>
      <c r="AQ9" s="858"/>
      <c r="AR9" s="400"/>
      <c r="AS9" s="400"/>
      <c r="AT9" s="1229">
        <f>VLOOKUP(VLOOKUP(H8,'Translate &amp; Prices'!B60:C651,2,0),'Translate &amp; Prices'!B3:D567,3,0)</f>
        <v>0</v>
      </c>
      <c r="AU9" s="1241" t="e">
        <f>VLOOKUP(H12,kombinace_6!$DP:$DQ,2,0)</f>
        <v>#N/A</v>
      </c>
      <c r="AV9" s="1230"/>
      <c r="AW9" s="1227"/>
    </row>
    <row r="10" spans="1:65" s="1228" customFormat="1" ht="18" customHeight="1" x14ac:dyDescent="0.3">
      <c r="A10" s="559"/>
      <c r="B10" s="562"/>
      <c r="C10" s="551"/>
      <c r="D10" s="551"/>
      <c r="E10" s="551"/>
      <c r="F10" s="551"/>
      <c r="G10" s="551"/>
      <c r="H10" s="871" t="str">
        <f>'Translate &amp; Prices'!$B$538</f>
        <v>Horizontálně</v>
      </c>
      <c r="I10" s="871"/>
      <c r="J10" s="871"/>
      <c r="K10" s="871"/>
      <c r="L10" s="873"/>
      <c r="M10" s="871" t="str">
        <f>'Translate &amp; Prices'!$B$539</f>
        <v>Vertikálně</v>
      </c>
      <c r="N10" s="871"/>
      <c r="O10" s="871"/>
      <c r="P10" s="871"/>
      <c r="Q10" s="872"/>
      <c r="R10" s="559"/>
      <c r="S10" s="846">
        <f>IF(AU10&gt;0,'Translate &amp; Prices'!B551,0)</f>
        <v>0</v>
      </c>
      <c r="T10" s="847"/>
      <c r="U10" s="847"/>
      <c r="V10" s="847"/>
      <c r="W10" s="847"/>
      <c r="X10" s="847"/>
      <c r="Y10" s="848"/>
      <c r="Z10" s="510"/>
      <c r="AA10" s="528"/>
      <c r="AB10" s="507"/>
      <c r="AC10" s="507"/>
      <c r="AD10" s="802">
        <v>0</v>
      </c>
      <c r="AE10" s="804" t="str">
        <f>'Translate &amp; Prices'!$B$222</f>
        <v>Vzdálenost od kraje</v>
      </c>
      <c r="AF10" s="400"/>
      <c r="AG10" s="400"/>
      <c r="AH10" s="400"/>
      <c r="AI10" s="508"/>
      <c r="AJ10" s="509"/>
      <c r="AK10" s="400"/>
      <c r="AL10" s="400"/>
      <c r="AM10" s="400"/>
      <c r="AN10" s="400"/>
      <c r="AO10" s="400"/>
      <c r="AP10" s="528"/>
      <c r="AQ10" s="858"/>
      <c r="AR10" s="400"/>
      <c r="AS10" s="400"/>
      <c r="AT10" s="1232" t="s">
        <v>2429</v>
      </c>
      <c r="AU10" s="1230">
        <f>IFERROR(VLOOKUP(H9,kombinace_6!$BY$13:$BZ$16,2,0),0)</f>
        <v>0</v>
      </c>
      <c r="AV10" s="1230"/>
      <c r="AW10" s="1227"/>
    </row>
    <row r="11" spans="1:65" s="1228" customFormat="1" ht="18" customHeight="1" x14ac:dyDescent="0.3">
      <c r="A11" s="559"/>
      <c r="B11" s="823" t="str">
        <f>('Translate &amp; Prices'!$B$523)&amp;" "&amp;"("&amp;'Translate &amp; Prices'!$B$154&amp;")"</f>
        <v>Dělící lišty (Počet kusů)</v>
      </c>
      <c r="C11" s="824"/>
      <c r="D11" s="824"/>
      <c r="E11" s="824"/>
      <c r="F11" s="824"/>
      <c r="G11" s="550"/>
      <c r="H11" s="756"/>
      <c r="I11" s="756"/>
      <c r="J11" s="756"/>
      <c r="K11" s="756"/>
      <c r="L11" s="863"/>
      <c r="M11" s="756"/>
      <c r="N11" s="756"/>
      <c r="O11" s="756"/>
      <c r="P11" s="756"/>
      <c r="Q11" s="825"/>
      <c r="R11" s="559"/>
      <c r="S11" s="846"/>
      <c r="T11" s="847"/>
      <c r="U11" s="847"/>
      <c r="V11" s="847"/>
      <c r="W11" s="847"/>
      <c r="X11" s="847"/>
      <c r="Y11" s="848"/>
      <c r="Z11" s="510"/>
      <c r="AA11" s="530"/>
      <c r="AB11" s="531"/>
      <c r="AC11" s="400"/>
      <c r="AD11" s="802"/>
      <c r="AE11" s="804"/>
      <c r="AF11" s="400"/>
      <c r="AG11" s="400"/>
      <c r="AH11" s="400"/>
      <c r="AI11" s="508"/>
      <c r="AJ11" s="509"/>
      <c r="AK11" s="400"/>
      <c r="AL11" s="400"/>
      <c r="AM11" s="400"/>
      <c r="AN11" s="400"/>
      <c r="AO11" s="532"/>
      <c r="AP11" s="525"/>
      <c r="AQ11" s="858"/>
      <c r="AR11" s="400"/>
      <c r="AS11" s="400"/>
      <c r="AT11" s="1242">
        <f>IFERROR(IF(kombinace_6!$H$1=TRUE,BA2+AY3,0),0)</f>
        <v>0</v>
      </c>
      <c r="AU11" s="1241"/>
      <c r="AV11" s="1230"/>
      <c r="AW11" s="1227"/>
    </row>
    <row r="12" spans="1:65" s="1228" customFormat="1" ht="18" customHeight="1" x14ac:dyDescent="0.3">
      <c r="A12" s="559"/>
      <c r="B12" s="823" t="str">
        <f>'Translate &amp; Prices'!$B$238</f>
        <v>Typ kování</v>
      </c>
      <c r="C12" s="824"/>
      <c r="D12" s="824"/>
      <c r="E12" s="824"/>
      <c r="F12" s="824"/>
      <c r="G12" s="550"/>
      <c r="H12" s="756"/>
      <c r="I12" s="756"/>
      <c r="J12" s="756"/>
      <c r="K12" s="756"/>
      <c r="L12" s="756"/>
      <c r="M12" s="756"/>
      <c r="N12" s="756"/>
      <c r="O12" s="756"/>
      <c r="P12" s="756"/>
      <c r="Q12" s="825"/>
      <c r="R12" s="559"/>
      <c r="S12" s="846"/>
      <c r="T12" s="847"/>
      <c r="U12" s="847"/>
      <c r="V12" s="847"/>
      <c r="W12" s="847"/>
      <c r="X12" s="847"/>
      <c r="Y12" s="848"/>
      <c r="Z12" s="510"/>
      <c r="AA12" s="530"/>
      <c r="AB12" s="531"/>
      <c r="AC12" s="400"/>
      <c r="AD12" s="802"/>
      <c r="AE12" s="804"/>
      <c r="AF12" s="400"/>
      <c r="AG12" s="400"/>
      <c r="AH12" s="400"/>
      <c r="AI12" s="508"/>
      <c r="AJ12" s="509"/>
      <c r="AK12" s="400"/>
      <c r="AL12" s="400"/>
      <c r="AM12" s="400"/>
      <c r="AN12" s="400"/>
      <c r="AO12" s="532"/>
      <c r="AP12" s="525"/>
      <c r="AQ12" s="858"/>
      <c r="AR12" s="400"/>
      <c r="AS12" s="400"/>
      <c r="AT12" s="1233"/>
      <c r="AU12" s="1230"/>
      <c r="AV12" s="1230"/>
      <c r="AW12" s="1227"/>
    </row>
    <row r="13" spans="1:65" s="1228" customFormat="1" ht="18" customHeight="1" x14ac:dyDescent="0.3">
      <c r="A13" s="559"/>
      <c r="B13" s="823" t="str">
        <f>'Translate &amp; Prices'!$B$524</f>
        <v>Značka kování</v>
      </c>
      <c r="C13" s="824"/>
      <c r="D13" s="824"/>
      <c r="E13" s="824"/>
      <c r="F13" s="824"/>
      <c r="G13" s="550"/>
      <c r="H13" s="756"/>
      <c r="I13" s="756"/>
      <c r="J13" s="756"/>
      <c r="K13" s="756"/>
      <c r="L13" s="756"/>
      <c r="M13" s="756"/>
      <c r="N13" s="756"/>
      <c r="O13" s="756"/>
      <c r="P13" s="756"/>
      <c r="Q13" s="825"/>
      <c r="R13" s="559"/>
      <c r="S13" s="846">
        <f>IF(H19&gt;=2,'Translate &amp; Prices'!B555,0)</f>
        <v>0</v>
      </c>
      <c r="T13" s="847"/>
      <c r="U13" s="847"/>
      <c r="V13" s="847"/>
      <c r="W13" s="847"/>
      <c r="X13" s="847"/>
      <c r="Y13" s="848"/>
      <c r="Z13" s="510"/>
      <c r="AA13" s="530"/>
      <c r="AB13" s="531"/>
      <c r="AC13" s="507"/>
      <c r="AD13" s="526"/>
      <c r="AE13" s="804"/>
      <c r="AF13" s="400"/>
      <c r="AG13" s="400"/>
      <c r="AH13" s="400"/>
      <c r="AI13" s="508"/>
      <c r="AJ13" s="509"/>
      <c r="AK13" s="400"/>
      <c r="AL13" s="400"/>
      <c r="AM13" s="400"/>
      <c r="AN13" s="400"/>
      <c r="AO13" s="532"/>
      <c r="AP13" s="525"/>
      <c r="AQ13" s="858"/>
      <c r="AR13" s="529"/>
      <c r="AS13" s="400"/>
      <c r="AT13" s="1243">
        <f>IFERROR((((AI30/1000)+(AR14/1000))*2)*(VLOOKUP(H8,'Translate &amp; Prices'!B6:C67,2,0))+(VLOOKUP(H8,'Translate &amp; Prices'!B6:D67,3,0)),0)</f>
        <v>0</v>
      </c>
      <c r="AU13" s="1241"/>
      <c r="AV13" s="1230"/>
      <c r="AW13" s="1227"/>
    </row>
    <row r="14" spans="1:65" s="1228" customFormat="1" ht="18" customHeight="1" x14ac:dyDescent="0.3">
      <c r="A14" s="559"/>
      <c r="B14" s="823">
        <f>IFERROR(IF(H12='Translate &amp; Prices'!B531,'Translate &amp; Prices'!$B$526,0),0)</f>
        <v>0</v>
      </c>
      <c r="C14" s="824"/>
      <c r="D14" s="824"/>
      <c r="E14" s="824"/>
      <c r="F14" s="824"/>
      <c r="G14" s="550"/>
      <c r="H14" s="756"/>
      <c r="I14" s="756"/>
      <c r="J14" s="756"/>
      <c r="K14" s="756"/>
      <c r="L14" s="756"/>
      <c r="M14" s="756"/>
      <c r="N14" s="756"/>
      <c r="O14" s="756"/>
      <c r="P14" s="756"/>
      <c r="Q14" s="825"/>
      <c r="R14" s="559"/>
      <c r="S14" s="846"/>
      <c r="T14" s="847"/>
      <c r="U14" s="847"/>
      <c r="V14" s="847"/>
      <c r="W14" s="847"/>
      <c r="X14" s="847"/>
      <c r="Y14" s="848"/>
      <c r="Z14" s="510"/>
      <c r="AA14" s="530"/>
      <c r="AB14" s="531"/>
      <c r="AC14" s="507"/>
      <c r="AD14" s="851" t="str">
        <f>('Translate &amp; Prices'!$B$528)&amp;" "&amp;H26&amp;" "&amp;"mm"</f>
        <v>Rozteč  mm</v>
      </c>
      <c r="AE14" s="804"/>
      <c r="AF14" s="400"/>
      <c r="AG14" s="400"/>
      <c r="AH14" s="400"/>
      <c r="AI14" s="508"/>
      <c r="AJ14" s="509"/>
      <c r="AK14" s="400"/>
      <c r="AL14" s="400"/>
      <c r="AM14" s="799" t="str">
        <f>('Translate &amp; Prices'!$B$528)&amp;" "&amp;H26&amp;" "&amp;"mm"</f>
        <v>Rozteč  mm</v>
      </c>
      <c r="AN14" s="400"/>
      <c r="AO14" s="533"/>
      <c r="AP14" s="525"/>
      <c r="AQ14" s="858"/>
      <c r="AR14" s="859"/>
      <c r="AS14" s="400"/>
      <c r="AT14" s="1242"/>
      <c r="AU14" s="1244"/>
      <c r="AV14" s="1230"/>
      <c r="AW14" s="1227"/>
    </row>
    <row r="15" spans="1:65" s="1228" customFormat="1" ht="18" customHeight="1" x14ac:dyDescent="0.3">
      <c r="A15" s="559"/>
      <c r="B15" s="823" t="str">
        <f>'Translate &amp; Prices'!$B$525</f>
        <v>Varianta kování</v>
      </c>
      <c r="C15" s="824"/>
      <c r="D15" s="824"/>
      <c r="E15" s="824"/>
      <c r="F15" s="824"/>
      <c r="G15" s="550"/>
      <c r="H15" s="837"/>
      <c r="I15" s="837"/>
      <c r="J15" s="837"/>
      <c r="K15" s="837"/>
      <c r="L15" s="837"/>
      <c r="M15" s="837"/>
      <c r="N15" s="837"/>
      <c r="O15" s="837"/>
      <c r="P15" s="837"/>
      <c r="Q15" s="838"/>
      <c r="R15" s="559"/>
      <c r="S15" s="846"/>
      <c r="T15" s="847"/>
      <c r="U15" s="847"/>
      <c r="V15" s="847"/>
      <c r="W15" s="847"/>
      <c r="X15" s="847"/>
      <c r="Y15" s="848"/>
      <c r="Z15" s="510"/>
      <c r="AA15" s="530"/>
      <c r="AB15" s="534"/>
      <c r="AC15" s="400"/>
      <c r="AD15" s="851"/>
      <c r="AE15" s="804"/>
      <c r="AF15" s="400"/>
      <c r="AG15" s="400"/>
      <c r="AH15" s="400"/>
      <c r="AI15" s="508"/>
      <c r="AJ15" s="509"/>
      <c r="AK15" s="400"/>
      <c r="AL15" s="400"/>
      <c r="AM15" s="799"/>
      <c r="AN15" s="400"/>
      <c r="AO15" s="533"/>
      <c r="AP15" s="525"/>
      <c r="AQ15" s="858"/>
      <c r="AR15" s="859"/>
      <c r="AS15" s="400"/>
      <c r="AT15" s="1242">
        <f>((BD3+BI3)*2)*'Translate &amp; Prices'!C80</f>
        <v>0</v>
      </c>
      <c r="AU15" s="1244"/>
      <c r="AV15" s="1230"/>
      <c r="AW15" s="1227"/>
    </row>
    <row r="16" spans="1:65" s="1228" customFormat="1" ht="18" customHeight="1" x14ac:dyDescent="0.3">
      <c r="A16" s="559"/>
      <c r="B16" s="843" t="str">
        <f>IF(H15=kombinace_1!AB40,'Translate &amp; Prices'!$B$204,IF(H15=kombinace_1!AB41,'Translate &amp; Prices'!$B$204,'Translate &amp; Prices'!$B$198))</f>
        <v>Výběr pozice rámečku</v>
      </c>
      <c r="C16" s="835"/>
      <c r="D16" s="835"/>
      <c r="E16" s="835"/>
      <c r="F16" s="854"/>
      <c r="G16" s="854"/>
      <c r="H16" s="854"/>
      <c r="I16" s="854"/>
      <c r="J16" s="835" t="str">
        <f>IF(H15=kombinace_1!AB40,'Translate &amp; Prices'!$B$206,IF(H15=kombinace_1!AB41,'Translate &amp; Prices'!$B$206,'Translate &amp; Prices'!$B$212))</f>
        <v>Provedení druhého dvířka</v>
      </c>
      <c r="K16" s="835"/>
      <c r="L16" s="835"/>
      <c r="M16" s="835"/>
      <c r="N16" s="833"/>
      <c r="O16" s="833"/>
      <c r="P16" s="833"/>
      <c r="Q16" s="834"/>
      <c r="R16" s="559"/>
      <c r="S16" s="846"/>
      <c r="T16" s="847"/>
      <c r="U16" s="847"/>
      <c r="V16" s="847"/>
      <c r="W16" s="847"/>
      <c r="X16" s="847"/>
      <c r="Y16" s="848"/>
      <c r="Z16" s="510"/>
      <c r="AA16" s="530"/>
      <c r="AB16" s="534"/>
      <c r="AC16" s="507"/>
      <c r="AD16" s="851"/>
      <c r="AE16" s="804"/>
      <c r="AF16" s="400"/>
      <c r="AG16" s="400"/>
      <c r="AH16" s="400"/>
      <c r="AI16" s="508"/>
      <c r="AJ16" s="509"/>
      <c r="AK16" s="400"/>
      <c r="AL16" s="400"/>
      <c r="AM16" s="799"/>
      <c r="AN16" s="400"/>
      <c r="AO16" s="533"/>
      <c r="AP16" s="525"/>
      <c r="AQ16" s="858"/>
      <c r="AR16" s="859"/>
      <c r="AS16" s="400"/>
      <c r="AT16" s="1242"/>
      <c r="AU16" s="1244"/>
      <c r="AV16" s="1230"/>
      <c r="AW16" s="1227"/>
    </row>
    <row r="17" spans="1:49" s="1228" customFormat="1" ht="18" customHeight="1" x14ac:dyDescent="0.3">
      <c r="A17" s="559"/>
      <c r="B17" s="823">
        <f>IF(H12='Translate &amp; Prices'!B531,"Umístění závěsů",IF(H15=kombinace_1!AB8,'Translate &amp; Prices'!B264,0))</f>
        <v>0</v>
      </c>
      <c r="C17" s="824"/>
      <c r="D17" s="824"/>
      <c r="E17" s="824"/>
      <c r="F17" s="824"/>
      <c r="G17" s="550"/>
      <c r="H17" s="756"/>
      <c r="I17" s="756"/>
      <c r="J17" s="756"/>
      <c r="K17" s="756"/>
      <c r="L17" s="756"/>
      <c r="M17" s="756"/>
      <c r="N17" s="756"/>
      <c r="O17" s="756"/>
      <c r="P17" s="756"/>
      <c r="Q17" s="825"/>
      <c r="R17" s="559"/>
      <c r="S17" s="846"/>
      <c r="T17" s="847"/>
      <c r="U17" s="847"/>
      <c r="V17" s="847"/>
      <c r="W17" s="847"/>
      <c r="X17" s="847"/>
      <c r="Y17" s="848"/>
      <c r="Z17" s="510"/>
      <c r="AA17" s="530"/>
      <c r="AB17" s="534"/>
      <c r="AC17" s="507"/>
      <c r="AD17" s="851"/>
      <c r="AE17" s="400"/>
      <c r="AF17" s="400"/>
      <c r="AG17" s="400"/>
      <c r="AH17" s="400"/>
      <c r="AI17" s="508"/>
      <c r="AJ17" s="509"/>
      <c r="AK17" s="400"/>
      <c r="AL17" s="400"/>
      <c r="AM17" s="799"/>
      <c r="AN17" s="400"/>
      <c r="AO17" s="533"/>
      <c r="AP17" s="525"/>
      <c r="AQ17" s="858"/>
      <c r="AR17" s="859"/>
      <c r="AS17" s="400"/>
      <c r="AT17" s="1242">
        <f>IF(AU10=1,BD3*'Translate &amp; Prices'!C53,IF(AU10=2,BI3*'Translate &amp; Prices'!C53,IF(AU10=3,(BD3+BI3)*'Translate &amp; Prices'!C53,IF(AU10=0,0))))</f>
        <v>0</v>
      </c>
      <c r="AU17" s="1245" t="e">
        <f>VLOOKUP(H17,kombinace_6!$BY:$BZ,2,0)</f>
        <v>#N/A</v>
      </c>
      <c r="AV17" s="1230"/>
      <c r="AW17" s="1227"/>
    </row>
    <row r="18" spans="1:49" s="1228" customFormat="1" ht="18" customHeight="1" x14ac:dyDescent="0.3">
      <c r="A18" s="559"/>
      <c r="B18" s="823">
        <f>IFERROR(IF(VLOOKUP(H15,kombinace_6!CD:CE,2,0)=1,'Translate &amp; Prices'!$B$527,0),0)</f>
        <v>0</v>
      </c>
      <c r="C18" s="824"/>
      <c r="D18" s="824"/>
      <c r="E18" s="824"/>
      <c r="F18" s="824"/>
      <c r="G18" s="550"/>
      <c r="H18" s="756"/>
      <c r="I18" s="756"/>
      <c r="J18" s="756"/>
      <c r="K18" s="756"/>
      <c r="L18" s="756"/>
      <c r="M18" s="756"/>
      <c r="N18" s="756"/>
      <c r="O18" s="756"/>
      <c r="P18" s="756"/>
      <c r="Q18" s="825"/>
      <c r="R18" s="559"/>
      <c r="S18" s="846">
        <f>IF(H27&gt;"",'Translate &amp; Prices'!B556,0)</f>
        <v>0</v>
      </c>
      <c r="T18" s="847"/>
      <c r="U18" s="847"/>
      <c r="V18" s="847"/>
      <c r="W18" s="847"/>
      <c r="X18" s="847"/>
      <c r="Y18" s="848"/>
      <c r="Z18" s="510"/>
      <c r="AA18" s="530"/>
      <c r="AB18" s="534"/>
      <c r="AC18" s="507"/>
      <c r="AD18" s="851"/>
      <c r="AE18" s="400"/>
      <c r="AF18" s="400"/>
      <c r="AG18" s="400"/>
      <c r="AH18" s="400"/>
      <c r="AI18" s="508"/>
      <c r="AJ18" s="509"/>
      <c r="AK18" s="400"/>
      <c r="AL18" s="400"/>
      <c r="AM18" s="799"/>
      <c r="AN18" s="400"/>
      <c r="AO18" s="533"/>
      <c r="AP18" s="525"/>
      <c r="AQ18" s="858"/>
      <c r="AR18" s="859"/>
      <c r="AS18" s="400"/>
      <c r="AT18" s="1242"/>
      <c r="AU18" s="1244"/>
      <c r="AV18" s="1230"/>
      <c r="AW18" s="1227"/>
    </row>
    <row r="19" spans="1:49" s="1228" customFormat="1" ht="18" customHeight="1" x14ac:dyDescent="0.3">
      <c r="A19" s="559"/>
      <c r="B19" s="823">
        <f>IFERROR(IF(H12='Translate &amp; Prices'!B531,'Translate &amp; Prices'!$B$203,IF(VLOOKUP(H15,kombinace_6!CD:CE,2,0)=1,'Translate &amp; Prices'!$B$203,)),0)</f>
        <v>0</v>
      </c>
      <c r="C19" s="824"/>
      <c r="D19" s="824"/>
      <c r="E19" s="824"/>
      <c r="F19" s="824"/>
      <c r="G19" s="550"/>
      <c r="H19" s="756"/>
      <c r="I19" s="756"/>
      <c r="J19" s="756"/>
      <c r="K19" s="756"/>
      <c r="L19" s="756"/>
      <c r="M19" s="756"/>
      <c r="N19" s="756"/>
      <c r="O19" s="756"/>
      <c r="P19" s="756"/>
      <c r="Q19" s="825"/>
      <c r="R19" s="559"/>
      <c r="S19" s="846"/>
      <c r="T19" s="847"/>
      <c r="U19" s="847"/>
      <c r="V19" s="847"/>
      <c r="W19" s="847"/>
      <c r="X19" s="847"/>
      <c r="Y19" s="848"/>
      <c r="Z19" s="510"/>
      <c r="AA19" s="528"/>
      <c r="AB19" s="803">
        <v>0</v>
      </c>
      <c r="AC19" s="803"/>
      <c r="AD19" s="851"/>
      <c r="AE19" s="400"/>
      <c r="AF19" s="400"/>
      <c r="AG19" s="400"/>
      <c r="AH19" s="400"/>
      <c r="AI19" s="508"/>
      <c r="AJ19" s="509"/>
      <c r="AK19" s="400"/>
      <c r="AL19" s="807" t="str">
        <f>'Translate &amp; Prices'!$B$222</f>
        <v>Vzdálenost od kraje</v>
      </c>
      <c r="AM19" s="799"/>
      <c r="AN19" s="803">
        <v>0</v>
      </c>
      <c r="AO19" s="803"/>
      <c r="AP19" s="527"/>
      <c r="AQ19" s="858"/>
      <c r="AR19" s="805" t="str">
        <f>'Translate &amp; Prices'!$B$156</f>
        <v>Výška</v>
      </c>
      <c r="AS19" s="400"/>
      <c r="AT19" s="1242"/>
      <c r="AU19" s="1244">
        <f>IFERROR(VLOOKUP(H15,kombinace_6!$CD:$CF,3,0),0)</f>
        <v>0</v>
      </c>
      <c r="AV19" s="1230"/>
      <c r="AW19" s="1227"/>
    </row>
    <row r="20" spans="1:49" s="1228" customFormat="1" ht="18" customHeight="1" x14ac:dyDescent="0.3">
      <c r="A20" s="559"/>
      <c r="B20" s="827">
        <f>IFERROR('Translate &amp; Prices'!$B$222&amp;" "&amp;(VLOOKUP(H17,kombinace_1!$BY$32:$CA$35,2,0)),0)</f>
        <v>0</v>
      </c>
      <c r="C20" s="828"/>
      <c r="D20" s="828"/>
      <c r="E20" s="828"/>
      <c r="F20" s="829">
        <v>100</v>
      </c>
      <c r="G20" s="829"/>
      <c r="H20" s="829"/>
      <c r="I20" s="829"/>
      <c r="J20" s="828">
        <f>IFERROR('Translate &amp; Prices'!$B$222&amp;" "&amp;(VLOOKUP(H17,kombinace_1!$BY$32:$CA$35,3,0)),0)</f>
        <v>0</v>
      </c>
      <c r="K20" s="828"/>
      <c r="L20" s="828"/>
      <c r="M20" s="828"/>
      <c r="N20" s="829">
        <v>100</v>
      </c>
      <c r="O20" s="829"/>
      <c r="P20" s="829"/>
      <c r="Q20" s="839"/>
      <c r="R20" s="559"/>
      <c r="S20" s="846"/>
      <c r="T20" s="847"/>
      <c r="U20" s="847"/>
      <c r="V20" s="847"/>
      <c r="W20" s="847"/>
      <c r="X20" s="847"/>
      <c r="Y20" s="848"/>
      <c r="Z20" s="510"/>
      <c r="AA20" s="530"/>
      <c r="AB20" s="531"/>
      <c r="AC20" s="507"/>
      <c r="AD20" s="851"/>
      <c r="AE20" s="400"/>
      <c r="AF20" s="400"/>
      <c r="AG20" s="400"/>
      <c r="AH20" s="400"/>
      <c r="AI20" s="508"/>
      <c r="AJ20" s="509"/>
      <c r="AK20" s="400"/>
      <c r="AL20" s="807"/>
      <c r="AM20" s="799"/>
      <c r="AN20" s="400"/>
      <c r="AO20" s="533"/>
      <c r="AP20" s="525"/>
      <c r="AQ20" s="858"/>
      <c r="AR20" s="805"/>
      <c r="AS20" s="400"/>
      <c r="AT20" s="1242"/>
      <c r="AU20" s="1244"/>
      <c r="AV20" s="1230"/>
      <c r="AW20" s="1227"/>
    </row>
    <row r="21" spans="1:49" s="1228" customFormat="1" ht="18" customHeight="1" x14ac:dyDescent="0.3">
      <c r="A21" s="559"/>
      <c r="B21" s="823" t="str">
        <f>'Translate &amp; Prices'!$B$153</f>
        <v>Typ skla</v>
      </c>
      <c r="C21" s="824"/>
      <c r="D21" s="824"/>
      <c r="E21" s="824"/>
      <c r="F21" s="824"/>
      <c r="G21" s="550"/>
      <c r="H21" s="775" t="str">
        <f>'Translate &amp; Prices'!$B$85</f>
        <v>Bez úprav</v>
      </c>
      <c r="I21" s="776"/>
      <c r="J21" s="776"/>
      <c r="K21" s="770" t="str">
        <f>'Translate &amp; Prices'!$B$83</f>
        <v>Kalené</v>
      </c>
      <c r="L21" s="770"/>
      <c r="M21" s="770"/>
      <c r="N21" s="770" t="str">
        <f>'Translate &amp; Prices'!$B$84</f>
        <v>Folie</v>
      </c>
      <c r="O21" s="770"/>
      <c r="P21" s="770"/>
      <c r="Q21" s="840"/>
      <c r="R21" s="559"/>
      <c r="S21" s="846"/>
      <c r="T21" s="847"/>
      <c r="U21" s="847"/>
      <c r="V21" s="847"/>
      <c r="W21" s="847"/>
      <c r="X21" s="847"/>
      <c r="Y21" s="848"/>
      <c r="Z21" s="510"/>
      <c r="AA21" s="530"/>
      <c r="AB21" s="531"/>
      <c r="AC21" s="400"/>
      <c r="AD21" s="851"/>
      <c r="AE21" s="400"/>
      <c r="AF21" s="400"/>
      <c r="AG21" s="400"/>
      <c r="AH21" s="400"/>
      <c r="AI21" s="508"/>
      <c r="AJ21" s="509"/>
      <c r="AK21" s="400"/>
      <c r="AL21" s="807"/>
      <c r="AM21" s="799"/>
      <c r="AN21" s="400"/>
      <c r="AO21" s="532"/>
      <c r="AP21" s="525"/>
      <c r="AQ21" s="858"/>
      <c r="AR21" s="805"/>
      <c r="AS21" s="400"/>
      <c r="AT21" s="1242"/>
      <c r="AU21" s="1244"/>
      <c r="AV21" s="1230"/>
      <c r="AW21" s="1227"/>
    </row>
    <row r="22" spans="1:49" s="1228" customFormat="1" ht="18" customHeight="1" x14ac:dyDescent="0.3">
      <c r="A22" s="559"/>
      <c r="B22" s="562"/>
      <c r="C22" s="551"/>
      <c r="D22" s="551"/>
      <c r="E22" s="551"/>
      <c r="F22" s="551"/>
      <c r="G22" s="551"/>
      <c r="H22" s="775"/>
      <c r="I22" s="776"/>
      <c r="J22" s="776"/>
      <c r="K22" s="770"/>
      <c r="L22" s="770"/>
      <c r="M22" s="770"/>
      <c r="N22" s="770"/>
      <c r="O22" s="770"/>
      <c r="P22" s="770"/>
      <c r="Q22" s="840"/>
      <c r="R22" s="559"/>
      <c r="S22" s="846"/>
      <c r="T22" s="847"/>
      <c r="U22" s="847"/>
      <c r="V22" s="847"/>
      <c r="W22" s="847"/>
      <c r="X22" s="847"/>
      <c r="Y22" s="848"/>
      <c r="Z22" s="510"/>
      <c r="AA22" s="530"/>
      <c r="AB22" s="531"/>
      <c r="AC22" s="400"/>
      <c r="AD22" s="400"/>
      <c r="AE22" s="400"/>
      <c r="AF22" s="400"/>
      <c r="AG22" s="400"/>
      <c r="AH22" s="400"/>
      <c r="AI22" s="508"/>
      <c r="AJ22" s="509"/>
      <c r="AK22" s="400"/>
      <c r="AL22" s="807"/>
      <c r="AM22" s="526"/>
      <c r="AN22" s="400"/>
      <c r="AO22" s="532"/>
      <c r="AP22" s="525"/>
      <c r="AQ22" s="858"/>
      <c r="AR22" s="805"/>
      <c r="AS22" s="400"/>
      <c r="AT22" s="1242"/>
      <c r="AU22" s="1244"/>
      <c r="AV22" s="1230"/>
      <c r="AW22" s="1227"/>
    </row>
    <row r="23" spans="1:49" s="1228" customFormat="1" ht="18" customHeight="1" x14ac:dyDescent="0.3">
      <c r="A23" s="559"/>
      <c r="B23" s="562"/>
      <c r="C23" s="551"/>
      <c r="D23" s="551"/>
      <c r="E23" s="551"/>
      <c r="F23" s="551"/>
      <c r="G23" s="551"/>
      <c r="H23" s="771" t="str">
        <f>"↥↥"&amp;"   "&amp;'Translate &amp; Prices'!$B$553&amp;" "&amp;B25&amp;"   "&amp;"↥↥"</f>
        <v>↥↥   Již neměnit po tom co vyberete Typ skla   ↥↥</v>
      </c>
      <c r="I23" s="771"/>
      <c r="J23" s="771"/>
      <c r="K23" s="771"/>
      <c r="L23" s="771"/>
      <c r="M23" s="771"/>
      <c r="N23" s="771"/>
      <c r="O23" s="771"/>
      <c r="P23" s="771"/>
      <c r="Q23" s="844"/>
      <c r="R23" s="559"/>
      <c r="S23" s="865"/>
      <c r="T23" s="866"/>
      <c r="U23" s="866"/>
      <c r="V23" s="866"/>
      <c r="W23" s="866"/>
      <c r="X23" s="866"/>
      <c r="Y23" s="867"/>
      <c r="Z23" s="510"/>
      <c r="AA23" s="530"/>
      <c r="AB23" s="531"/>
      <c r="AC23" s="507"/>
      <c r="AD23" s="400"/>
      <c r="AE23" s="400"/>
      <c r="AF23" s="400"/>
      <c r="AG23" s="400"/>
      <c r="AH23" s="400"/>
      <c r="AI23" s="508"/>
      <c r="AJ23" s="509"/>
      <c r="AK23" s="400"/>
      <c r="AL23" s="807"/>
      <c r="AM23" s="800">
        <v>0</v>
      </c>
      <c r="AN23" s="400"/>
      <c r="AO23" s="532"/>
      <c r="AP23" s="525"/>
      <c r="AQ23" s="858"/>
      <c r="AR23" s="805"/>
      <c r="AS23" s="400"/>
      <c r="AT23" s="1242"/>
      <c r="AU23" s="1244" t="e">
        <f>VLOOKUP(H17,kombinace_6!$BY:$BZ,2,0)</f>
        <v>#N/A</v>
      </c>
      <c r="AV23" s="1230"/>
      <c r="AW23" s="1227"/>
    </row>
    <row r="24" spans="1:49" s="1228" customFormat="1" ht="18" customHeight="1" x14ac:dyDescent="0.3">
      <c r="A24" s="559"/>
      <c r="B24" s="823" t="str">
        <f>'Translate &amp; Prices'!$B$542</f>
        <v>Typ folie</v>
      </c>
      <c r="C24" s="824"/>
      <c r="D24" s="824"/>
      <c r="E24" s="824"/>
      <c r="F24" s="824"/>
      <c r="G24" s="550"/>
      <c r="H24" s="756"/>
      <c r="I24" s="756"/>
      <c r="J24" s="756"/>
      <c r="K24" s="756"/>
      <c r="L24" s="756"/>
      <c r="M24" s="756"/>
      <c r="N24" s="756"/>
      <c r="O24" s="756"/>
      <c r="P24" s="756"/>
      <c r="Q24" s="825"/>
      <c r="R24" s="559"/>
      <c r="S24" s="798" t="str">
        <f>'Translate &amp; Prices'!$B$157</f>
        <v>Poznámky</v>
      </c>
      <c r="T24" s="798"/>
      <c r="U24" s="798"/>
      <c r="V24" s="570"/>
      <c r="W24" s="570"/>
      <c r="X24" s="570"/>
      <c r="Y24" s="570"/>
      <c r="Z24" s="510"/>
      <c r="AA24" s="530"/>
      <c r="AB24" s="531"/>
      <c r="AC24" s="822" t="str">
        <f>'Translate &amp; Prices'!$B$222</f>
        <v>Vzdálenost od kraje</v>
      </c>
      <c r="AD24" s="822"/>
      <c r="AE24" s="822"/>
      <c r="AF24" s="822"/>
      <c r="AG24" s="822"/>
      <c r="AH24" s="400"/>
      <c r="AI24" s="508"/>
      <c r="AJ24" s="509"/>
      <c r="AK24" s="400"/>
      <c r="AL24" s="807"/>
      <c r="AM24" s="800"/>
      <c r="AN24" s="400"/>
      <c r="AO24" s="532"/>
      <c r="AP24" s="535"/>
      <c r="AQ24" s="858"/>
      <c r="AR24" s="529"/>
      <c r="AS24" s="400"/>
      <c r="AT24" s="1242"/>
      <c r="AU24" s="1244" t="e">
        <f>CONCATENATE(AU23,"_",H19)</f>
        <v>#N/A</v>
      </c>
      <c r="AV24" s="1230"/>
      <c r="AW24" s="1227"/>
    </row>
    <row r="25" spans="1:49" s="1228" customFormat="1" ht="18" customHeight="1" x14ac:dyDescent="0.3">
      <c r="A25" s="559"/>
      <c r="B25" s="823" t="str">
        <f>'Translate &amp; Prices'!$B$153</f>
        <v>Typ skla</v>
      </c>
      <c r="C25" s="824"/>
      <c r="D25" s="824"/>
      <c r="E25" s="824"/>
      <c r="F25" s="824"/>
      <c r="G25" s="550"/>
      <c r="H25" s="756"/>
      <c r="I25" s="756"/>
      <c r="J25" s="756"/>
      <c r="K25" s="756"/>
      <c r="L25" s="756"/>
      <c r="M25" s="756"/>
      <c r="N25" s="756"/>
      <c r="O25" s="756"/>
      <c r="P25" s="756"/>
      <c r="Q25" s="825"/>
      <c r="R25" s="559"/>
      <c r="S25" s="808"/>
      <c r="T25" s="809"/>
      <c r="U25" s="809"/>
      <c r="V25" s="809"/>
      <c r="W25" s="809"/>
      <c r="X25" s="809"/>
      <c r="Y25" s="810"/>
      <c r="Z25" s="510"/>
      <c r="AA25" s="530"/>
      <c r="AB25" s="531"/>
      <c r="AC25" s="803">
        <v>0</v>
      </c>
      <c r="AD25" s="803"/>
      <c r="AE25" s="526"/>
      <c r="AF25" s="830" t="str">
        <f>('Translate &amp; Prices'!$B$528)&amp;" "&amp;H26&amp;" "&amp;"mm"</f>
        <v>Rozteč  mm</v>
      </c>
      <c r="AG25" s="830"/>
      <c r="AH25" s="830"/>
      <c r="AI25" s="830"/>
      <c r="AJ25" s="830"/>
      <c r="AK25" s="830"/>
      <c r="AL25" s="807"/>
      <c r="AM25" s="800"/>
      <c r="AN25" s="400"/>
      <c r="AO25" s="532"/>
      <c r="AP25" s="535"/>
      <c r="AQ25" s="858"/>
      <c r="AR25" s="400"/>
      <c r="AS25" s="400"/>
      <c r="AT25" s="1242"/>
      <c r="AU25" s="1245" t="e">
        <f>VLOOKUP(H27,kombinace_6!$BY:$BZ,2,0)</f>
        <v>#N/A</v>
      </c>
      <c r="AV25" s="1230"/>
      <c r="AW25" s="1227"/>
    </row>
    <row r="26" spans="1:49" s="1228" customFormat="1" ht="18" customHeight="1" x14ac:dyDescent="0.3">
      <c r="A26" s="559"/>
      <c r="B26" s="823" t="str">
        <f>'Translate &amp; Prices'!$B$529</f>
        <v>Rozteč úchytky (mm)</v>
      </c>
      <c r="C26" s="824"/>
      <c r="D26" s="824"/>
      <c r="E26" s="824"/>
      <c r="F26" s="824"/>
      <c r="G26" s="550"/>
      <c r="H26" s="773"/>
      <c r="I26" s="773"/>
      <c r="J26" s="773"/>
      <c r="K26" s="773"/>
      <c r="L26" s="773"/>
      <c r="M26" s="773"/>
      <c r="N26" s="773"/>
      <c r="O26" s="773"/>
      <c r="P26" s="773"/>
      <c r="Q26" s="836"/>
      <c r="R26" s="559"/>
      <c r="S26" s="811"/>
      <c r="T26" s="812"/>
      <c r="U26" s="812"/>
      <c r="V26" s="812"/>
      <c r="W26" s="812"/>
      <c r="X26" s="812"/>
      <c r="Y26" s="813"/>
      <c r="Z26" s="510"/>
      <c r="AA26" s="530"/>
      <c r="AB26" s="531"/>
      <c r="AC26" s="400"/>
      <c r="AD26" s="400"/>
      <c r="AE26" s="400"/>
      <c r="AF26" s="400"/>
      <c r="AG26" s="400"/>
      <c r="AH26" s="400"/>
      <c r="AI26" s="508"/>
      <c r="AJ26" s="802">
        <v>0</v>
      </c>
      <c r="AK26" s="400"/>
      <c r="AL26" s="400"/>
      <c r="AM26" s="400"/>
      <c r="AN26" s="400"/>
      <c r="AO26" s="532"/>
      <c r="AP26" s="525"/>
      <c r="AQ26" s="858"/>
      <c r="AR26" s="400"/>
      <c r="AS26" s="400"/>
      <c r="AT26" s="1242"/>
      <c r="AU26" s="1226"/>
      <c r="AV26" s="1226"/>
      <c r="AW26" s="1227"/>
    </row>
    <row r="27" spans="1:49" s="1228" customFormat="1" ht="18" customHeight="1" x14ac:dyDescent="0.3">
      <c r="A27" s="559"/>
      <c r="B27" s="823" t="str">
        <f>'Translate &amp; Prices'!$B$530</f>
        <v>Umístění úchytky</v>
      </c>
      <c r="C27" s="824"/>
      <c r="D27" s="824"/>
      <c r="E27" s="824"/>
      <c r="F27" s="824"/>
      <c r="G27" s="550"/>
      <c r="H27" s="756"/>
      <c r="I27" s="756"/>
      <c r="J27" s="756"/>
      <c r="K27" s="756"/>
      <c r="L27" s="756"/>
      <c r="M27" s="756"/>
      <c r="N27" s="756"/>
      <c r="O27" s="756"/>
      <c r="P27" s="756"/>
      <c r="Q27" s="825"/>
      <c r="R27" s="559"/>
      <c r="S27" s="811"/>
      <c r="T27" s="812"/>
      <c r="U27" s="812"/>
      <c r="V27" s="812"/>
      <c r="W27" s="812"/>
      <c r="X27" s="812"/>
      <c r="Y27" s="813"/>
      <c r="Z27" s="510"/>
      <c r="AA27" s="519"/>
      <c r="AB27" s="536"/>
      <c r="AC27" s="537"/>
      <c r="AD27" s="537"/>
      <c r="AE27" s="537"/>
      <c r="AF27" s="537"/>
      <c r="AG27" s="537"/>
      <c r="AH27" s="538"/>
      <c r="AI27" s="539"/>
      <c r="AJ27" s="802"/>
      <c r="AK27" s="537"/>
      <c r="AL27" s="537"/>
      <c r="AM27" s="537"/>
      <c r="AN27" s="537"/>
      <c r="AO27" s="540"/>
      <c r="AP27" s="525"/>
      <c r="AQ27" s="858"/>
      <c r="AR27" s="400"/>
      <c r="AS27" s="400"/>
      <c r="AT27" s="1242"/>
      <c r="AU27" s="1226"/>
      <c r="AV27" s="1226"/>
      <c r="AW27" s="1227"/>
    </row>
    <row r="28" spans="1:49" s="1228" customFormat="1" ht="18" customHeight="1" x14ac:dyDescent="0.3">
      <c r="A28" s="559"/>
      <c r="B28" s="823" t="str">
        <f>('Translate &amp; Prices'!$B$154)&amp;" "&amp;"-"&amp;" "&amp;('Translate &amp; Prices'!$B$149)&amp;" "&amp;" "&amp;6</f>
        <v>Počet kusů - Rámeček  6</v>
      </c>
      <c r="C28" s="824"/>
      <c r="D28" s="824"/>
      <c r="E28" s="824"/>
      <c r="F28" s="824"/>
      <c r="G28" s="550"/>
      <c r="H28" s="756"/>
      <c r="I28" s="756"/>
      <c r="J28" s="756"/>
      <c r="K28" s="756"/>
      <c r="L28" s="756"/>
      <c r="M28" s="756"/>
      <c r="N28" s="756"/>
      <c r="O28" s="756"/>
      <c r="P28" s="756"/>
      <c r="Q28" s="825"/>
      <c r="R28" s="559"/>
      <c r="S28" s="811"/>
      <c r="T28" s="812"/>
      <c r="U28" s="812"/>
      <c r="V28" s="812"/>
      <c r="W28" s="812"/>
      <c r="X28" s="812"/>
      <c r="Y28" s="813"/>
      <c r="Z28" s="510"/>
      <c r="AA28" s="541"/>
      <c r="AB28" s="542"/>
      <c r="AC28" s="543"/>
      <c r="AD28" s="543"/>
      <c r="AE28" s="542"/>
      <c r="AF28" s="542"/>
      <c r="AG28" s="542"/>
      <c r="AH28" s="542"/>
      <c r="AI28" s="544"/>
      <c r="AJ28" s="517"/>
      <c r="AK28" s="542"/>
      <c r="AL28" s="542"/>
      <c r="AM28" s="543"/>
      <c r="AN28" s="543"/>
      <c r="AO28" s="542"/>
      <c r="AP28" s="545"/>
      <c r="AQ28" s="529"/>
      <c r="AR28" s="400"/>
      <c r="AS28" s="507"/>
      <c r="AT28" s="1242"/>
      <c r="AU28" s="1226"/>
      <c r="AV28" s="1226"/>
      <c r="AW28" s="1227"/>
    </row>
    <row r="29" spans="1:49" s="1228" customFormat="1" ht="18" customHeight="1" x14ac:dyDescent="0.3">
      <c r="A29" s="559"/>
      <c r="B29" s="563"/>
      <c r="C29" s="549"/>
      <c r="D29" s="549"/>
      <c r="E29" s="549"/>
      <c r="F29" s="549"/>
      <c r="G29" s="549"/>
      <c r="H29" s="831"/>
      <c r="I29" s="831"/>
      <c r="J29" s="841" t="str">
        <f>S44&amp;" "&amp;'Translate &amp; Prices'!$B$205</f>
        <v xml:space="preserve"> Dodat včetně uvedeného kování</v>
      </c>
      <c r="K29" s="841"/>
      <c r="L29" s="841"/>
      <c r="M29" s="841"/>
      <c r="N29" s="841"/>
      <c r="O29" s="841"/>
      <c r="P29" s="841"/>
      <c r="Q29" s="842"/>
      <c r="R29" s="559"/>
      <c r="S29" s="811"/>
      <c r="T29" s="812"/>
      <c r="U29" s="812"/>
      <c r="V29" s="812"/>
      <c r="W29" s="812"/>
      <c r="X29" s="812"/>
      <c r="Y29" s="813"/>
      <c r="Z29" s="510"/>
      <c r="AA29" s="572" t="e">
        <f>VLOOKUP(H14,kombinace_1!$DN$7:$DO$21,2,0)</f>
        <v>#N/A</v>
      </c>
      <c r="AB29" s="857">
        <f>IFERROR(IF(AND($AU$17&lt;=2,H12=kombinace_1!BQ2),'Translate &amp; Prices'!$B$557,0),0)</f>
        <v>0</v>
      </c>
      <c r="AC29" s="857"/>
      <c r="AD29" s="857"/>
      <c r="AE29" s="857"/>
      <c r="AF29" s="857"/>
      <c r="AG29" s="857"/>
      <c r="AH29" s="857"/>
      <c r="AI29" s="857"/>
      <c r="AJ29" s="857"/>
      <c r="AK29" s="857"/>
      <c r="AL29" s="857"/>
      <c r="AM29" s="857"/>
      <c r="AN29" s="857"/>
      <c r="AO29" s="857"/>
      <c r="AP29" s="400"/>
      <c r="AQ29" s="400"/>
      <c r="AR29" s="400"/>
      <c r="AS29" s="400"/>
      <c r="AT29" s="1242"/>
      <c r="AU29" s="1226"/>
      <c r="AV29" s="1226"/>
      <c r="AW29" s="1227"/>
    </row>
    <row r="30" spans="1:49" s="1228" customFormat="1" ht="13.8" customHeight="1" x14ac:dyDescent="0.3">
      <c r="A30" s="559"/>
      <c r="B30" s="817" t="str">
        <f>'Translate &amp; Prices'!$B$158</f>
        <v>Cena rámečků celkem</v>
      </c>
      <c r="C30" s="761"/>
      <c r="D30" s="761"/>
      <c r="E30" s="761"/>
      <c r="F30" s="761"/>
      <c r="G30" s="761"/>
      <c r="H30" s="761"/>
      <c r="I30" s="761"/>
      <c r="J30" s="761"/>
      <c r="K30" s="764"/>
      <c r="L30" s="766">
        <f>((AT11+AT13+AT15+AT17+AT33+AT35+AT37)*AT43)*(1-Zakaznik!K23)</f>
        <v>0</v>
      </c>
      <c r="M30" s="766"/>
      <c r="N30" s="766"/>
      <c r="O30" s="766"/>
      <c r="P30" s="766"/>
      <c r="Q30" s="819"/>
      <c r="R30" s="559"/>
      <c r="S30" s="811"/>
      <c r="T30" s="812"/>
      <c r="U30" s="812"/>
      <c r="V30" s="812"/>
      <c r="W30" s="812"/>
      <c r="X30" s="812"/>
      <c r="Y30" s="813"/>
      <c r="Z30" s="510"/>
      <c r="AA30" s="507"/>
      <c r="AB30" s="507"/>
      <c r="AC30" s="507"/>
      <c r="AD30" s="507"/>
      <c r="AE30" s="529"/>
      <c r="AF30" s="826" t="str">
        <f>'Translate &amp; Prices'!$B$155</f>
        <v xml:space="preserve">Šířka </v>
      </c>
      <c r="AG30" s="826"/>
      <c r="AH30" s="826"/>
      <c r="AI30" s="801"/>
      <c r="AJ30" s="801"/>
      <c r="AK30" s="801"/>
      <c r="AL30" s="529"/>
      <c r="AM30" s="529"/>
      <c r="AN30" s="400"/>
      <c r="AO30" s="400"/>
      <c r="AP30" s="510"/>
      <c r="AQ30" s="510"/>
      <c r="AR30" s="510"/>
      <c r="AS30" s="510"/>
      <c r="AT30" s="1242"/>
      <c r="AU30" s="1226"/>
      <c r="AV30" s="1226"/>
      <c r="AW30" s="1227"/>
    </row>
    <row r="31" spans="1:49" s="1228" customFormat="1" ht="13.8" customHeight="1" thickBot="1" x14ac:dyDescent="0.35">
      <c r="A31" s="559"/>
      <c r="B31" s="818"/>
      <c r="C31" s="763"/>
      <c r="D31" s="763"/>
      <c r="E31" s="763"/>
      <c r="F31" s="763"/>
      <c r="G31" s="763"/>
      <c r="H31" s="763"/>
      <c r="I31" s="763"/>
      <c r="J31" s="763"/>
      <c r="K31" s="765"/>
      <c r="L31" s="768"/>
      <c r="M31" s="768"/>
      <c r="N31" s="768"/>
      <c r="O31" s="768"/>
      <c r="P31" s="768"/>
      <c r="Q31" s="820"/>
      <c r="R31" s="559"/>
      <c r="S31" s="814"/>
      <c r="T31" s="815"/>
      <c r="U31" s="815"/>
      <c r="V31" s="815"/>
      <c r="W31" s="815"/>
      <c r="X31" s="815"/>
      <c r="Y31" s="816"/>
      <c r="Z31" s="510"/>
      <c r="AA31" s="556"/>
      <c r="AB31" s="556"/>
      <c r="AC31" s="556"/>
      <c r="AD31" s="556"/>
      <c r="AE31" s="556"/>
      <c r="AF31" s="556"/>
      <c r="AG31" s="556"/>
      <c r="AH31" s="556"/>
      <c r="AI31" s="556"/>
      <c r="AJ31" s="556"/>
      <c r="AK31" s="556"/>
      <c r="AL31" s="556"/>
      <c r="AM31" s="556"/>
      <c r="AN31" s="556"/>
      <c r="AO31" s="797" t="str">
        <f>'Translate &amp; Prices'!$B$547</f>
        <v>Souhrn</v>
      </c>
      <c r="AP31" s="797"/>
      <c r="AQ31" s="797"/>
      <c r="AR31" s="797"/>
      <c r="AS31" s="510"/>
      <c r="AT31" s="1242"/>
      <c r="AU31" s="1226"/>
      <c r="AV31" s="1226"/>
      <c r="AW31" s="1227"/>
    </row>
    <row r="32" spans="1:49" s="1228" customFormat="1" ht="18.600000000000001" customHeight="1" x14ac:dyDescent="0.3">
      <c r="A32" s="559"/>
      <c r="B32" s="832" t="str">
        <f>'Translate &amp; Prices'!$B$151</f>
        <v>Uvedené ceny jsou bez DPH a nezahrnují cenu požadovaného kování!</v>
      </c>
      <c r="C32" s="832"/>
      <c r="D32" s="832"/>
      <c r="E32" s="832"/>
      <c r="F32" s="832"/>
      <c r="G32" s="832"/>
      <c r="H32" s="832"/>
      <c r="I32" s="832"/>
      <c r="J32" s="832"/>
      <c r="K32" s="832"/>
      <c r="L32" s="832"/>
      <c r="M32" s="832"/>
      <c r="N32" s="832"/>
      <c r="O32" s="832"/>
      <c r="P32" s="832"/>
      <c r="Q32" s="832"/>
      <c r="R32" s="559"/>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797"/>
      <c r="AP32" s="797"/>
      <c r="AQ32" s="797"/>
      <c r="AR32" s="797"/>
      <c r="AS32" s="559"/>
      <c r="AT32" s="1242"/>
      <c r="AU32" s="1226"/>
      <c r="AV32" s="1226"/>
      <c r="AW32" s="1227"/>
    </row>
    <row r="33" spans="1:55" s="1228" customFormat="1" ht="15" customHeight="1" x14ac:dyDescent="0.3">
      <c r="A33" s="559"/>
      <c r="B33" s="510"/>
      <c r="C33" s="510"/>
      <c r="D33" s="510"/>
      <c r="E33" s="510"/>
      <c r="F33" s="510"/>
      <c r="G33" s="510"/>
      <c r="H33" s="510"/>
      <c r="I33" s="510"/>
      <c r="J33" s="510"/>
      <c r="K33" s="510"/>
      <c r="L33" s="510"/>
      <c r="M33" s="510"/>
      <c r="N33" s="510"/>
      <c r="O33" s="510"/>
      <c r="P33" s="510"/>
      <c r="Q33" s="510"/>
      <c r="R33" s="559"/>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400"/>
      <c r="AS33" s="559"/>
      <c r="AT33" s="1242">
        <f>IF(kombinace_6!V1=2,((AR14/1000)*(AI30/1000))*'Translate &amp; Prices'!C77,0)</f>
        <v>0</v>
      </c>
      <c r="AU33" s="1226"/>
      <c r="AV33" s="1226"/>
      <c r="AW33" s="1227"/>
    </row>
    <row r="34" spans="1:55" s="1247" customFormat="1" ht="18.600000000000001" hidden="1" customHeight="1" x14ac:dyDescent="0.3">
      <c r="A34" s="1253"/>
      <c r="R34" s="1253"/>
      <c r="AS34" s="1246"/>
      <c r="AT34" s="1246"/>
    </row>
    <row r="35" spans="1:55" s="1228" customFormat="1" ht="15" hidden="1" customHeight="1" x14ac:dyDescent="0.3">
      <c r="A35" s="1230"/>
      <c r="R35" s="1230"/>
      <c r="S35" s="1244"/>
      <c r="T35" s="1248"/>
      <c r="AN35" s="1247"/>
      <c r="AO35" s="1247"/>
      <c r="AP35" s="1247"/>
      <c r="AQ35" s="1247"/>
      <c r="AR35" s="1225"/>
      <c r="AS35" s="1242"/>
      <c r="AT35" s="1242">
        <f>IF(kombinace_6!$V$1=3,IFERROR(((VLOOKUP(H24,'Translate &amp; Prices'!B74:C76,2,0))*(AR14/1000)),0),0)</f>
        <v>0</v>
      </c>
      <c r="AU35" s="1226"/>
      <c r="AV35" s="1226"/>
      <c r="AW35" s="1227"/>
      <c r="AX35" s="1227"/>
      <c r="AY35" s="1227"/>
      <c r="AZ35" s="1227"/>
      <c r="BA35" s="1227"/>
      <c r="BB35" s="1227"/>
      <c r="BC35" s="1227"/>
    </row>
    <row r="36" spans="1:55" s="1249" customFormat="1" ht="18.600000000000001" hidden="1" customHeight="1" x14ac:dyDescent="0.3">
      <c r="A36" s="1254"/>
      <c r="R36" s="1254"/>
      <c r="S36" s="1254"/>
      <c r="T36" s="1248"/>
      <c r="AK36" s="1255"/>
      <c r="AL36" s="1255"/>
      <c r="AN36" s="1247"/>
      <c r="AO36" s="1247"/>
      <c r="AP36" s="1247"/>
      <c r="AQ36" s="1247"/>
      <c r="AS36" s="1248"/>
      <c r="AT36" s="1248"/>
    </row>
    <row r="37" spans="1:55" ht="15" hidden="1" customHeight="1" x14ac:dyDescent="0.3">
      <c r="R37" s="1244"/>
      <c r="S37" s="1244"/>
      <c r="T37" s="1248"/>
      <c r="AK37" s="1255"/>
      <c r="AL37" s="1255"/>
      <c r="AN37" s="1247"/>
      <c r="AO37" s="1247"/>
      <c r="AP37" s="1247"/>
      <c r="AQ37" s="1247"/>
      <c r="AS37" s="1245" t="s">
        <v>18</v>
      </c>
      <c r="AT37" s="1245">
        <f>IFERROR((VLOOKUP(H25,'Translate &amp; Prices'!B82:D146,2,0))*((AI30/1000)*(AR14/1000)),0)</f>
        <v>0</v>
      </c>
    </row>
    <row r="38" spans="1:55" ht="18.600000000000001" hidden="1" customHeight="1" x14ac:dyDescent="0.3">
      <c r="R38" s="1244"/>
      <c r="S38" s="1244"/>
      <c r="T38" s="1248"/>
      <c r="AK38" s="1255"/>
      <c r="AL38" s="1255"/>
      <c r="AN38" s="1247"/>
      <c r="AO38" s="1247"/>
      <c r="AP38" s="1247"/>
      <c r="AQ38" s="1247"/>
      <c r="AS38" s="1245"/>
      <c r="AT38" s="1245"/>
    </row>
    <row r="39" spans="1:55" ht="15" hidden="1" customHeight="1" x14ac:dyDescent="0.3">
      <c r="R39" s="1244"/>
      <c r="S39" s="1244"/>
      <c r="T39" s="1248"/>
      <c r="AK39" s="1255"/>
      <c r="AL39" s="1255"/>
      <c r="AN39" s="1247"/>
      <c r="AO39" s="1247"/>
      <c r="AP39" s="1247"/>
      <c r="AQ39" s="1247"/>
      <c r="AS39" s="1245" t="s">
        <v>2438</v>
      </c>
      <c r="AT39" s="1245"/>
    </row>
    <row r="40" spans="1:55" ht="18.600000000000001" hidden="1" customHeight="1" x14ac:dyDescent="0.3">
      <c r="R40" s="1244"/>
      <c r="S40" s="1244"/>
      <c r="T40" s="1248"/>
      <c r="U40" s="1248"/>
      <c r="V40" s="1248"/>
      <c r="W40" s="1248"/>
      <c r="X40" s="1248"/>
      <c r="Y40" s="1255"/>
      <c r="Z40" s="1255"/>
      <c r="AA40" s="1255"/>
      <c r="AB40" s="1255"/>
      <c r="AC40" s="1255"/>
      <c r="AD40" s="1255"/>
      <c r="AE40" s="1255"/>
      <c r="AF40" s="1255"/>
      <c r="AG40" s="1255"/>
      <c r="AH40" s="1255"/>
      <c r="AI40" s="1255"/>
      <c r="AJ40" s="1255"/>
      <c r="AK40" s="1255"/>
      <c r="AL40" s="1255"/>
      <c r="AS40" s="1245"/>
      <c r="AT40" s="1245"/>
    </row>
    <row r="41" spans="1:55" ht="15" hidden="1" customHeight="1" x14ac:dyDescent="0.3">
      <c r="R41" s="1244"/>
      <c r="S41" s="1244"/>
      <c r="T41" s="1248"/>
      <c r="U41" s="1248"/>
      <c r="V41" s="1248"/>
      <c r="W41" s="1248"/>
      <c r="X41" s="1248"/>
      <c r="Y41" s="1255"/>
      <c r="Z41" s="1255"/>
      <c r="AA41" s="1255"/>
      <c r="AB41" s="1255"/>
      <c r="AC41" s="1255"/>
      <c r="AD41" s="1255"/>
      <c r="AE41" s="1255"/>
      <c r="AF41" s="1255"/>
      <c r="AG41" s="1255"/>
      <c r="AH41" s="1255"/>
      <c r="AI41" s="1255"/>
      <c r="AJ41" s="1255"/>
      <c r="AK41" s="1255"/>
      <c r="AL41" s="1255"/>
      <c r="AS41" s="1245" t="s">
        <v>2439</v>
      </c>
      <c r="AT41" s="1245"/>
    </row>
    <row r="42" spans="1:55" ht="18.600000000000001" hidden="1" customHeight="1" x14ac:dyDescent="0.3">
      <c r="R42" s="1244"/>
      <c r="S42" s="1244"/>
      <c r="T42" s="1248"/>
      <c r="U42" s="1248"/>
      <c r="V42" s="1248"/>
      <c r="W42" s="1248"/>
      <c r="X42" s="1248"/>
      <c r="Y42" s="1255"/>
      <c r="Z42" s="1255"/>
      <c r="AA42" s="1255"/>
      <c r="AB42" s="1255"/>
      <c r="AC42" s="1255"/>
      <c r="AD42" s="1255"/>
      <c r="AE42" s="1255"/>
      <c r="AF42" s="1255"/>
      <c r="AG42" s="1255"/>
      <c r="AH42" s="1255"/>
      <c r="AI42" s="1255"/>
      <c r="AJ42" s="1255"/>
      <c r="AK42" s="1255"/>
      <c r="AL42" s="1255"/>
      <c r="AS42" s="1245"/>
      <c r="AT42" s="1245"/>
    </row>
    <row r="43" spans="1:55" ht="15" hidden="1" customHeight="1" x14ac:dyDescent="0.3">
      <c r="R43" s="1244"/>
      <c r="S43" s="1244"/>
      <c r="T43" s="1248"/>
      <c r="U43" s="1248"/>
      <c r="V43" s="1248"/>
      <c r="W43" s="1248"/>
      <c r="X43" s="1248"/>
      <c r="Y43" s="1255"/>
      <c r="Z43" s="1255"/>
      <c r="AA43" s="1255"/>
      <c r="AB43" s="1255"/>
      <c r="AC43" s="1255"/>
      <c r="AD43" s="1255"/>
      <c r="AE43" s="1255"/>
      <c r="AF43" s="1255"/>
      <c r="AG43" s="1255"/>
      <c r="AH43" s="1255"/>
      <c r="AI43" s="1255"/>
      <c r="AJ43" s="1255"/>
      <c r="AK43" s="1255"/>
      <c r="AL43" s="1255"/>
      <c r="AS43" s="1245" t="s">
        <v>2440</v>
      </c>
      <c r="AT43" s="1245">
        <f>H28</f>
        <v>0</v>
      </c>
    </row>
    <row r="44" spans="1:55" ht="18.600000000000001" hidden="1" customHeight="1" x14ac:dyDescent="0.3">
      <c r="A44" s="1245"/>
      <c r="R44" s="1244"/>
      <c r="S44" s="1244"/>
      <c r="T44" s="1248"/>
      <c r="U44" s="1248"/>
      <c r="V44" s="1248"/>
      <c r="W44" s="1248"/>
      <c r="X44" s="1248"/>
      <c r="Y44" s="1255"/>
      <c r="Z44" s="1255"/>
      <c r="AA44" s="1255"/>
      <c r="AB44" s="1255"/>
      <c r="AC44" s="1255"/>
      <c r="AD44" s="1255"/>
      <c r="AE44" s="1255"/>
      <c r="AF44" s="1255"/>
      <c r="AG44" s="1255"/>
      <c r="AH44" s="1255"/>
      <c r="AI44" s="1255"/>
      <c r="AJ44" s="1255"/>
      <c r="AK44" s="1255"/>
      <c r="AL44" s="1255"/>
    </row>
    <row r="45" spans="1:55" ht="14.4" hidden="1" customHeight="1" x14ac:dyDescent="0.3">
      <c r="A45" s="1245"/>
      <c r="R45" s="1244"/>
      <c r="S45" s="1244"/>
      <c r="T45" s="1248"/>
      <c r="U45" s="1248"/>
      <c r="V45" s="1248"/>
      <c r="W45" s="1248"/>
      <c r="X45" s="1248"/>
      <c r="Y45" s="1255"/>
      <c r="Z45" s="1255"/>
      <c r="AA45" s="1255"/>
      <c r="AB45" s="1255"/>
      <c r="AC45" s="1255"/>
      <c r="AD45" s="1255"/>
      <c r="AE45" s="1255"/>
      <c r="AF45" s="1255"/>
      <c r="AG45" s="1255"/>
      <c r="AH45" s="1255"/>
      <c r="AI45" s="1255"/>
      <c r="AJ45" s="1255"/>
      <c r="AK45" s="1255"/>
      <c r="AL45" s="1255"/>
      <c r="AM45" s="1251"/>
    </row>
    <row r="46" spans="1:55" ht="14.4" hidden="1" customHeight="1" x14ac:dyDescent="0.3">
      <c r="R46" s="1244"/>
      <c r="S46" s="1244"/>
      <c r="T46" s="1248"/>
      <c r="U46" s="1248"/>
      <c r="V46" s="1248"/>
      <c r="W46" s="1248"/>
      <c r="X46" s="1248"/>
      <c r="Y46" s="1255"/>
      <c r="Z46" s="1255"/>
      <c r="AA46" s="1255"/>
      <c r="AB46" s="1255"/>
      <c r="AC46" s="1255"/>
      <c r="AD46" s="1255"/>
      <c r="AE46" s="1255"/>
      <c r="AF46" s="1255"/>
      <c r="AG46" s="1255"/>
      <c r="AH46" s="1255"/>
      <c r="AI46" s="1255"/>
      <c r="AJ46" s="1255"/>
      <c r="AK46" s="1255"/>
      <c r="AL46" s="1255"/>
      <c r="AM46" s="1251"/>
    </row>
    <row r="47" spans="1:55" ht="14.4" hidden="1" customHeight="1" x14ac:dyDescent="0.3">
      <c r="C47" s="1245"/>
      <c r="D47" s="1244"/>
      <c r="E47" s="1244"/>
      <c r="F47" s="1244"/>
      <c r="G47" s="1244"/>
      <c r="H47" s="1244"/>
      <c r="I47" s="1244"/>
      <c r="J47" s="1244"/>
      <c r="K47" s="1244"/>
      <c r="L47" s="1244"/>
      <c r="M47" s="1244"/>
      <c r="N47" s="1244"/>
      <c r="O47" s="1244"/>
      <c r="P47" s="1244"/>
      <c r="Q47" s="1244"/>
      <c r="R47" s="1244"/>
      <c r="S47" s="1244"/>
      <c r="T47" s="1248"/>
      <c r="U47" s="1248"/>
      <c r="V47" s="1248"/>
      <c r="W47" s="1248"/>
      <c r="X47" s="1248"/>
      <c r="Y47" s="1255"/>
      <c r="Z47" s="1255"/>
      <c r="AA47" s="1255"/>
      <c r="AB47" s="1255"/>
      <c r="AC47" s="1255"/>
      <c r="AD47" s="1255"/>
      <c r="AE47" s="1255"/>
      <c r="AF47" s="1255"/>
      <c r="AG47" s="1255"/>
      <c r="AH47" s="1255"/>
      <c r="AI47" s="1255"/>
      <c r="AJ47" s="1255"/>
      <c r="AK47" s="1255"/>
      <c r="AL47" s="1255"/>
    </row>
    <row r="48" spans="1:55" ht="14.4" hidden="1" customHeight="1" x14ac:dyDescent="0.3">
      <c r="R48" s="1244"/>
      <c r="S48" s="1244"/>
      <c r="T48" s="1248"/>
      <c r="U48" s="1248"/>
      <c r="V48" s="1248"/>
      <c r="W48" s="1248"/>
      <c r="X48" s="1248"/>
      <c r="Y48" s="1255"/>
      <c r="Z48" s="1255"/>
      <c r="AA48" s="1255"/>
      <c r="AB48" s="1255"/>
      <c r="AC48" s="1255"/>
      <c r="AD48" s="1255"/>
      <c r="AE48" s="1255"/>
      <c r="AF48" s="1255"/>
      <c r="AG48" s="1255"/>
      <c r="AH48" s="1255"/>
      <c r="AI48" s="1255"/>
      <c r="AJ48" s="1255"/>
      <c r="AK48" s="1255"/>
      <c r="AL48" s="1255"/>
    </row>
    <row r="49" spans="3:38" ht="14.4" hidden="1" customHeight="1" x14ac:dyDescent="0.3">
      <c r="R49" s="1244"/>
      <c r="S49" s="1244"/>
      <c r="T49" s="1248"/>
      <c r="U49" s="1248"/>
      <c r="V49" s="1248"/>
      <c r="W49" s="1248"/>
      <c r="X49" s="1248"/>
      <c r="Y49" s="1255"/>
      <c r="Z49" s="1255"/>
      <c r="AA49" s="1255"/>
      <c r="AB49" s="1255"/>
      <c r="AC49" s="1255"/>
      <c r="AD49" s="1255"/>
      <c r="AE49" s="1255"/>
      <c r="AF49" s="1255"/>
      <c r="AG49" s="1255"/>
      <c r="AH49" s="1255"/>
      <c r="AI49" s="1255"/>
      <c r="AJ49" s="1255"/>
      <c r="AK49" s="1255"/>
      <c r="AL49" s="1255"/>
    </row>
    <row r="50" spans="3:38" ht="14.4" hidden="1" customHeight="1" x14ac:dyDescent="0.3">
      <c r="R50" s="1244"/>
      <c r="S50" s="1244"/>
      <c r="T50" s="1248"/>
      <c r="U50" s="1248"/>
      <c r="V50" s="1248"/>
      <c r="W50" s="1248"/>
      <c r="X50" s="1248"/>
      <c r="Y50" s="1255"/>
      <c r="Z50" s="1255"/>
      <c r="AA50" s="1255"/>
      <c r="AB50" s="1255"/>
      <c r="AC50" s="1255"/>
      <c r="AD50" s="1255"/>
      <c r="AE50" s="1255"/>
      <c r="AF50" s="1255"/>
      <c r="AG50" s="1255"/>
      <c r="AH50" s="1255"/>
      <c r="AI50" s="1255"/>
      <c r="AJ50" s="1255"/>
      <c r="AK50" s="1255"/>
      <c r="AL50" s="1255"/>
    </row>
    <row r="51" spans="3:38" ht="14.4" hidden="1" customHeight="1" x14ac:dyDescent="0.3">
      <c r="R51" s="1244"/>
      <c r="S51" s="1244"/>
      <c r="T51" s="1248"/>
      <c r="U51" s="1248"/>
      <c r="V51" s="1248"/>
      <c r="W51" s="1248"/>
      <c r="X51" s="1248"/>
      <c r="Y51" s="1255"/>
      <c r="Z51" s="1255"/>
      <c r="AA51" s="1255"/>
      <c r="AB51" s="1255"/>
      <c r="AC51" s="1255"/>
      <c r="AD51" s="1255"/>
      <c r="AE51" s="1255"/>
      <c r="AF51" s="1255"/>
      <c r="AG51" s="1255"/>
      <c r="AH51" s="1255"/>
      <c r="AI51" s="1255"/>
      <c r="AJ51" s="1255"/>
      <c r="AK51" s="1255"/>
      <c r="AL51" s="1255"/>
    </row>
    <row r="52" spans="3:38" ht="14.4" hidden="1" customHeight="1" x14ac:dyDescent="0.3">
      <c r="R52" s="1244"/>
      <c r="S52" s="1244"/>
      <c r="T52" s="1248"/>
      <c r="U52" s="1248"/>
      <c r="V52" s="1248"/>
      <c r="W52" s="1248"/>
      <c r="X52" s="1248"/>
      <c r="Y52" s="1255"/>
      <c r="Z52" s="1255"/>
      <c r="AA52" s="1255"/>
      <c r="AB52" s="1255"/>
      <c r="AC52" s="1255"/>
      <c r="AD52" s="1255"/>
      <c r="AE52" s="1255"/>
      <c r="AF52" s="1255"/>
      <c r="AG52" s="1255"/>
      <c r="AH52" s="1255"/>
      <c r="AI52" s="1255"/>
      <c r="AJ52" s="1255"/>
      <c r="AK52" s="1255"/>
      <c r="AL52" s="1255"/>
    </row>
    <row r="53" spans="3:38" ht="14.4" hidden="1" customHeight="1" x14ac:dyDescent="0.3">
      <c r="R53" s="1244"/>
      <c r="S53" s="1244"/>
      <c r="T53" s="1248"/>
      <c r="U53" s="1248"/>
      <c r="V53" s="1248"/>
      <c r="W53" s="1248"/>
      <c r="X53" s="1248"/>
      <c r="Y53" s="1255"/>
      <c r="Z53" s="1255"/>
      <c r="AA53" s="1255"/>
      <c r="AB53" s="1255"/>
      <c r="AC53" s="1255"/>
      <c r="AD53" s="1255"/>
      <c r="AE53" s="1255"/>
      <c r="AF53" s="1255"/>
      <c r="AG53" s="1255"/>
      <c r="AH53" s="1255"/>
      <c r="AI53" s="1255"/>
      <c r="AJ53" s="1255"/>
      <c r="AK53" s="1255"/>
      <c r="AL53" s="1255"/>
    </row>
    <row r="54" spans="3:38" ht="14.4" hidden="1" customHeight="1" x14ac:dyDescent="0.3">
      <c r="R54" s="1244"/>
      <c r="S54" s="1244"/>
      <c r="T54" s="1248"/>
      <c r="U54" s="1248"/>
      <c r="V54" s="1248"/>
      <c r="W54" s="1248"/>
      <c r="X54" s="1248"/>
      <c r="Y54" s="1255"/>
      <c r="Z54" s="1255"/>
      <c r="AA54" s="1255"/>
      <c r="AB54" s="1255"/>
      <c r="AC54" s="1255"/>
      <c r="AD54" s="1255"/>
      <c r="AE54" s="1255"/>
      <c r="AF54" s="1255"/>
      <c r="AG54" s="1255"/>
      <c r="AH54" s="1255"/>
      <c r="AI54" s="1255"/>
      <c r="AJ54" s="1255"/>
      <c r="AK54" s="1255"/>
      <c r="AL54" s="1255"/>
    </row>
    <row r="55" spans="3:38" ht="14.4" hidden="1" customHeight="1" x14ac:dyDescent="0.3">
      <c r="R55" s="1244"/>
      <c r="S55" s="1244"/>
      <c r="T55" s="1248"/>
      <c r="U55" s="1248"/>
      <c r="V55" s="1248"/>
      <c r="W55" s="1248"/>
      <c r="X55" s="1248"/>
      <c r="Y55" s="1255"/>
      <c r="Z55" s="1255"/>
      <c r="AA55" s="1255"/>
      <c r="AB55" s="1255"/>
      <c r="AC55" s="1255"/>
      <c r="AD55" s="1255"/>
      <c r="AE55" s="1255"/>
      <c r="AF55" s="1255"/>
      <c r="AG55" s="1255"/>
      <c r="AH55" s="1255"/>
      <c r="AI55" s="1255"/>
      <c r="AJ55" s="1255"/>
      <c r="AK55" s="1255"/>
      <c r="AL55" s="1255"/>
    </row>
    <row r="56" spans="3:38" ht="14.4" hidden="1" customHeight="1" x14ac:dyDescent="0.3">
      <c r="R56" s="1244"/>
      <c r="S56" s="1244"/>
      <c r="T56" s="1248"/>
      <c r="U56" s="1248"/>
      <c r="V56" s="1248"/>
      <c r="W56" s="1248"/>
      <c r="X56" s="1248"/>
      <c r="Y56" s="1255"/>
      <c r="Z56" s="1255"/>
      <c r="AA56" s="1255"/>
      <c r="AB56" s="1255"/>
      <c r="AC56" s="1255"/>
      <c r="AD56" s="1255"/>
      <c r="AE56" s="1255"/>
      <c r="AF56" s="1255"/>
      <c r="AG56" s="1255"/>
      <c r="AH56" s="1255"/>
      <c r="AI56" s="1255"/>
      <c r="AJ56" s="1255"/>
      <c r="AK56" s="1255"/>
      <c r="AL56" s="1255"/>
    </row>
    <row r="57" spans="3:38" ht="14.4" hidden="1" customHeight="1" x14ac:dyDescent="0.3">
      <c r="R57" s="1244"/>
      <c r="S57" s="1244"/>
      <c r="T57" s="1248"/>
      <c r="U57" s="1248"/>
      <c r="V57" s="1248"/>
      <c r="W57" s="1248"/>
      <c r="X57" s="1248"/>
      <c r="Y57" s="1255"/>
      <c r="Z57" s="1255"/>
      <c r="AA57" s="1255"/>
      <c r="AB57" s="1255"/>
      <c r="AC57" s="1255"/>
      <c r="AD57" s="1255"/>
      <c r="AE57" s="1255"/>
      <c r="AF57" s="1255"/>
      <c r="AG57" s="1255"/>
      <c r="AH57" s="1255"/>
      <c r="AI57" s="1255"/>
      <c r="AJ57" s="1255"/>
      <c r="AK57" s="1255"/>
      <c r="AL57" s="1255"/>
    </row>
    <row r="58" spans="3:38" ht="14.4" hidden="1" customHeight="1" x14ac:dyDescent="0.3">
      <c r="R58" s="1244"/>
      <c r="S58" s="1244"/>
      <c r="T58" s="1248"/>
      <c r="U58" s="1248"/>
      <c r="V58" s="1248"/>
      <c r="W58" s="1248"/>
      <c r="X58" s="1248"/>
      <c r="Y58" s="1255"/>
      <c r="Z58" s="1255"/>
      <c r="AA58" s="1255"/>
      <c r="AB58" s="1255"/>
      <c r="AC58" s="1255"/>
      <c r="AD58" s="1255"/>
      <c r="AE58" s="1255"/>
      <c r="AF58" s="1255"/>
      <c r="AG58" s="1255"/>
      <c r="AH58" s="1255"/>
      <c r="AI58" s="1255"/>
      <c r="AJ58" s="1255"/>
      <c r="AK58" s="1255"/>
      <c r="AL58" s="1255"/>
    </row>
    <row r="59" spans="3:38" ht="14.4" hidden="1" customHeight="1" x14ac:dyDescent="0.3">
      <c r="R59" s="1244"/>
      <c r="S59" s="1244"/>
      <c r="T59" s="1248"/>
      <c r="U59" s="1248"/>
      <c r="V59" s="1248"/>
      <c r="W59" s="1248"/>
      <c r="X59" s="1248"/>
      <c r="Y59" s="1255"/>
      <c r="Z59" s="1255"/>
      <c r="AA59" s="1255"/>
      <c r="AB59" s="1255"/>
      <c r="AC59" s="1255"/>
      <c r="AD59" s="1255"/>
      <c r="AE59" s="1255"/>
      <c r="AF59" s="1255"/>
      <c r="AG59" s="1255"/>
      <c r="AH59" s="1255"/>
      <c r="AI59" s="1255"/>
      <c r="AJ59" s="1255"/>
      <c r="AK59" s="1255"/>
      <c r="AL59" s="1255"/>
    </row>
    <row r="60" spans="3:38" ht="14.4" hidden="1" customHeight="1" x14ac:dyDescent="0.3">
      <c r="R60" s="1244"/>
      <c r="S60" s="1244"/>
      <c r="T60" s="1248"/>
      <c r="U60" s="1248"/>
      <c r="V60" s="1248"/>
      <c r="W60" s="1248"/>
      <c r="X60" s="1248"/>
      <c r="Y60" s="1255"/>
      <c r="Z60" s="1255"/>
      <c r="AA60" s="1255"/>
      <c r="AB60" s="1255"/>
      <c r="AC60" s="1255"/>
      <c r="AD60" s="1255"/>
      <c r="AE60" s="1255"/>
      <c r="AF60" s="1255"/>
      <c r="AG60" s="1255"/>
      <c r="AH60" s="1255"/>
      <c r="AI60" s="1255"/>
      <c r="AJ60" s="1255"/>
      <c r="AK60" s="1255"/>
      <c r="AL60" s="1255"/>
    </row>
    <row r="61" spans="3:38" ht="14.4" hidden="1" customHeight="1" x14ac:dyDescent="0.3">
      <c r="R61" s="1244"/>
      <c r="S61" s="1244"/>
      <c r="T61" s="1248"/>
      <c r="U61" s="1248"/>
      <c r="V61" s="1248"/>
      <c r="W61" s="1248"/>
      <c r="X61" s="1248"/>
      <c r="Y61" s="1255"/>
      <c r="Z61" s="1255"/>
      <c r="AA61" s="1255"/>
      <c r="AB61" s="1255"/>
      <c r="AC61" s="1255"/>
      <c r="AD61" s="1255"/>
      <c r="AE61" s="1255"/>
      <c r="AF61" s="1255"/>
      <c r="AG61" s="1255"/>
      <c r="AH61" s="1255"/>
      <c r="AI61" s="1255"/>
      <c r="AJ61" s="1255"/>
      <c r="AK61" s="1255"/>
      <c r="AL61" s="1255"/>
    </row>
    <row r="62" spans="3:38" ht="14.4" hidden="1" customHeight="1" x14ac:dyDescent="0.3">
      <c r="R62" s="1244"/>
      <c r="S62" s="1244"/>
      <c r="T62" s="1248"/>
      <c r="U62" s="1248"/>
      <c r="V62" s="1248"/>
      <c r="W62" s="1248"/>
      <c r="X62" s="1248"/>
      <c r="Y62" s="1255"/>
      <c r="Z62" s="1255"/>
      <c r="AA62" s="1255"/>
      <c r="AB62" s="1255"/>
      <c r="AC62" s="1255"/>
      <c r="AD62" s="1255"/>
      <c r="AE62" s="1255"/>
      <c r="AF62" s="1255"/>
      <c r="AG62" s="1255"/>
      <c r="AH62" s="1255"/>
      <c r="AI62" s="1255"/>
      <c r="AJ62" s="1255"/>
      <c r="AK62" s="1255"/>
      <c r="AL62" s="1255"/>
    </row>
    <row r="63" spans="3:38" ht="14.4" hidden="1" customHeight="1" x14ac:dyDescent="0.3">
      <c r="C63" s="1245"/>
      <c r="D63" s="1244"/>
      <c r="E63" s="1244"/>
      <c r="F63" s="1244"/>
      <c r="G63" s="1244"/>
      <c r="H63" s="1244"/>
      <c r="I63" s="1244"/>
      <c r="J63" s="1244"/>
      <c r="K63" s="1244"/>
      <c r="L63" s="1244"/>
      <c r="M63" s="1244"/>
      <c r="N63" s="1244"/>
      <c r="O63" s="1244"/>
      <c r="P63" s="1244"/>
      <c r="Q63" s="1244"/>
      <c r="R63" s="1244"/>
      <c r="S63" s="1244"/>
      <c r="T63" s="1248"/>
      <c r="U63" s="1248"/>
      <c r="V63" s="1248"/>
      <c r="W63" s="1248"/>
      <c r="X63" s="1248"/>
      <c r="Y63" s="1255"/>
      <c r="Z63" s="1255"/>
      <c r="AA63" s="1255"/>
      <c r="AB63" s="1255"/>
      <c r="AC63" s="1255"/>
      <c r="AD63" s="1255"/>
      <c r="AE63" s="1255"/>
      <c r="AF63" s="1255"/>
      <c r="AG63" s="1255"/>
      <c r="AH63" s="1255"/>
      <c r="AI63" s="1255"/>
      <c r="AJ63" s="1255"/>
      <c r="AK63" s="1255"/>
      <c r="AL63" s="1255"/>
    </row>
    <row r="64" spans="3:38" ht="14.4" hidden="1" customHeight="1" x14ac:dyDescent="0.3">
      <c r="C64" s="1245"/>
      <c r="D64" s="1244"/>
      <c r="E64" s="1244"/>
      <c r="F64" s="1244"/>
      <c r="G64" s="1244"/>
      <c r="H64" s="1244"/>
      <c r="I64" s="1244"/>
      <c r="J64" s="1244"/>
      <c r="K64" s="1244"/>
      <c r="L64" s="1244"/>
      <c r="M64" s="1244"/>
      <c r="N64" s="1244"/>
      <c r="O64" s="1244"/>
      <c r="P64" s="1244"/>
      <c r="Q64" s="1244"/>
      <c r="R64" s="1244"/>
      <c r="S64" s="1244"/>
      <c r="T64" s="1248"/>
      <c r="U64" s="1248"/>
      <c r="V64" s="1248"/>
      <c r="W64" s="1248"/>
      <c r="X64" s="1248"/>
      <c r="Y64" s="1255"/>
      <c r="Z64" s="1255"/>
      <c r="AA64" s="1255"/>
      <c r="AB64" s="1255"/>
      <c r="AC64" s="1255"/>
      <c r="AD64" s="1255"/>
      <c r="AE64" s="1255"/>
      <c r="AF64" s="1255"/>
      <c r="AG64" s="1255"/>
      <c r="AH64" s="1255"/>
      <c r="AI64" s="1255"/>
      <c r="AJ64" s="1255"/>
      <c r="AK64" s="1255"/>
      <c r="AL64" s="1255"/>
    </row>
    <row r="65" spans="3:38" ht="14.4" hidden="1" customHeight="1" x14ac:dyDescent="0.3">
      <c r="C65" s="1245"/>
      <c r="D65" s="1244"/>
      <c r="E65" s="1244"/>
      <c r="F65" s="1244"/>
      <c r="G65" s="1244"/>
      <c r="H65" s="1244"/>
      <c r="I65" s="1244"/>
      <c r="J65" s="1244"/>
      <c r="K65" s="1244"/>
      <c r="L65" s="1244"/>
      <c r="M65" s="1244"/>
      <c r="N65" s="1244"/>
      <c r="O65" s="1244"/>
      <c r="P65" s="1244"/>
      <c r="Q65" s="1244"/>
      <c r="R65" s="1244"/>
      <c r="S65" s="1244"/>
      <c r="T65" s="1248"/>
      <c r="U65" s="1248"/>
      <c r="V65" s="1248"/>
      <c r="W65" s="1248"/>
      <c r="X65" s="1248"/>
      <c r="Y65" s="1255"/>
      <c r="Z65" s="1255"/>
      <c r="AA65" s="1255"/>
      <c r="AB65" s="1255"/>
      <c r="AC65" s="1255"/>
      <c r="AD65" s="1255"/>
      <c r="AE65" s="1255"/>
      <c r="AF65" s="1255"/>
      <c r="AG65" s="1255"/>
      <c r="AH65" s="1255"/>
      <c r="AI65" s="1255"/>
      <c r="AJ65" s="1255"/>
      <c r="AK65" s="1255"/>
      <c r="AL65" s="1255"/>
    </row>
    <row r="66" spans="3:38" ht="14.4" hidden="1" customHeight="1" x14ac:dyDescent="0.3">
      <c r="C66" s="1245"/>
      <c r="D66" s="1244"/>
      <c r="E66" s="1244"/>
      <c r="F66" s="1244"/>
      <c r="G66" s="1244"/>
      <c r="H66" s="1244"/>
      <c r="I66" s="1244"/>
      <c r="J66" s="1244"/>
      <c r="K66" s="1244"/>
      <c r="L66" s="1244"/>
      <c r="M66" s="1244"/>
      <c r="N66" s="1244"/>
      <c r="O66" s="1244"/>
      <c r="P66" s="1244"/>
      <c r="Q66" s="1244"/>
      <c r="R66" s="1244"/>
      <c r="S66" s="1244"/>
      <c r="T66" s="1248"/>
      <c r="U66" s="1248"/>
      <c r="V66" s="1248"/>
      <c r="W66" s="1248"/>
      <c r="X66" s="1248"/>
      <c r="Y66" s="1255"/>
      <c r="Z66" s="1255"/>
      <c r="AA66" s="1255"/>
      <c r="AB66" s="1255"/>
      <c r="AC66" s="1255"/>
      <c r="AD66" s="1255"/>
      <c r="AE66" s="1255"/>
      <c r="AF66" s="1255"/>
      <c r="AG66" s="1255"/>
      <c r="AH66" s="1255"/>
      <c r="AI66" s="1255"/>
      <c r="AJ66" s="1255"/>
      <c r="AK66" s="1255"/>
      <c r="AL66" s="1255"/>
    </row>
    <row r="67" spans="3:38" ht="14.4" hidden="1" customHeight="1" x14ac:dyDescent="0.3">
      <c r="C67" s="1245"/>
      <c r="D67" s="1244"/>
      <c r="E67" s="1244"/>
      <c r="F67" s="1244"/>
      <c r="G67" s="1244"/>
      <c r="H67" s="1244"/>
      <c r="I67" s="1244"/>
      <c r="J67" s="1244"/>
      <c r="K67" s="1244"/>
      <c r="L67" s="1244"/>
      <c r="M67" s="1244"/>
      <c r="N67" s="1244"/>
      <c r="O67" s="1244"/>
      <c r="P67" s="1244"/>
      <c r="Q67" s="1244"/>
      <c r="R67" s="1244"/>
      <c r="S67" s="1244"/>
      <c r="T67" s="1248"/>
      <c r="U67" s="1248"/>
      <c r="V67" s="1248"/>
      <c r="W67" s="1248"/>
      <c r="X67" s="1248"/>
      <c r="Y67" s="1255"/>
      <c r="Z67" s="1255"/>
      <c r="AA67" s="1255"/>
      <c r="AB67" s="1255"/>
      <c r="AC67" s="1255"/>
      <c r="AD67" s="1255"/>
      <c r="AE67" s="1255"/>
      <c r="AF67" s="1255"/>
      <c r="AG67" s="1255"/>
      <c r="AH67" s="1255"/>
      <c r="AI67" s="1255"/>
      <c r="AJ67" s="1255"/>
      <c r="AK67" s="1255"/>
      <c r="AL67" s="1255"/>
    </row>
    <row r="68" spans="3:38" ht="14.4" hidden="1" customHeight="1" x14ac:dyDescent="0.3">
      <c r="C68" s="1245"/>
      <c r="D68" s="1244"/>
      <c r="E68" s="1244"/>
      <c r="F68" s="1244"/>
      <c r="G68" s="1244"/>
      <c r="H68" s="1244"/>
      <c r="I68" s="1244"/>
      <c r="J68" s="1244"/>
      <c r="K68" s="1244"/>
      <c r="L68" s="1244"/>
      <c r="M68" s="1244"/>
      <c r="N68" s="1244"/>
      <c r="O68" s="1244"/>
      <c r="P68" s="1244"/>
      <c r="Q68" s="1244"/>
      <c r="R68" s="1244"/>
      <c r="S68" s="1244"/>
      <c r="T68" s="1248"/>
      <c r="U68" s="1248"/>
      <c r="V68" s="1248"/>
      <c r="W68" s="1248"/>
      <c r="X68" s="1248"/>
      <c r="Y68" s="1255"/>
      <c r="Z68" s="1255"/>
      <c r="AA68" s="1255"/>
      <c r="AB68" s="1255"/>
      <c r="AC68" s="1255"/>
      <c r="AD68" s="1255"/>
      <c r="AE68" s="1255"/>
      <c r="AF68" s="1255"/>
      <c r="AG68" s="1255"/>
      <c r="AH68" s="1255"/>
      <c r="AI68" s="1255"/>
      <c r="AJ68" s="1255"/>
      <c r="AK68" s="1255"/>
      <c r="AL68" s="1255"/>
    </row>
    <row r="69" spans="3:38" ht="14.4" hidden="1" customHeight="1" x14ac:dyDescent="0.3">
      <c r="C69" s="1245"/>
      <c r="D69" s="1244"/>
      <c r="E69" s="1244"/>
      <c r="F69" s="1244"/>
      <c r="G69" s="1244"/>
      <c r="H69" s="1244"/>
      <c r="I69" s="1244"/>
      <c r="J69" s="1244"/>
      <c r="K69" s="1244"/>
      <c r="L69" s="1244"/>
      <c r="M69" s="1244"/>
      <c r="N69" s="1244"/>
      <c r="O69" s="1244"/>
      <c r="P69" s="1244"/>
      <c r="Q69" s="1244"/>
      <c r="R69" s="1244"/>
      <c r="S69" s="1244"/>
      <c r="T69" s="1248"/>
      <c r="U69" s="1248"/>
      <c r="V69" s="1248"/>
      <c r="W69" s="1248"/>
      <c r="X69" s="1248"/>
      <c r="Y69" s="1255"/>
      <c r="Z69" s="1255"/>
      <c r="AA69" s="1255"/>
      <c r="AB69" s="1255"/>
      <c r="AC69" s="1255"/>
      <c r="AD69" s="1255"/>
      <c r="AE69" s="1255"/>
      <c r="AF69" s="1255"/>
      <c r="AG69" s="1255"/>
      <c r="AH69" s="1255"/>
      <c r="AI69" s="1255"/>
      <c r="AJ69" s="1255"/>
      <c r="AK69" s="1255"/>
      <c r="AL69" s="1255"/>
    </row>
    <row r="70" spans="3:38" ht="14.4" hidden="1" customHeight="1" x14ac:dyDescent="0.3">
      <c r="C70" s="1245"/>
      <c r="D70" s="1244"/>
      <c r="E70" s="1244"/>
      <c r="F70" s="1244"/>
      <c r="G70" s="1244"/>
      <c r="H70" s="1244"/>
      <c r="I70" s="1244"/>
      <c r="J70" s="1244"/>
      <c r="K70" s="1244"/>
      <c r="L70" s="1244"/>
      <c r="M70" s="1244"/>
      <c r="N70" s="1244"/>
      <c r="O70" s="1244"/>
      <c r="P70" s="1244"/>
      <c r="Q70" s="1244"/>
      <c r="R70" s="1244"/>
      <c r="S70" s="1244"/>
      <c r="T70" s="1248"/>
      <c r="U70" s="1248"/>
      <c r="V70" s="1248"/>
      <c r="W70" s="1248"/>
      <c r="X70" s="1248"/>
      <c r="Y70" s="1255"/>
      <c r="Z70" s="1255"/>
      <c r="AA70" s="1255"/>
      <c r="AB70" s="1255"/>
      <c r="AC70" s="1255"/>
      <c r="AD70" s="1255"/>
      <c r="AE70" s="1255"/>
      <c r="AF70" s="1255"/>
      <c r="AG70" s="1255"/>
      <c r="AH70" s="1255"/>
      <c r="AI70" s="1255"/>
      <c r="AJ70" s="1255"/>
      <c r="AK70" s="1255"/>
      <c r="AL70" s="1255"/>
    </row>
    <row r="71" spans="3:38" ht="14.4" hidden="1" customHeight="1" x14ac:dyDescent="0.3">
      <c r="C71" s="1245"/>
      <c r="D71" s="1244"/>
      <c r="E71" s="1244"/>
      <c r="F71" s="1244"/>
      <c r="G71" s="1244"/>
      <c r="H71" s="1244"/>
      <c r="I71" s="1244"/>
      <c r="J71" s="1244"/>
      <c r="K71" s="1244"/>
      <c r="L71" s="1244"/>
      <c r="M71" s="1244"/>
      <c r="N71" s="1244"/>
      <c r="O71" s="1244"/>
      <c r="P71" s="1244"/>
      <c r="Q71" s="1244"/>
      <c r="R71" s="1244"/>
      <c r="S71" s="1244"/>
      <c r="T71" s="1248"/>
      <c r="U71" s="1248"/>
      <c r="V71" s="1248"/>
      <c r="W71" s="1248"/>
      <c r="X71" s="1248"/>
      <c r="Y71" s="1255"/>
      <c r="Z71" s="1255"/>
      <c r="AA71" s="1255"/>
      <c r="AB71" s="1255"/>
      <c r="AC71" s="1255"/>
      <c r="AD71" s="1255"/>
      <c r="AE71" s="1255"/>
      <c r="AF71" s="1255"/>
      <c r="AG71" s="1255"/>
      <c r="AH71" s="1255"/>
      <c r="AI71" s="1255"/>
      <c r="AJ71" s="1255"/>
      <c r="AK71" s="1255"/>
      <c r="AL71" s="1255"/>
    </row>
    <row r="72" spans="3:38" ht="14.4" hidden="1" customHeight="1" x14ac:dyDescent="0.3">
      <c r="C72" s="1245"/>
      <c r="D72" s="1244"/>
      <c r="E72" s="1244"/>
      <c r="F72" s="1244"/>
      <c r="G72" s="1244"/>
      <c r="H72" s="1244"/>
      <c r="I72" s="1244"/>
      <c r="J72" s="1244"/>
      <c r="K72" s="1244"/>
      <c r="L72" s="1244"/>
      <c r="M72" s="1244"/>
      <c r="N72" s="1244"/>
      <c r="O72" s="1244"/>
      <c r="P72" s="1244"/>
      <c r="Q72" s="1244"/>
      <c r="R72" s="1244"/>
      <c r="S72" s="1244"/>
      <c r="T72" s="1248"/>
      <c r="U72" s="1248"/>
      <c r="V72" s="1248"/>
      <c r="W72" s="1248"/>
      <c r="X72" s="1248"/>
      <c r="Y72" s="1255"/>
      <c r="Z72" s="1255"/>
      <c r="AA72" s="1255"/>
      <c r="AB72" s="1255"/>
      <c r="AC72" s="1255"/>
      <c r="AD72" s="1255"/>
      <c r="AE72" s="1255"/>
      <c r="AF72" s="1255"/>
      <c r="AG72" s="1255"/>
      <c r="AH72" s="1255"/>
      <c r="AI72" s="1255"/>
      <c r="AJ72" s="1255"/>
      <c r="AK72" s="1255"/>
      <c r="AL72" s="1255"/>
    </row>
    <row r="73" spans="3:38" ht="14.4" hidden="1" customHeight="1" x14ac:dyDescent="0.3">
      <c r="C73" s="1245"/>
      <c r="D73" s="1244"/>
      <c r="E73" s="1244"/>
      <c r="F73" s="1244"/>
      <c r="G73" s="1244"/>
      <c r="H73" s="1244"/>
      <c r="I73" s="1244"/>
      <c r="J73" s="1244"/>
      <c r="K73" s="1244"/>
      <c r="L73" s="1244"/>
      <c r="M73" s="1244"/>
      <c r="N73" s="1244"/>
      <c r="O73" s="1244"/>
      <c r="P73" s="1244"/>
      <c r="Q73" s="1244"/>
      <c r="R73" s="1244"/>
      <c r="S73" s="1244"/>
      <c r="T73" s="1248"/>
      <c r="U73" s="1248"/>
      <c r="V73" s="1248"/>
      <c r="W73" s="1248"/>
      <c r="X73" s="1248"/>
      <c r="Y73" s="1255"/>
      <c r="Z73" s="1255"/>
      <c r="AA73" s="1255"/>
      <c r="AB73" s="1255"/>
      <c r="AC73" s="1255"/>
      <c r="AD73" s="1255"/>
      <c r="AE73" s="1255"/>
      <c r="AF73" s="1255"/>
      <c r="AG73" s="1255"/>
      <c r="AH73" s="1255"/>
      <c r="AI73" s="1255"/>
      <c r="AJ73" s="1255"/>
      <c r="AK73" s="1255"/>
      <c r="AL73" s="1255"/>
    </row>
    <row r="74" spans="3:38" ht="14.4" hidden="1" customHeight="1" x14ac:dyDescent="0.3">
      <c r="C74" s="1245"/>
      <c r="D74" s="1244"/>
      <c r="E74" s="1244"/>
      <c r="F74" s="1244"/>
      <c r="G74" s="1244"/>
      <c r="H74" s="1244"/>
      <c r="I74" s="1244"/>
      <c r="J74" s="1244"/>
      <c r="K74" s="1244"/>
      <c r="L74" s="1244"/>
      <c r="M74" s="1244"/>
      <c r="N74" s="1244"/>
      <c r="O74" s="1244"/>
      <c r="P74" s="1244"/>
      <c r="Q74" s="1244"/>
      <c r="R74" s="1244"/>
      <c r="S74" s="1244"/>
      <c r="T74" s="1248"/>
      <c r="U74" s="1248"/>
      <c r="V74" s="1248"/>
      <c r="W74" s="1248"/>
      <c r="X74" s="1248"/>
      <c r="Y74" s="1255"/>
      <c r="Z74" s="1255"/>
      <c r="AA74" s="1255"/>
      <c r="AB74" s="1255"/>
      <c r="AC74" s="1255"/>
      <c r="AD74" s="1255"/>
      <c r="AE74" s="1255"/>
      <c r="AF74" s="1255"/>
      <c r="AG74" s="1255"/>
      <c r="AH74" s="1255"/>
      <c r="AI74" s="1255"/>
      <c r="AJ74" s="1255"/>
      <c r="AK74" s="1255"/>
      <c r="AL74" s="1255"/>
    </row>
    <row r="75" spans="3:38" ht="14.4" hidden="1" customHeight="1" x14ac:dyDescent="0.3">
      <c r="C75" s="1245"/>
      <c r="D75" s="1244"/>
      <c r="E75" s="1244"/>
      <c r="F75" s="1244"/>
      <c r="G75" s="1244"/>
      <c r="H75" s="1244"/>
      <c r="I75" s="1244"/>
      <c r="J75" s="1244"/>
      <c r="K75" s="1244"/>
      <c r="L75" s="1244"/>
      <c r="M75" s="1244"/>
      <c r="N75" s="1244"/>
      <c r="O75" s="1244"/>
      <c r="P75" s="1244"/>
      <c r="Q75" s="1244"/>
      <c r="R75" s="1244"/>
      <c r="S75" s="1244"/>
      <c r="T75" s="1248"/>
      <c r="U75" s="1248"/>
      <c r="V75" s="1248"/>
      <c r="W75" s="1248"/>
      <c r="X75" s="1248"/>
      <c r="Y75" s="1255"/>
      <c r="Z75" s="1255"/>
      <c r="AA75" s="1255"/>
      <c r="AB75" s="1255"/>
      <c r="AC75" s="1255"/>
      <c r="AD75" s="1255"/>
      <c r="AE75" s="1255"/>
      <c r="AF75" s="1255"/>
      <c r="AG75" s="1255"/>
      <c r="AH75" s="1255"/>
      <c r="AI75" s="1255"/>
      <c r="AJ75" s="1255"/>
      <c r="AK75" s="1255"/>
      <c r="AL75" s="1255"/>
    </row>
    <row r="76" spans="3:38" ht="14.4" hidden="1" customHeight="1" x14ac:dyDescent="0.3">
      <c r="C76" s="1245"/>
      <c r="D76" s="1244"/>
      <c r="E76" s="1244"/>
      <c r="F76" s="1244"/>
      <c r="G76" s="1244"/>
      <c r="H76" s="1244"/>
      <c r="I76" s="1244"/>
      <c r="J76" s="1244"/>
      <c r="K76" s="1244"/>
      <c r="L76" s="1244"/>
      <c r="M76" s="1244"/>
      <c r="N76" s="1244"/>
      <c r="O76" s="1244"/>
      <c r="P76" s="1244"/>
      <c r="Q76" s="1244"/>
      <c r="R76" s="1244"/>
      <c r="S76" s="1244"/>
      <c r="T76" s="1248"/>
      <c r="U76" s="1248"/>
      <c r="V76" s="1248"/>
      <c r="W76" s="1248"/>
      <c r="X76" s="1248"/>
      <c r="Y76" s="1255"/>
      <c r="Z76" s="1255"/>
      <c r="AA76" s="1255"/>
      <c r="AB76" s="1255"/>
      <c r="AC76" s="1255"/>
      <c r="AD76" s="1255"/>
      <c r="AE76" s="1255"/>
      <c r="AF76" s="1255"/>
      <c r="AG76" s="1255"/>
      <c r="AH76" s="1255"/>
      <c r="AI76" s="1255"/>
      <c r="AJ76" s="1255"/>
      <c r="AK76" s="1255"/>
      <c r="AL76" s="1255"/>
    </row>
    <row r="77" spans="3:38" ht="14.4" hidden="1" customHeight="1" x14ac:dyDescent="0.3">
      <c r="C77" s="1245"/>
      <c r="D77" s="1244"/>
      <c r="E77" s="1244"/>
      <c r="F77" s="1244"/>
      <c r="G77" s="1244"/>
      <c r="H77" s="1244"/>
      <c r="I77" s="1244"/>
      <c r="J77" s="1244"/>
      <c r="K77" s="1244"/>
      <c r="L77" s="1244"/>
      <c r="M77" s="1244"/>
      <c r="N77" s="1244"/>
      <c r="O77" s="1244"/>
      <c r="P77" s="1244"/>
      <c r="Q77" s="1244"/>
      <c r="R77" s="1244"/>
      <c r="S77" s="1244"/>
      <c r="T77" s="1248"/>
      <c r="U77" s="1248"/>
      <c r="V77" s="1248"/>
      <c r="W77" s="1248"/>
      <c r="X77" s="1248"/>
      <c r="Y77" s="1255"/>
      <c r="Z77" s="1255"/>
      <c r="AA77" s="1255"/>
      <c r="AB77" s="1255"/>
      <c r="AC77" s="1255"/>
      <c r="AD77" s="1255"/>
      <c r="AE77" s="1255"/>
      <c r="AF77" s="1255"/>
      <c r="AG77" s="1255"/>
      <c r="AH77" s="1255"/>
      <c r="AI77" s="1255"/>
      <c r="AJ77" s="1255"/>
      <c r="AK77" s="1255"/>
      <c r="AL77" s="1255"/>
    </row>
    <row r="78" spans="3:38" ht="14.4" hidden="1" customHeight="1" x14ac:dyDescent="0.3">
      <c r="C78" s="1245"/>
      <c r="D78" s="1244"/>
      <c r="E78" s="1244"/>
      <c r="F78" s="1244"/>
      <c r="G78" s="1244"/>
      <c r="H78" s="1244"/>
      <c r="I78" s="1244"/>
      <c r="J78" s="1244"/>
      <c r="K78" s="1244"/>
      <c r="L78" s="1244"/>
      <c r="M78" s="1244"/>
      <c r="N78" s="1244"/>
      <c r="O78" s="1244"/>
      <c r="P78" s="1244"/>
      <c r="Q78" s="1244"/>
      <c r="R78" s="1244"/>
      <c r="S78" s="1244"/>
      <c r="T78" s="1248"/>
      <c r="U78" s="1248"/>
      <c r="V78" s="1248"/>
      <c r="W78" s="1248"/>
      <c r="X78" s="1248"/>
      <c r="Y78" s="1255"/>
      <c r="Z78" s="1255"/>
      <c r="AA78" s="1255"/>
      <c r="AB78" s="1255"/>
      <c r="AC78" s="1255"/>
      <c r="AD78" s="1255"/>
      <c r="AE78" s="1255"/>
      <c r="AF78" s="1255"/>
      <c r="AG78" s="1255"/>
      <c r="AH78" s="1255"/>
      <c r="AI78" s="1255"/>
      <c r="AJ78" s="1255"/>
      <c r="AK78" s="1255"/>
      <c r="AL78" s="1255"/>
    </row>
    <row r="79" spans="3:38" ht="14.4" hidden="1" customHeight="1" x14ac:dyDescent="0.3">
      <c r="C79" s="1245"/>
      <c r="D79" s="1244"/>
      <c r="E79" s="1244"/>
      <c r="F79" s="1244"/>
      <c r="G79" s="1244"/>
      <c r="H79" s="1244"/>
      <c r="I79" s="1244"/>
      <c r="J79" s="1244"/>
      <c r="K79" s="1244"/>
      <c r="L79" s="1244"/>
      <c r="M79" s="1244"/>
      <c r="N79" s="1244"/>
      <c r="O79" s="1244"/>
      <c r="P79" s="1244"/>
      <c r="Q79" s="1244"/>
      <c r="R79" s="1244"/>
      <c r="S79" s="1244"/>
      <c r="T79" s="1248"/>
      <c r="U79" s="1248"/>
      <c r="V79" s="1248"/>
      <c r="W79" s="1248"/>
      <c r="X79" s="1248"/>
      <c r="Y79" s="1255"/>
      <c r="Z79" s="1255"/>
      <c r="AA79" s="1255"/>
      <c r="AB79" s="1255"/>
      <c r="AC79" s="1255"/>
      <c r="AD79" s="1255"/>
      <c r="AE79" s="1255"/>
      <c r="AF79" s="1255"/>
      <c r="AG79" s="1255"/>
      <c r="AH79" s="1255"/>
      <c r="AI79" s="1255"/>
      <c r="AJ79" s="1255"/>
      <c r="AK79" s="1255"/>
      <c r="AL79" s="1255"/>
    </row>
    <row r="80" spans="3:38" ht="14.4" hidden="1" customHeight="1" x14ac:dyDescent="0.3">
      <c r="C80" s="1245"/>
      <c r="D80" s="1244"/>
      <c r="E80" s="1244"/>
      <c r="F80" s="1244"/>
      <c r="G80" s="1244"/>
      <c r="H80" s="1244"/>
      <c r="I80" s="1244"/>
      <c r="J80" s="1244"/>
      <c r="K80" s="1244"/>
      <c r="L80" s="1244"/>
      <c r="M80" s="1244"/>
      <c r="N80" s="1244"/>
      <c r="O80" s="1244"/>
      <c r="P80" s="1244"/>
      <c r="Q80" s="1244"/>
      <c r="R80" s="1244"/>
      <c r="S80" s="1244"/>
      <c r="T80" s="1248"/>
      <c r="U80" s="1248"/>
      <c r="V80" s="1248"/>
      <c r="W80" s="1248"/>
      <c r="X80" s="1248"/>
      <c r="Y80" s="1255"/>
      <c r="Z80" s="1255"/>
      <c r="AA80" s="1255"/>
      <c r="AB80" s="1255"/>
      <c r="AC80" s="1255"/>
      <c r="AD80" s="1255"/>
      <c r="AE80" s="1255"/>
      <c r="AF80" s="1255"/>
      <c r="AG80" s="1255"/>
      <c r="AH80" s="1255"/>
      <c r="AI80" s="1255"/>
      <c r="AJ80" s="1255"/>
      <c r="AK80" s="1255"/>
      <c r="AL80" s="1255"/>
    </row>
    <row r="81" spans="3:38" ht="14.4" hidden="1" customHeight="1" x14ac:dyDescent="0.3">
      <c r="C81" s="1245"/>
      <c r="D81" s="1244"/>
      <c r="E81" s="1244"/>
      <c r="F81" s="1244"/>
      <c r="G81" s="1244"/>
      <c r="H81" s="1244"/>
      <c r="I81" s="1244"/>
      <c r="J81" s="1244"/>
      <c r="K81" s="1244"/>
      <c r="L81" s="1244"/>
      <c r="M81" s="1244"/>
      <c r="N81" s="1244"/>
      <c r="O81" s="1244"/>
      <c r="P81" s="1244"/>
      <c r="Q81" s="1244"/>
      <c r="R81" s="1244"/>
      <c r="S81" s="1244"/>
      <c r="T81" s="1248"/>
      <c r="U81" s="1248"/>
      <c r="V81" s="1248"/>
      <c r="W81" s="1248"/>
      <c r="X81" s="1248"/>
      <c r="Y81" s="1255"/>
      <c r="Z81" s="1255"/>
      <c r="AA81" s="1255"/>
      <c r="AB81" s="1255"/>
      <c r="AC81" s="1255"/>
      <c r="AD81" s="1255"/>
      <c r="AE81" s="1255"/>
      <c r="AF81" s="1255"/>
      <c r="AG81" s="1255"/>
      <c r="AH81" s="1255"/>
      <c r="AI81" s="1255"/>
      <c r="AJ81" s="1255"/>
      <c r="AK81" s="1255"/>
      <c r="AL81" s="1255"/>
    </row>
    <row r="82" spans="3:38" ht="14.4" hidden="1" customHeight="1" x14ac:dyDescent="0.3">
      <c r="C82" s="1245"/>
      <c r="D82" s="1244"/>
      <c r="E82" s="1244"/>
      <c r="F82" s="1244"/>
      <c r="G82" s="1244"/>
      <c r="H82" s="1244"/>
      <c r="I82" s="1244"/>
      <c r="J82" s="1244"/>
      <c r="K82" s="1244"/>
      <c r="L82" s="1244"/>
      <c r="M82" s="1244"/>
      <c r="N82" s="1244"/>
      <c r="O82" s="1244"/>
      <c r="P82" s="1244"/>
      <c r="Q82" s="1244"/>
      <c r="R82" s="1244"/>
      <c r="S82" s="1244"/>
      <c r="T82" s="1248"/>
      <c r="U82" s="1248"/>
      <c r="V82" s="1248"/>
      <c r="W82" s="1248"/>
      <c r="X82" s="1248"/>
      <c r="Y82" s="1255"/>
      <c r="Z82" s="1255"/>
      <c r="AA82" s="1255"/>
      <c r="AB82" s="1255"/>
      <c r="AC82" s="1255"/>
      <c r="AD82" s="1255"/>
      <c r="AE82" s="1255"/>
      <c r="AF82" s="1255"/>
      <c r="AG82" s="1255"/>
      <c r="AH82" s="1255"/>
      <c r="AI82" s="1255"/>
      <c r="AJ82" s="1255"/>
      <c r="AK82" s="1255"/>
      <c r="AL82" s="1255"/>
    </row>
    <row r="83" spans="3:38" ht="14.4" hidden="1" customHeight="1" x14ac:dyDescent="0.3">
      <c r="C83" s="1245"/>
      <c r="D83" s="1244"/>
      <c r="E83" s="1244"/>
      <c r="F83" s="1244"/>
      <c r="G83" s="1244"/>
      <c r="H83" s="1244"/>
      <c r="I83" s="1244"/>
      <c r="J83" s="1244"/>
      <c r="K83" s="1244"/>
      <c r="L83" s="1244"/>
      <c r="M83" s="1244"/>
      <c r="N83" s="1244"/>
      <c r="O83" s="1244"/>
      <c r="P83" s="1244"/>
      <c r="Q83" s="1244"/>
      <c r="R83" s="1244"/>
      <c r="S83" s="1244"/>
      <c r="T83" s="1248"/>
      <c r="U83" s="1248"/>
      <c r="V83" s="1248"/>
      <c r="W83" s="1248"/>
      <c r="X83" s="1248"/>
      <c r="Y83" s="1255"/>
      <c r="Z83" s="1255"/>
      <c r="AA83" s="1255"/>
      <c r="AB83" s="1255"/>
      <c r="AC83" s="1255"/>
      <c r="AD83" s="1255"/>
      <c r="AE83" s="1255"/>
      <c r="AF83" s="1255"/>
      <c r="AG83" s="1255"/>
      <c r="AH83" s="1255"/>
      <c r="AI83" s="1255"/>
      <c r="AJ83" s="1255"/>
      <c r="AK83" s="1255"/>
      <c r="AL83" s="1255"/>
    </row>
    <row r="84" spans="3:38" ht="14.4" hidden="1" customHeight="1" x14ac:dyDescent="0.3">
      <c r="C84" s="1245"/>
      <c r="D84" s="1244"/>
      <c r="E84" s="1244"/>
      <c r="F84" s="1244"/>
      <c r="G84" s="1244"/>
      <c r="H84" s="1244"/>
      <c r="I84" s="1244"/>
      <c r="J84" s="1244"/>
      <c r="K84" s="1244"/>
      <c r="L84" s="1244"/>
      <c r="M84" s="1244"/>
      <c r="N84" s="1244"/>
      <c r="O84" s="1244"/>
      <c r="P84" s="1244"/>
      <c r="Q84" s="1244"/>
      <c r="R84" s="1244"/>
      <c r="S84" s="1244"/>
      <c r="T84" s="1248"/>
      <c r="U84" s="1248"/>
      <c r="V84" s="1248"/>
      <c r="W84" s="1248"/>
      <c r="X84" s="1248"/>
      <c r="Y84" s="1255"/>
      <c r="Z84" s="1255"/>
      <c r="AA84" s="1255"/>
      <c r="AB84" s="1255"/>
      <c r="AC84" s="1255"/>
      <c r="AD84" s="1255"/>
      <c r="AE84" s="1255"/>
      <c r="AF84" s="1255"/>
      <c r="AG84" s="1255"/>
      <c r="AH84" s="1255"/>
      <c r="AI84" s="1255"/>
      <c r="AJ84" s="1255"/>
      <c r="AK84" s="1255"/>
      <c r="AL84" s="1255"/>
    </row>
    <row r="85" spans="3:38" ht="14.4" hidden="1" customHeight="1" x14ac:dyDescent="0.3">
      <c r="C85" s="1245"/>
      <c r="D85" s="1244"/>
      <c r="E85" s="1244"/>
      <c r="F85" s="1244"/>
      <c r="G85" s="1244"/>
      <c r="H85" s="1244"/>
      <c r="I85" s="1244"/>
      <c r="J85" s="1244"/>
      <c r="K85" s="1244"/>
      <c r="L85" s="1244"/>
      <c r="M85" s="1244"/>
      <c r="N85" s="1244"/>
      <c r="O85" s="1244"/>
      <c r="P85" s="1244"/>
      <c r="Q85" s="1244"/>
      <c r="R85" s="1244"/>
      <c r="S85" s="1244"/>
      <c r="T85" s="1248"/>
      <c r="U85" s="1248"/>
      <c r="V85" s="1248"/>
      <c r="W85" s="1248"/>
      <c r="X85" s="1248"/>
      <c r="Y85" s="1255"/>
      <c r="Z85" s="1255"/>
      <c r="AA85" s="1255"/>
      <c r="AB85" s="1255"/>
      <c r="AC85" s="1255"/>
      <c r="AD85" s="1255"/>
      <c r="AE85" s="1255"/>
      <c r="AF85" s="1255"/>
      <c r="AG85" s="1255"/>
      <c r="AH85" s="1255"/>
      <c r="AI85" s="1255"/>
      <c r="AJ85" s="1255"/>
      <c r="AK85" s="1255"/>
      <c r="AL85" s="1255"/>
    </row>
    <row r="86" spans="3:38" ht="14.4" hidden="1" customHeight="1" x14ac:dyDescent="0.3">
      <c r="C86" s="1245"/>
      <c r="D86" s="1244"/>
      <c r="E86" s="1244"/>
      <c r="F86" s="1244"/>
      <c r="G86" s="1244"/>
      <c r="H86" s="1244"/>
      <c r="I86" s="1244"/>
      <c r="J86" s="1244"/>
      <c r="K86" s="1244"/>
      <c r="L86" s="1244"/>
      <c r="M86" s="1244"/>
      <c r="N86" s="1244"/>
      <c r="O86" s="1244"/>
      <c r="P86" s="1244"/>
      <c r="Q86" s="1244"/>
      <c r="R86" s="1244"/>
      <c r="S86" s="1244"/>
      <c r="T86" s="1248"/>
      <c r="U86" s="1248"/>
      <c r="V86" s="1248"/>
      <c r="W86" s="1248"/>
      <c r="X86" s="1248"/>
      <c r="Y86" s="1255"/>
      <c r="Z86" s="1255"/>
      <c r="AA86" s="1255"/>
      <c r="AB86" s="1255"/>
      <c r="AC86" s="1255"/>
      <c r="AD86" s="1255"/>
      <c r="AE86" s="1255"/>
      <c r="AF86" s="1255"/>
      <c r="AG86" s="1255"/>
      <c r="AH86" s="1255"/>
      <c r="AI86" s="1255"/>
      <c r="AJ86" s="1255"/>
      <c r="AK86" s="1255"/>
      <c r="AL86" s="1255"/>
    </row>
    <row r="87" spans="3:38" ht="14.4" hidden="1" customHeight="1" x14ac:dyDescent="0.3">
      <c r="C87" s="1245"/>
      <c r="D87" s="1244"/>
      <c r="E87" s="1244"/>
      <c r="F87" s="1244"/>
      <c r="G87" s="1244"/>
      <c r="H87" s="1244"/>
      <c r="I87" s="1244"/>
      <c r="J87" s="1244"/>
      <c r="K87" s="1244"/>
      <c r="L87" s="1244"/>
      <c r="M87" s="1244"/>
      <c r="N87" s="1244"/>
      <c r="O87" s="1244"/>
      <c r="P87" s="1244"/>
      <c r="Q87" s="1244"/>
      <c r="R87" s="1244"/>
      <c r="S87" s="1244"/>
      <c r="T87" s="1248"/>
      <c r="U87" s="1248"/>
      <c r="V87" s="1248"/>
      <c r="W87" s="1248"/>
      <c r="X87" s="1248"/>
      <c r="Y87" s="1255"/>
      <c r="Z87" s="1255"/>
      <c r="AA87" s="1255"/>
      <c r="AB87" s="1255"/>
      <c r="AC87" s="1255"/>
      <c r="AD87" s="1255"/>
      <c r="AE87" s="1255"/>
      <c r="AF87" s="1255"/>
      <c r="AG87" s="1255"/>
      <c r="AH87" s="1255"/>
      <c r="AI87" s="1255"/>
      <c r="AJ87" s="1255"/>
      <c r="AK87" s="1255"/>
      <c r="AL87" s="1255"/>
    </row>
    <row r="88" spans="3:38" ht="14.4" hidden="1" customHeight="1" x14ac:dyDescent="0.3">
      <c r="C88" s="1245"/>
      <c r="D88" s="1244"/>
      <c r="E88" s="1244"/>
      <c r="F88" s="1244"/>
      <c r="G88" s="1244"/>
      <c r="H88" s="1244"/>
      <c r="I88" s="1244"/>
      <c r="J88" s="1244"/>
      <c r="K88" s="1244"/>
      <c r="L88" s="1244"/>
      <c r="M88" s="1244"/>
      <c r="N88" s="1244"/>
      <c r="O88" s="1244"/>
      <c r="P88" s="1244"/>
      <c r="Q88" s="1244"/>
      <c r="R88" s="1244"/>
      <c r="S88" s="1244"/>
      <c r="T88" s="1248"/>
      <c r="U88" s="1248"/>
      <c r="V88" s="1248"/>
      <c r="W88" s="1248"/>
      <c r="X88" s="1248"/>
      <c r="Y88" s="1255"/>
      <c r="Z88" s="1255"/>
      <c r="AA88" s="1255"/>
      <c r="AB88" s="1255"/>
      <c r="AC88" s="1255"/>
      <c r="AD88" s="1255"/>
      <c r="AE88" s="1255"/>
      <c r="AF88" s="1255"/>
      <c r="AG88" s="1255"/>
      <c r="AH88" s="1255"/>
      <c r="AI88" s="1255"/>
      <c r="AJ88" s="1255"/>
      <c r="AK88" s="1255"/>
      <c r="AL88" s="1255"/>
    </row>
    <row r="89" spans="3:38" ht="14.4" hidden="1" customHeight="1" x14ac:dyDescent="0.3">
      <c r="C89" s="1245"/>
      <c r="D89" s="1244"/>
      <c r="E89" s="1244"/>
      <c r="F89" s="1244"/>
      <c r="G89" s="1244"/>
      <c r="H89" s="1244"/>
      <c r="I89" s="1244"/>
      <c r="J89" s="1244"/>
      <c r="K89" s="1244"/>
      <c r="L89" s="1244"/>
      <c r="M89" s="1244"/>
      <c r="N89" s="1244"/>
      <c r="O89" s="1244"/>
      <c r="P89" s="1244"/>
      <c r="Q89" s="1244"/>
      <c r="R89" s="1244"/>
      <c r="S89" s="1244"/>
      <c r="T89" s="1248"/>
      <c r="U89" s="1248"/>
      <c r="V89" s="1248"/>
      <c r="W89" s="1248"/>
      <c r="X89" s="1248"/>
      <c r="Y89" s="1255"/>
      <c r="Z89" s="1255"/>
      <c r="AA89" s="1255"/>
      <c r="AB89" s="1255"/>
      <c r="AC89" s="1255"/>
      <c r="AD89" s="1255"/>
      <c r="AE89" s="1255"/>
      <c r="AF89" s="1255"/>
      <c r="AG89" s="1255"/>
      <c r="AH89" s="1255"/>
      <c r="AI89" s="1255"/>
      <c r="AJ89" s="1255"/>
      <c r="AK89" s="1255"/>
      <c r="AL89" s="1255"/>
    </row>
    <row r="90" spans="3:38" ht="14.4" hidden="1" customHeight="1" x14ac:dyDescent="0.3">
      <c r="C90" s="1245"/>
      <c r="D90" s="1244"/>
      <c r="E90" s="1244"/>
      <c r="F90" s="1244"/>
      <c r="G90" s="1244"/>
      <c r="H90" s="1244"/>
      <c r="I90" s="1244"/>
      <c r="J90" s="1244"/>
      <c r="K90" s="1244"/>
      <c r="L90" s="1244"/>
      <c r="M90" s="1244"/>
      <c r="N90" s="1244"/>
      <c r="O90" s="1244"/>
      <c r="P90" s="1244"/>
      <c r="Q90" s="1244"/>
      <c r="R90" s="1244"/>
      <c r="S90" s="1244"/>
      <c r="T90" s="1248"/>
      <c r="U90" s="1248"/>
      <c r="V90" s="1248"/>
      <c r="W90" s="1248"/>
      <c r="X90" s="1248"/>
      <c r="Y90" s="1255"/>
      <c r="Z90" s="1255"/>
      <c r="AA90" s="1255"/>
      <c r="AB90" s="1255"/>
      <c r="AC90" s="1255"/>
      <c r="AD90" s="1255"/>
      <c r="AE90" s="1255"/>
      <c r="AF90" s="1255"/>
      <c r="AG90" s="1255"/>
      <c r="AH90" s="1255"/>
      <c r="AI90" s="1255"/>
      <c r="AJ90" s="1255"/>
      <c r="AK90" s="1255"/>
      <c r="AL90" s="1255"/>
    </row>
    <row r="91" spans="3:38" ht="14.4" hidden="1" customHeight="1" x14ac:dyDescent="0.3">
      <c r="C91" s="1245"/>
      <c r="D91" s="1244"/>
      <c r="E91" s="1244"/>
      <c r="F91" s="1244"/>
      <c r="G91" s="1244"/>
      <c r="H91" s="1244"/>
      <c r="I91" s="1244"/>
      <c r="J91" s="1244"/>
      <c r="K91" s="1244"/>
      <c r="L91" s="1244"/>
      <c r="M91" s="1244"/>
      <c r="N91" s="1244"/>
      <c r="O91" s="1244"/>
      <c r="P91" s="1244"/>
      <c r="Q91" s="1244"/>
      <c r="R91" s="1244"/>
      <c r="S91" s="1244"/>
      <c r="T91" s="1248"/>
      <c r="U91" s="1248"/>
      <c r="V91" s="1248"/>
      <c r="W91" s="1248"/>
      <c r="X91" s="1248"/>
      <c r="Y91" s="1255"/>
      <c r="Z91" s="1255"/>
      <c r="AA91" s="1255"/>
      <c r="AB91" s="1255"/>
      <c r="AC91" s="1255"/>
      <c r="AD91" s="1255"/>
      <c r="AE91" s="1255"/>
      <c r="AF91" s="1255"/>
      <c r="AG91" s="1255"/>
      <c r="AH91" s="1255"/>
      <c r="AI91" s="1255"/>
      <c r="AJ91" s="1255"/>
      <c r="AK91" s="1255"/>
      <c r="AL91" s="1255"/>
    </row>
    <row r="92" spans="3:38" ht="14.4" hidden="1" customHeight="1" x14ac:dyDescent="0.3">
      <c r="C92" s="1245"/>
      <c r="D92" s="1244"/>
      <c r="E92" s="1244"/>
      <c r="F92" s="1244"/>
      <c r="G92" s="1244"/>
      <c r="H92" s="1244"/>
      <c r="I92" s="1244"/>
      <c r="J92" s="1244"/>
      <c r="K92" s="1244"/>
      <c r="L92" s="1244"/>
      <c r="M92" s="1244"/>
      <c r="N92" s="1244"/>
      <c r="O92" s="1244"/>
      <c r="P92" s="1244"/>
      <c r="Q92" s="1244"/>
      <c r="R92" s="1244"/>
      <c r="S92" s="1244"/>
      <c r="T92" s="1248"/>
      <c r="U92" s="1248"/>
      <c r="V92" s="1248"/>
      <c r="W92" s="1248"/>
      <c r="X92" s="1248"/>
      <c r="Y92" s="1255"/>
      <c r="Z92" s="1255"/>
      <c r="AA92" s="1255"/>
      <c r="AB92" s="1255"/>
      <c r="AC92" s="1255"/>
      <c r="AD92" s="1255"/>
      <c r="AE92" s="1255"/>
      <c r="AF92" s="1255"/>
      <c r="AG92" s="1255"/>
      <c r="AH92" s="1255"/>
      <c r="AI92" s="1255"/>
      <c r="AJ92" s="1255"/>
      <c r="AK92" s="1255"/>
      <c r="AL92" s="1255"/>
    </row>
    <row r="93" spans="3:38" ht="14.4" hidden="1" customHeight="1" x14ac:dyDescent="0.3">
      <c r="C93" s="1245"/>
      <c r="D93" s="1244"/>
      <c r="E93" s="1244"/>
      <c r="F93" s="1244"/>
      <c r="G93" s="1244"/>
      <c r="H93" s="1244"/>
      <c r="I93" s="1244"/>
      <c r="J93" s="1244"/>
      <c r="K93" s="1244"/>
      <c r="L93" s="1244"/>
      <c r="M93" s="1244"/>
      <c r="N93" s="1244"/>
      <c r="O93" s="1244"/>
      <c r="P93" s="1244"/>
      <c r="Q93" s="1244"/>
      <c r="R93" s="1244"/>
      <c r="S93" s="1244"/>
      <c r="T93" s="1248"/>
      <c r="U93" s="1248"/>
      <c r="V93" s="1248"/>
      <c r="W93" s="1248"/>
      <c r="X93" s="1248"/>
      <c r="Y93" s="1255"/>
      <c r="Z93" s="1255"/>
      <c r="AA93" s="1255"/>
      <c r="AB93" s="1255"/>
      <c r="AC93" s="1255"/>
      <c r="AD93" s="1255"/>
      <c r="AE93" s="1255"/>
      <c r="AF93" s="1255"/>
      <c r="AG93" s="1255"/>
      <c r="AH93" s="1255"/>
      <c r="AI93" s="1255"/>
      <c r="AJ93" s="1255"/>
      <c r="AK93" s="1255"/>
      <c r="AL93" s="1255"/>
    </row>
    <row r="94" spans="3:38" ht="14.4" hidden="1" customHeight="1" x14ac:dyDescent="0.3">
      <c r="C94" s="1245"/>
      <c r="D94" s="1244"/>
      <c r="E94" s="1244"/>
      <c r="F94" s="1244"/>
      <c r="G94" s="1244"/>
      <c r="H94" s="1244"/>
      <c r="I94" s="1244"/>
      <c r="J94" s="1244"/>
      <c r="K94" s="1244"/>
      <c r="L94" s="1244"/>
      <c r="M94" s="1244"/>
      <c r="N94" s="1244"/>
      <c r="O94" s="1244"/>
      <c r="P94" s="1244"/>
      <c r="Q94" s="1244"/>
      <c r="R94" s="1244"/>
      <c r="S94" s="1244"/>
      <c r="T94" s="1248"/>
      <c r="U94" s="1248"/>
      <c r="V94" s="1248"/>
      <c r="W94" s="1248"/>
      <c r="X94" s="1248"/>
      <c r="Y94" s="1255"/>
      <c r="Z94" s="1255"/>
      <c r="AA94" s="1255"/>
      <c r="AB94" s="1255"/>
      <c r="AC94" s="1255"/>
      <c r="AD94" s="1255"/>
      <c r="AE94" s="1255"/>
      <c r="AF94" s="1255"/>
      <c r="AG94" s="1255"/>
      <c r="AH94" s="1255"/>
      <c r="AI94" s="1255"/>
      <c r="AJ94" s="1255"/>
      <c r="AK94" s="1255"/>
      <c r="AL94" s="1255"/>
    </row>
    <row r="95" spans="3:38" ht="14.4" hidden="1" customHeight="1" x14ac:dyDescent="0.3">
      <c r="C95" s="1245"/>
      <c r="D95" s="1244"/>
      <c r="E95" s="1244"/>
      <c r="F95" s="1244"/>
      <c r="G95" s="1244"/>
      <c r="H95" s="1244"/>
      <c r="I95" s="1244"/>
      <c r="J95" s="1244"/>
      <c r="K95" s="1244"/>
      <c r="L95" s="1244"/>
      <c r="M95" s="1244"/>
      <c r="N95" s="1244"/>
      <c r="O95" s="1244"/>
      <c r="P95" s="1244"/>
      <c r="Q95" s="1244"/>
      <c r="R95" s="1244"/>
      <c r="S95" s="1244"/>
      <c r="T95" s="1248"/>
      <c r="U95" s="1248"/>
      <c r="V95" s="1248"/>
      <c r="W95" s="1248"/>
      <c r="X95" s="1248"/>
      <c r="Y95" s="1255"/>
      <c r="Z95" s="1255"/>
      <c r="AA95" s="1255"/>
      <c r="AB95" s="1255"/>
      <c r="AC95" s="1255"/>
      <c r="AD95" s="1255"/>
      <c r="AE95" s="1255"/>
      <c r="AF95" s="1255"/>
      <c r="AG95" s="1255"/>
      <c r="AH95" s="1255"/>
      <c r="AI95" s="1255"/>
      <c r="AJ95" s="1255"/>
      <c r="AK95" s="1255"/>
      <c r="AL95" s="1255"/>
    </row>
    <row r="96" spans="3:38" ht="14.4" hidden="1" customHeight="1" x14ac:dyDescent="0.3">
      <c r="C96" s="1245"/>
      <c r="D96" s="1244"/>
      <c r="E96" s="1244"/>
      <c r="F96" s="1244"/>
      <c r="G96" s="1244"/>
      <c r="H96" s="1244"/>
      <c r="I96" s="1244"/>
      <c r="J96" s="1244"/>
      <c r="K96" s="1244"/>
      <c r="L96" s="1244"/>
      <c r="M96" s="1244"/>
      <c r="N96" s="1244"/>
      <c r="O96" s="1244"/>
      <c r="P96" s="1244"/>
      <c r="Q96" s="1244"/>
      <c r="R96" s="1244"/>
      <c r="S96" s="1244"/>
      <c r="T96" s="1248"/>
      <c r="U96" s="1248"/>
      <c r="V96" s="1248"/>
      <c r="W96" s="1248"/>
      <c r="X96" s="1248"/>
      <c r="Y96" s="1255"/>
      <c r="Z96" s="1255"/>
      <c r="AA96" s="1255"/>
      <c r="AB96" s="1255"/>
      <c r="AC96" s="1255"/>
      <c r="AD96" s="1255"/>
      <c r="AE96" s="1255"/>
      <c r="AF96" s="1255"/>
      <c r="AG96" s="1255"/>
      <c r="AH96" s="1255"/>
      <c r="AI96" s="1255"/>
      <c r="AJ96" s="1255"/>
      <c r="AK96" s="1255"/>
      <c r="AL96" s="1255"/>
    </row>
    <row r="97" spans="3:38" ht="14.4" hidden="1" customHeight="1" x14ac:dyDescent="0.3">
      <c r="C97" s="1245"/>
      <c r="D97" s="1244"/>
      <c r="E97" s="1244"/>
      <c r="F97" s="1244"/>
      <c r="G97" s="1244"/>
      <c r="H97" s="1244"/>
      <c r="I97" s="1244"/>
      <c r="J97" s="1244"/>
      <c r="K97" s="1244"/>
      <c r="L97" s="1244"/>
      <c r="M97" s="1244"/>
      <c r="N97" s="1244"/>
      <c r="O97" s="1244"/>
      <c r="P97" s="1244"/>
      <c r="Q97" s="1244"/>
      <c r="R97" s="1244"/>
      <c r="S97" s="1244"/>
      <c r="T97" s="1248"/>
      <c r="U97" s="1248"/>
      <c r="V97" s="1248"/>
      <c r="W97" s="1248"/>
      <c r="X97" s="1248"/>
      <c r="Y97" s="1255"/>
      <c r="Z97" s="1255"/>
      <c r="AA97" s="1255"/>
      <c r="AB97" s="1255"/>
      <c r="AC97" s="1255"/>
      <c r="AD97" s="1255"/>
      <c r="AE97" s="1255"/>
      <c r="AF97" s="1255"/>
      <c r="AG97" s="1255"/>
      <c r="AH97" s="1255"/>
      <c r="AI97" s="1255"/>
      <c r="AJ97" s="1255"/>
      <c r="AK97" s="1255"/>
      <c r="AL97" s="1255"/>
    </row>
    <row r="98" spans="3:38" ht="14.4" hidden="1" customHeight="1" x14ac:dyDescent="0.3">
      <c r="C98" s="1245"/>
      <c r="D98" s="1244"/>
      <c r="E98" s="1244"/>
      <c r="F98" s="1244"/>
      <c r="G98" s="1244"/>
      <c r="H98" s="1244"/>
      <c r="I98" s="1244"/>
      <c r="J98" s="1244"/>
      <c r="K98" s="1244"/>
      <c r="L98" s="1244"/>
      <c r="M98" s="1244"/>
      <c r="N98" s="1244"/>
      <c r="O98" s="1244"/>
      <c r="P98" s="1244"/>
      <c r="Q98" s="1244"/>
      <c r="R98" s="1244"/>
      <c r="S98" s="1244"/>
      <c r="T98" s="1248"/>
      <c r="U98" s="1248"/>
      <c r="V98" s="1248"/>
      <c r="W98" s="1248"/>
      <c r="X98" s="1248"/>
      <c r="Y98" s="1255"/>
      <c r="Z98" s="1255"/>
      <c r="AA98" s="1255"/>
      <c r="AB98" s="1255"/>
      <c r="AC98" s="1255"/>
      <c r="AD98" s="1255"/>
      <c r="AE98" s="1255"/>
      <c r="AF98" s="1255"/>
      <c r="AG98" s="1255"/>
      <c r="AH98" s="1255"/>
      <c r="AI98" s="1255"/>
      <c r="AJ98" s="1255"/>
      <c r="AK98" s="1255"/>
      <c r="AL98" s="1255"/>
    </row>
    <row r="99" spans="3:38" ht="14.4" hidden="1" customHeight="1" x14ac:dyDescent="0.3">
      <c r="C99" s="1245"/>
      <c r="D99" s="1244"/>
      <c r="E99" s="1244"/>
      <c r="F99" s="1244"/>
      <c r="G99" s="1244"/>
      <c r="H99" s="1244"/>
      <c r="I99" s="1244"/>
      <c r="J99" s="1244"/>
      <c r="K99" s="1244"/>
      <c r="L99" s="1244"/>
      <c r="M99" s="1244"/>
      <c r="N99" s="1244"/>
      <c r="O99" s="1244"/>
      <c r="P99" s="1244"/>
      <c r="Q99" s="1244"/>
      <c r="R99" s="1244"/>
      <c r="S99" s="1244"/>
      <c r="T99" s="1248"/>
      <c r="U99" s="1248"/>
      <c r="V99" s="1248"/>
      <c r="W99" s="1248"/>
      <c r="X99" s="1248"/>
      <c r="Y99" s="1255"/>
      <c r="Z99" s="1255"/>
      <c r="AA99" s="1255"/>
      <c r="AB99" s="1255"/>
      <c r="AC99" s="1255"/>
      <c r="AD99" s="1255"/>
      <c r="AE99" s="1255"/>
      <c r="AF99" s="1255"/>
      <c r="AG99" s="1255"/>
      <c r="AH99" s="1255"/>
      <c r="AI99" s="1255"/>
      <c r="AJ99" s="1255"/>
      <c r="AK99" s="1255"/>
      <c r="AL99" s="1255"/>
    </row>
    <row r="100" spans="3:38" ht="14.4" hidden="1" customHeight="1" x14ac:dyDescent="0.3">
      <c r="C100" s="1245"/>
      <c r="D100" s="1244"/>
      <c r="E100" s="1244"/>
      <c r="F100" s="1244"/>
      <c r="G100" s="1244"/>
      <c r="H100" s="1244"/>
      <c r="I100" s="1244"/>
      <c r="J100" s="1244"/>
      <c r="K100" s="1244"/>
      <c r="L100" s="1244"/>
      <c r="M100" s="1244"/>
      <c r="N100" s="1244"/>
      <c r="O100" s="1244"/>
      <c r="P100" s="1244"/>
      <c r="Q100" s="1244"/>
      <c r="R100" s="1244"/>
      <c r="S100" s="1244"/>
      <c r="T100" s="1248"/>
      <c r="U100" s="1248"/>
      <c r="V100" s="1248"/>
      <c r="W100" s="1248"/>
      <c r="X100" s="1248"/>
      <c r="Y100" s="1255"/>
      <c r="Z100" s="1255"/>
      <c r="AA100" s="1255"/>
      <c r="AB100" s="1255"/>
      <c r="AC100" s="1255"/>
      <c r="AD100" s="1255"/>
      <c r="AE100" s="1255"/>
      <c r="AF100" s="1255"/>
      <c r="AG100" s="1255"/>
      <c r="AH100" s="1255"/>
      <c r="AI100" s="1255"/>
      <c r="AJ100" s="1255"/>
      <c r="AK100" s="1255"/>
      <c r="AL100" s="1255"/>
    </row>
    <row r="101" spans="3:38" ht="14.4" hidden="1" customHeight="1" x14ac:dyDescent="0.3">
      <c r="T101" s="1255"/>
      <c r="U101" s="1255"/>
      <c r="V101" s="1255"/>
      <c r="W101" s="1255"/>
      <c r="X101" s="1255"/>
      <c r="Y101" s="1255"/>
      <c r="Z101" s="1255"/>
      <c r="AA101" s="1255"/>
      <c r="AB101" s="1255"/>
      <c r="AC101" s="1255"/>
      <c r="AD101" s="1255"/>
      <c r="AE101" s="1255"/>
      <c r="AF101" s="1255"/>
      <c r="AG101" s="1255"/>
      <c r="AH101" s="1255"/>
      <c r="AI101" s="1255"/>
      <c r="AJ101" s="1255"/>
      <c r="AK101" s="1255"/>
      <c r="AL101" s="1255"/>
    </row>
    <row r="102" spans="3:38" ht="14.4" hidden="1" customHeight="1" x14ac:dyDescent="0.3">
      <c r="T102" s="1255"/>
      <c r="U102" s="1255"/>
      <c r="V102" s="1255"/>
      <c r="W102" s="1255"/>
      <c r="X102" s="1255"/>
      <c r="Y102" s="1255"/>
      <c r="Z102" s="1255"/>
      <c r="AA102" s="1255"/>
      <c r="AB102" s="1255"/>
      <c r="AC102" s="1255"/>
      <c r="AD102" s="1255"/>
      <c r="AE102" s="1255"/>
      <c r="AF102" s="1255"/>
      <c r="AG102" s="1255"/>
      <c r="AH102" s="1255"/>
      <c r="AI102" s="1255"/>
      <c r="AJ102" s="1255"/>
      <c r="AK102" s="1255"/>
      <c r="AL102" s="1255"/>
    </row>
    <row r="103" spans="3:38" ht="14.4" hidden="1" customHeight="1" x14ac:dyDescent="0.3">
      <c r="T103" s="1255"/>
      <c r="U103" s="1255"/>
      <c r="V103" s="1255"/>
      <c r="W103" s="1255"/>
      <c r="X103" s="1255"/>
      <c r="Y103" s="1255"/>
      <c r="Z103" s="1255"/>
      <c r="AA103" s="1255"/>
      <c r="AB103" s="1255"/>
      <c r="AC103" s="1255"/>
      <c r="AD103" s="1255"/>
      <c r="AE103" s="1255"/>
      <c r="AF103" s="1255"/>
      <c r="AG103" s="1255"/>
      <c r="AH103" s="1255"/>
      <c r="AI103" s="1255"/>
      <c r="AJ103" s="1255"/>
      <c r="AK103" s="1255"/>
      <c r="AL103" s="1255"/>
    </row>
    <row r="104" spans="3:38" ht="14.4" hidden="1" customHeight="1" x14ac:dyDescent="0.3">
      <c r="T104" s="1255"/>
      <c r="U104" s="1255"/>
      <c r="V104" s="1255"/>
      <c r="W104" s="1255"/>
      <c r="X104" s="1255"/>
      <c r="Y104" s="1255"/>
      <c r="Z104" s="1255"/>
      <c r="AA104" s="1255"/>
      <c r="AB104" s="1255"/>
      <c r="AC104" s="1255"/>
      <c r="AD104" s="1255"/>
      <c r="AE104" s="1255"/>
      <c r="AF104" s="1255"/>
      <c r="AG104" s="1255"/>
      <c r="AH104" s="1255"/>
      <c r="AI104" s="1255"/>
      <c r="AJ104" s="1255"/>
      <c r="AK104" s="1255"/>
      <c r="AL104" s="1255"/>
    </row>
    <row r="105" spans="3:38" ht="14.4" hidden="1" customHeight="1" x14ac:dyDescent="0.3">
      <c r="T105" s="1255"/>
      <c r="U105" s="1255"/>
      <c r="V105" s="1255"/>
      <c r="W105" s="1255"/>
      <c r="X105" s="1255"/>
      <c r="Y105" s="1255"/>
      <c r="Z105" s="1255"/>
      <c r="AA105" s="1255"/>
      <c r="AB105" s="1255"/>
      <c r="AC105" s="1255"/>
      <c r="AD105" s="1255"/>
      <c r="AE105" s="1255"/>
      <c r="AF105" s="1255"/>
      <c r="AG105" s="1255"/>
      <c r="AH105" s="1255"/>
      <c r="AI105" s="1255"/>
      <c r="AJ105" s="1255"/>
      <c r="AK105" s="1255"/>
      <c r="AL105" s="1255"/>
    </row>
    <row r="106" spans="3:38" ht="14.4" hidden="1" customHeight="1" x14ac:dyDescent="0.3">
      <c r="T106" s="1255"/>
      <c r="U106" s="1255"/>
      <c r="V106" s="1255"/>
      <c r="W106" s="1255"/>
      <c r="X106" s="1255"/>
      <c r="Y106" s="1255"/>
      <c r="Z106" s="1255"/>
      <c r="AA106" s="1255"/>
      <c r="AB106" s="1255"/>
      <c r="AC106" s="1255"/>
      <c r="AD106" s="1255"/>
      <c r="AE106" s="1255"/>
      <c r="AF106" s="1255"/>
      <c r="AG106" s="1255"/>
      <c r="AH106" s="1255"/>
      <c r="AI106" s="1255"/>
      <c r="AJ106" s="1255"/>
      <c r="AK106" s="1255"/>
      <c r="AL106" s="1255"/>
    </row>
    <row r="107" spans="3:38" ht="14.4" hidden="1" customHeight="1" x14ac:dyDescent="0.3">
      <c r="T107" s="1255"/>
      <c r="U107" s="1255"/>
      <c r="V107" s="1255"/>
      <c r="W107" s="1255"/>
      <c r="X107" s="1255"/>
      <c r="Y107" s="1255"/>
      <c r="Z107" s="1255"/>
      <c r="AA107" s="1255"/>
      <c r="AB107" s="1255"/>
      <c r="AC107" s="1255"/>
      <c r="AD107" s="1255"/>
      <c r="AE107" s="1255"/>
      <c r="AF107" s="1255"/>
      <c r="AG107" s="1255"/>
      <c r="AH107" s="1255"/>
      <c r="AI107" s="1255"/>
      <c r="AJ107" s="1255"/>
      <c r="AK107" s="1255"/>
      <c r="AL107" s="1255"/>
    </row>
    <row r="108" spans="3:38" ht="14.4" hidden="1" customHeight="1" x14ac:dyDescent="0.3">
      <c r="T108" s="1255"/>
      <c r="U108" s="1255"/>
      <c r="V108" s="1255"/>
      <c r="W108" s="1255"/>
      <c r="X108" s="1255"/>
      <c r="Y108" s="1255"/>
      <c r="Z108" s="1255"/>
      <c r="AA108" s="1255"/>
      <c r="AB108" s="1255"/>
      <c r="AC108" s="1255"/>
      <c r="AD108" s="1255"/>
      <c r="AE108" s="1255"/>
      <c r="AF108" s="1255"/>
      <c r="AG108" s="1255"/>
      <c r="AH108" s="1255"/>
      <c r="AI108" s="1255"/>
      <c r="AJ108" s="1255"/>
      <c r="AK108" s="1255"/>
      <c r="AL108" s="1255"/>
    </row>
    <row r="109" spans="3:38" ht="14.4" hidden="1" customHeight="1" x14ac:dyDescent="0.3">
      <c r="T109" s="1255"/>
      <c r="U109" s="1255"/>
      <c r="V109" s="1255"/>
      <c r="W109" s="1255"/>
      <c r="X109" s="1255"/>
      <c r="Y109" s="1255"/>
      <c r="Z109" s="1255"/>
      <c r="AA109" s="1255"/>
      <c r="AB109" s="1255"/>
      <c r="AC109" s="1255"/>
      <c r="AD109" s="1255"/>
      <c r="AE109" s="1255"/>
      <c r="AF109" s="1255"/>
      <c r="AG109" s="1255"/>
      <c r="AH109" s="1255"/>
      <c r="AI109" s="1255"/>
      <c r="AJ109" s="1255"/>
      <c r="AK109" s="1255"/>
      <c r="AL109" s="1255"/>
    </row>
    <row r="110" spans="3:38" ht="14.4" hidden="1" customHeight="1" x14ac:dyDescent="0.3">
      <c r="T110" s="1255"/>
      <c r="U110" s="1255"/>
      <c r="V110" s="1255"/>
      <c r="W110" s="1255"/>
      <c r="X110" s="1255"/>
      <c r="Y110" s="1255"/>
      <c r="Z110" s="1255"/>
      <c r="AA110" s="1255"/>
      <c r="AB110" s="1255"/>
      <c r="AC110" s="1255"/>
      <c r="AD110" s="1255"/>
      <c r="AE110" s="1255"/>
      <c r="AF110" s="1255"/>
      <c r="AG110" s="1255"/>
      <c r="AH110" s="1255"/>
      <c r="AI110" s="1255"/>
      <c r="AJ110" s="1255"/>
      <c r="AK110" s="1255"/>
      <c r="AL110" s="1255"/>
    </row>
    <row r="111" spans="3:38" ht="14.4" hidden="1" customHeight="1" x14ac:dyDescent="0.3">
      <c r="T111" s="1255"/>
      <c r="U111" s="1255"/>
      <c r="V111" s="1255"/>
      <c r="W111" s="1255"/>
      <c r="X111" s="1255"/>
      <c r="Y111" s="1255"/>
      <c r="Z111" s="1255"/>
      <c r="AA111" s="1255"/>
      <c r="AB111" s="1255"/>
      <c r="AC111" s="1255"/>
      <c r="AD111" s="1255"/>
      <c r="AE111" s="1255"/>
      <c r="AF111" s="1255"/>
      <c r="AG111" s="1255"/>
      <c r="AH111" s="1255"/>
      <c r="AI111" s="1255"/>
      <c r="AJ111" s="1255"/>
      <c r="AK111" s="1255"/>
      <c r="AL111" s="1255"/>
    </row>
    <row r="112" spans="3:38" ht="14.4" hidden="1" customHeight="1" x14ac:dyDescent="0.3">
      <c r="T112" s="1255"/>
      <c r="U112" s="1255"/>
      <c r="V112" s="1255"/>
      <c r="W112" s="1255"/>
      <c r="X112" s="1255"/>
      <c r="Y112" s="1255"/>
      <c r="Z112" s="1255"/>
      <c r="AA112" s="1255"/>
      <c r="AB112" s="1255"/>
      <c r="AC112" s="1255"/>
      <c r="AD112" s="1255"/>
      <c r="AE112" s="1255"/>
      <c r="AF112" s="1255"/>
      <c r="AG112" s="1255"/>
      <c r="AH112" s="1255"/>
      <c r="AI112" s="1255"/>
      <c r="AJ112" s="1255"/>
      <c r="AK112" s="1255"/>
      <c r="AL112" s="1255"/>
    </row>
    <row r="113" spans="20:38" ht="14.4" hidden="1" customHeight="1" x14ac:dyDescent="0.3">
      <c r="T113" s="1255"/>
      <c r="U113" s="1255"/>
      <c r="V113" s="1255"/>
      <c r="W113" s="1255"/>
      <c r="X113" s="1255"/>
      <c r="Y113" s="1255"/>
      <c r="Z113" s="1255"/>
      <c r="AA113" s="1255"/>
      <c r="AB113" s="1255"/>
      <c r="AC113" s="1255"/>
      <c r="AD113" s="1255"/>
      <c r="AE113" s="1255"/>
      <c r="AF113" s="1255"/>
      <c r="AG113" s="1255"/>
      <c r="AH113" s="1255"/>
      <c r="AI113" s="1255"/>
      <c r="AJ113" s="1255"/>
      <c r="AK113" s="1255"/>
      <c r="AL113" s="1255"/>
    </row>
    <row r="114" spans="20:38" ht="14.4" hidden="1" customHeight="1" x14ac:dyDescent="0.3">
      <c r="T114" s="1255"/>
      <c r="U114" s="1255"/>
      <c r="V114" s="1255"/>
      <c r="W114" s="1255"/>
      <c r="X114" s="1255"/>
      <c r="Y114" s="1255"/>
      <c r="Z114" s="1255"/>
      <c r="AA114" s="1255"/>
      <c r="AB114" s="1255"/>
      <c r="AC114" s="1255"/>
      <c r="AD114" s="1255"/>
      <c r="AE114" s="1255"/>
      <c r="AF114" s="1255"/>
      <c r="AG114" s="1255"/>
      <c r="AH114" s="1255"/>
      <c r="AI114" s="1255"/>
      <c r="AJ114" s="1255"/>
      <c r="AK114" s="1255"/>
      <c r="AL114" s="1255"/>
    </row>
    <row r="115" spans="20:38" ht="14.4" hidden="1" customHeight="1" x14ac:dyDescent="0.3">
      <c r="T115" s="1255"/>
      <c r="U115" s="1255"/>
      <c r="V115" s="1255"/>
      <c r="W115" s="1255"/>
      <c r="X115" s="1255"/>
      <c r="Y115" s="1255"/>
      <c r="Z115" s="1255"/>
      <c r="AA115" s="1255"/>
      <c r="AB115" s="1255"/>
      <c r="AC115" s="1255"/>
      <c r="AD115" s="1255"/>
      <c r="AE115" s="1255"/>
      <c r="AF115" s="1255"/>
      <c r="AG115" s="1255"/>
      <c r="AH115" s="1255"/>
      <c r="AI115" s="1255"/>
      <c r="AJ115" s="1255"/>
      <c r="AK115" s="1255"/>
      <c r="AL115" s="1255"/>
    </row>
    <row r="116" spans="20:38" ht="14.4" hidden="1" customHeight="1" x14ac:dyDescent="0.3">
      <c r="T116" s="1255"/>
      <c r="U116" s="1255"/>
      <c r="V116" s="1255"/>
      <c r="W116" s="1255"/>
      <c r="X116" s="1255"/>
      <c r="Y116" s="1255"/>
      <c r="Z116" s="1255"/>
      <c r="AA116" s="1255"/>
      <c r="AB116" s="1255"/>
      <c r="AC116" s="1255"/>
      <c r="AD116" s="1255"/>
      <c r="AE116" s="1255"/>
      <c r="AF116" s="1255"/>
      <c r="AG116" s="1255"/>
      <c r="AH116" s="1255"/>
      <c r="AI116" s="1255"/>
      <c r="AJ116" s="1255"/>
      <c r="AK116" s="1255"/>
      <c r="AL116" s="1255"/>
    </row>
    <row r="117" spans="20:38" ht="14.4" hidden="1" customHeight="1" x14ac:dyDescent="0.3">
      <c r="T117" s="1255"/>
      <c r="U117" s="1255"/>
      <c r="V117" s="1255"/>
      <c r="W117" s="1255"/>
      <c r="X117" s="1255"/>
      <c r="Y117" s="1255"/>
      <c r="Z117" s="1255"/>
      <c r="AA117" s="1255"/>
      <c r="AB117" s="1255"/>
      <c r="AC117" s="1255"/>
      <c r="AD117" s="1255"/>
      <c r="AE117" s="1255"/>
      <c r="AF117" s="1255"/>
      <c r="AG117" s="1255"/>
      <c r="AH117" s="1255"/>
      <c r="AI117" s="1255"/>
      <c r="AJ117" s="1255"/>
      <c r="AK117" s="1255"/>
      <c r="AL117" s="1255"/>
    </row>
    <row r="118" spans="20:38" ht="14.4" hidden="1" customHeight="1" x14ac:dyDescent="0.3">
      <c r="T118" s="1255"/>
      <c r="U118" s="1255"/>
      <c r="V118" s="1255"/>
      <c r="W118" s="1255"/>
      <c r="X118" s="1255"/>
      <c r="Y118" s="1255"/>
      <c r="Z118" s="1255"/>
      <c r="AA118" s="1255"/>
      <c r="AB118" s="1255"/>
      <c r="AC118" s="1255"/>
      <c r="AD118" s="1255"/>
      <c r="AE118" s="1255"/>
      <c r="AF118" s="1255"/>
      <c r="AG118" s="1255"/>
      <c r="AH118" s="1255"/>
      <c r="AI118" s="1255"/>
      <c r="AJ118" s="1255"/>
      <c r="AK118" s="1255"/>
      <c r="AL118" s="1255"/>
    </row>
    <row r="119" spans="20:38" ht="14.4" hidden="1" customHeight="1" x14ac:dyDescent="0.3">
      <c r="T119" s="1255"/>
      <c r="U119" s="1255"/>
      <c r="V119" s="1255"/>
      <c r="W119" s="1255"/>
      <c r="X119" s="1255"/>
      <c r="Y119" s="1255"/>
      <c r="Z119" s="1255"/>
      <c r="AA119" s="1255"/>
      <c r="AB119" s="1255"/>
      <c r="AC119" s="1255"/>
      <c r="AD119" s="1255"/>
      <c r="AE119" s="1255"/>
      <c r="AF119" s="1255"/>
      <c r="AG119" s="1255"/>
      <c r="AH119" s="1255"/>
      <c r="AI119" s="1255"/>
      <c r="AJ119" s="1255"/>
      <c r="AK119" s="1255"/>
      <c r="AL119" s="1255"/>
    </row>
    <row r="120" spans="20:38" ht="14.4" hidden="1" customHeight="1" x14ac:dyDescent="0.3">
      <c r="T120" s="1255"/>
      <c r="U120" s="1255"/>
      <c r="V120" s="1255"/>
      <c r="W120" s="1255"/>
      <c r="X120" s="1255"/>
      <c r="Y120" s="1255"/>
      <c r="Z120" s="1255"/>
      <c r="AA120" s="1255"/>
      <c r="AB120" s="1255"/>
      <c r="AC120" s="1255"/>
      <c r="AD120" s="1255"/>
      <c r="AE120" s="1255"/>
      <c r="AF120" s="1255"/>
      <c r="AG120" s="1255"/>
      <c r="AH120" s="1255"/>
      <c r="AI120" s="1255"/>
      <c r="AJ120" s="1255"/>
      <c r="AK120" s="1255"/>
      <c r="AL120" s="1255"/>
    </row>
    <row r="121" spans="20:38" ht="14.4" hidden="1" customHeight="1" x14ac:dyDescent="0.3">
      <c r="T121" s="1255"/>
      <c r="U121" s="1255"/>
      <c r="V121" s="1255"/>
      <c r="W121" s="1255"/>
      <c r="X121" s="1255"/>
      <c r="Y121" s="1255"/>
      <c r="Z121" s="1255"/>
      <c r="AA121" s="1255"/>
      <c r="AB121" s="1255"/>
      <c r="AC121" s="1255"/>
      <c r="AD121" s="1255"/>
      <c r="AE121" s="1255"/>
      <c r="AF121" s="1255"/>
      <c r="AG121" s="1255"/>
      <c r="AH121" s="1255"/>
      <c r="AI121" s="1255"/>
      <c r="AJ121" s="1255"/>
      <c r="AK121" s="1255"/>
      <c r="AL121" s="1255"/>
    </row>
    <row r="122" spans="20:38" ht="14.4" hidden="1" customHeight="1" x14ac:dyDescent="0.3">
      <c r="T122" s="1255"/>
      <c r="U122" s="1255"/>
      <c r="V122" s="1255"/>
      <c r="W122" s="1255"/>
      <c r="X122" s="1255"/>
      <c r="Y122" s="1255"/>
      <c r="Z122" s="1255"/>
      <c r="AA122" s="1255"/>
      <c r="AB122" s="1255"/>
      <c r="AC122" s="1255"/>
      <c r="AD122" s="1255"/>
      <c r="AE122" s="1255"/>
      <c r="AF122" s="1255"/>
      <c r="AG122" s="1255"/>
      <c r="AH122" s="1255"/>
      <c r="AI122" s="1255"/>
      <c r="AJ122" s="1255"/>
      <c r="AK122" s="1255"/>
      <c r="AL122" s="1255"/>
    </row>
    <row r="123" spans="20:38" ht="14.4" hidden="1" customHeight="1" x14ac:dyDescent="0.3">
      <c r="T123" s="1255"/>
      <c r="U123" s="1255"/>
      <c r="V123" s="1255"/>
      <c r="W123" s="1255"/>
      <c r="X123" s="1255"/>
      <c r="Y123" s="1255"/>
      <c r="Z123" s="1255"/>
      <c r="AA123" s="1255"/>
      <c r="AB123" s="1255"/>
      <c r="AC123" s="1255"/>
      <c r="AD123" s="1255"/>
      <c r="AE123" s="1255"/>
      <c r="AF123" s="1255"/>
      <c r="AG123" s="1255"/>
      <c r="AH123" s="1255"/>
      <c r="AI123" s="1255"/>
      <c r="AJ123" s="1255"/>
      <c r="AK123" s="1255"/>
      <c r="AL123" s="1255"/>
    </row>
    <row r="124" spans="20:38" ht="14.4" hidden="1" customHeight="1" x14ac:dyDescent="0.3">
      <c r="T124" s="1255"/>
      <c r="U124" s="1255"/>
      <c r="V124" s="1255"/>
      <c r="W124" s="1255"/>
      <c r="X124" s="1255"/>
      <c r="Y124" s="1255"/>
      <c r="Z124" s="1255"/>
      <c r="AA124" s="1255"/>
      <c r="AB124" s="1255"/>
      <c r="AC124" s="1255"/>
      <c r="AD124" s="1255"/>
      <c r="AE124" s="1255"/>
      <c r="AF124" s="1255"/>
      <c r="AG124" s="1255"/>
      <c r="AH124" s="1255"/>
      <c r="AI124" s="1255"/>
      <c r="AJ124" s="1255"/>
      <c r="AK124" s="1255"/>
      <c r="AL124" s="1255"/>
    </row>
    <row r="125" spans="20:38" ht="14.4" hidden="1" customHeight="1" x14ac:dyDescent="0.3">
      <c r="T125" s="1255"/>
      <c r="U125" s="1255"/>
      <c r="V125" s="1255"/>
      <c r="W125" s="1255"/>
      <c r="X125" s="1255"/>
      <c r="Y125" s="1255"/>
      <c r="Z125" s="1255"/>
      <c r="AA125" s="1255"/>
      <c r="AB125" s="1255"/>
      <c r="AC125" s="1255"/>
      <c r="AD125" s="1255"/>
      <c r="AE125" s="1255"/>
      <c r="AF125" s="1255"/>
      <c r="AG125" s="1255"/>
      <c r="AH125" s="1255"/>
      <c r="AI125" s="1255"/>
      <c r="AJ125" s="1255"/>
      <c r="AK125" s="1255"/>
      <c r="AL125" s="1255"/>
    </row>
    <row r="126" spans="20:38" ht="14.4" hidden="1" customHeight="1" x14ac:dyDescent="0.3">
      <c r="T126" s="1255"/>
      <c r="U126" s="1255"/>
      <c r="V126" s="1255"/>
      <c r="W126" s="1255"/>
      <c r="X126" s="1255"/>
      <c r="Y126" s="1255"/>
      <c r="Z126" s="1255"/>
      <c r="AA126" s="1255"/>
      <c r="AB126" s="1255"/>
      <c r="AC126" s="1255"/>
      <c r="AD126" s="1255"/>
      <c r="AE126" s="1255"/>
      <c r="AF126" s="1255"/>
      <c r="AG126" s="1255"/>
      <c r="AH126" s="1255"/>
      <c r="AI126" s="1255"/>
      <c r="AJ126" s="1255"/>
      <c r="AK126" s="1255"/>
      <c r="AL126" s="1255"/>
    </row>
    <row r="127" spans="20:38" ht="14.4" hidden="1" customHeight="1" x14ac:dyDescent="0.3">
      <c r="T127" s="1255"/>
      <c r="U127" s="1255"/>
      <c r="V127" s="1255"/>
      <c r="W127" s="1255"/>
      <c r="X127" s="1255"/>
      <c r="Y127" s="1255"/>
      <c r="Z127" s="1255"/>
      <c r="AA127" s="1255"/>
      <c r="AB127" s="1255"/>
      <c r="AC127" s="1255"/>
      <c r="AD127" s="1255"/>
      <c r="AE127" s="1255"/>
      <c r="AF127" s="1255"/>
      <c r="AG127" s="1255"/>
      <c r="AH127" s="1255"/>
      <c r="AI127" s="1255"/>
      <c r="AJ127" s="1255"/>
      <c r="AK127" s="1255"/>
      <c r="AL127" s="1255"/>
    </row>
    <row r="128" spans="20:38" ht="14.4" hidden="1" customHeight="1" x14ac:dyDescent="0.3">
      <c r="T128" s="1255"/>
      <c r="U128" s="1255"/>
      <c r="V128" s="1255"/>
      <c r="W128" s="1255"/>
      <c r="X128" s="1255"/>
      <c r="Y128" s="1255"/>
      <c r="Z128" s="1255"/>
      <c r="AA128" s="1255"/>
      <c r="AB128" s="1255"/>
      <c r="AC128" s="1255"/>
      <c r="AD128" s="1255"/>
      <c r="AE128" s="1255"/>
      <c r="AF128" s="1255"/>
      <c r="AG128" s="1255"/>
      <c r="AH128" s="1255"/>
      <c r="AI128" s="1255"/>
      <c r="AJ128" s="1255"/>
      <c r="AK128" s="1255"/>
      <c r="AL128" s="1255"/>
    </row>
    <row r="129" spans="20:38" ht="14.4" hidden="1" customHeight="1" x14ac:dyDescent="0.3">
      <c r="T129" s="1255"/>
      <c r="U129" s="1255"/>
      <c r="V129" s="1255"/>
      <c r="W129" s="1255"/>
      <c r="X129" s="1255"/>
      <c r="Y129" s="1255"/>
      <c r="Z129" s="1255"/>
      <c r="AA129" s="1255"/>
      <c r="AB129" s="1255"/>
      <c r="AC129" s="1255"/>
      <c r="AD129" s="1255"/>
      <c r="AE129" s="1255"/>
      <c r="AF129" s="1255"/>
      <c r="AG129" s="1255"/>
      <c r="AH129" s="1255"/>
      <c r="AI129" s="1255"/>
      <c r="AJ129" s="1255"/>
      <c r="AK129" s="1255"/>
      <c r="AL129" s="1255"/>
    </row>
    <row r="130" spans="20:38" ht="14.4" hidden="1" customHeight="1" x14ac:dyDescent="0.3">
      <c r="T130" s="1255"/>
      <c r="U130" s="1255"/>
      <c r="V130" s="1255"/>
      <c r="W130" s="1255"/>
      <c r="X130" s="1255"/>
      <c r="Y130" s="1255"/>
      <c r="Z130" s="1255"/>
      <c r="AA130" s="1255"/>
      <c r="AB130" s="1255"/>
      <c r="AC130" s="1255"/>
      <c r="AD130" s="1255"/>
      <c r="AE130" s="1255"/>
      <c r="AF130" s="1255"/>
      <c r="AG130" s="1255"/>
      <c r="AH130" s="1255"/>
      <c r="AI130" s="1255"/>
      <c r="AJ130" s="1255"/>
      <c r="AK130" s="1255"/>
      <c r="AL130" s="1255"/>
    </row>
    <row r="131" spans="20:38" ht="14.4" hidden="1" customHeight="1" x14ac:dyDescent="0.3">
      <c r="T131" s="1255"/>
      <c r="U131" s="1255"/>
      <c r="V131" s="1255"/>
      <c r="W131" s="1255"/>
      <c r="X131" s="1255"/>
      <c r="Y131" s="1255"/>
      <c r="Z131" s="1255"/>
      <c r="AA131" s="1255"/>
      <c r="AB131" s="1255"/>
      <c r="AC131" s="1255"/>
      <c r="AD131" s="1255"/>
      <c r="AE131" s="1255"/>
      <c r="AF131" s="1255"/>
      <c r="AG131" s="1255"/>
      <c r="AH131" s="1255"/>
      <c r="AI131" s="1255"/>
      <c r="AJ131" s="1255"/>
      <c r="AK131" s="1255"/>
      <c r="AL131" s="1255"/>
    </row>
    <row r="132" spans="20:38" ht="14.4" hidden="1" customHeight="1" x14ac:dyDescent="0.3">
      <c r="T132" s="1255"/>
      <c r="U132" s="1255"/>
      <c r="V132" s="1255"/>
      <c r="W132" s="1255"/>
      <c r="X132" s="1255"/>
      <c r="Y132" s="1255"/>
      <c r="Z132" s="1255"/>
      <c r="AA132" s="1255"/>
      <c r="AB132" s="1255"/>
      <c r="AC132" s="1255"/>
      <c r="AD132" s="1255"/>
      <c r="AE132" s="1255"/>
      <c r="AF132" s="1255"/>
      <c r="AG132" s="1255"/>
      <c r="AH132" s="1255"/>
      <c r="AI132" s="1255"/>
      <c r="AJ132" s="1255"/>
      <c r="AK132" s="1255"/>
      <c r="AL132" s="1255"/>
    </row>
    <row r="133" spans="20:38" ht="14.4" hidden="1" customHeight="1" x14ac:dyDescent="0.3">
      <c r="T133" s="1255"/>
      <c r="U133" s="1255"/>
      <c r="V133" s="1255"/>
      <c r="W133" s="1255"/>
      <c r="X133" s="1255"/>
      <c r="Y133" s="1255"/>
      <c r="Z133" s="1255"/>
      <c r="AA133" s="1255"/>
      <c r="AB133" s="1255"/>
      <c r="AC133" s="1255"/>
      <c r="AD133" s="1255"/>
      <c r="AE133" s="1255"/>
      <c r="AF133" s="1255"/>
      <c r="AG133" s="1255"/>
      <c r="AH133" s="1255"/>
      <c r="AI133" s="1255"/>
      <c r="AJ133" s="1255"/>
      <c r="AK133" s="1255"/>
      <c r="AL133" s="1255"/>
    </row>
    <row r="134" spans="20:38" ht="14.4" hidden="1" customHeight="1" x14ac:dyDescent="0.3">
      <c r="T134" s="1255"/>
      <c r="U134" s="1255"/>
      <c r="V134" s="1255"/>
      <c r="W134" s="1255"/>
      <c r="X134" s="1255"/>
      <c r="Y134" s="1255"/>
      <c r="Z134" s="1255"/>
      <c r="AA134" s="1255"/>
      <c r="AB134" s="1255"/>
      <c r="AC134" s="1255"/>
      <c r="AD134" s="1255"/>
      <c r="AE134" s="1255"/>
      <c r="AF134" s="1255"/>
      <c r="AG134" s="1255"/>
      <c r="AH134" s="1255"/>
      <c r="AI134" s="1255"/>
      <c r="AJ134" s="1255"/>
      <c r="AK134" s="1255"/>
      <c r="AL134" s="1255"/>
    </row>
    <row r="135" spans="20:38" ht="14.4" hidden="1" customHeight="1" x14ac:dyDescent="0.3">
      <c r="T135" s="1255"/>
      <c r="U135" s="1255"/>
      <c r="V135" s="1255"/>
      <c r="W135" s="1255"/>
      <c r="X135" s="1255"/>
      <c r="Y135" s="1255"/>
      <c r="Z135" s="1255"/>
      <c r="AA135" s="1255"/>
      <c r="AB135" s="1255"/>
      <c r="AC135" s="1255"/>
      <c r="AD135" s="1255"/>
      <c r="AE135" s="1255"/>
      <c r="AF135" s="1255"/>
      <c r="AG135" s="1255"/>
      <c r="AH135" s="1255"/>
      <c r="AI135" s="1255"/>
      <c r="AJ135" s="1255"/>
      <c r="AK135" s="1255"/>
      <c r="AL135" s="1255"/>
    </row>
    <row r="136" spans="20:38" ht="14.4" hidden="1" customHeight="1" x14ac:dyDescent="0.3">
      <c r="T136" s="1255"/>
      <c r="U136" s="1255"/>
      <c r="V136" s="1255"/>
      <c r="W136" s="1255"/>
      <c r="X136" s="1255"/>
      <c r="Y136" s="1255"/>
      <c r="Z136" s="1255"/>
      <c r="AA136" s="1255"/>
      <c r="AB136" s="1255"/>
      <c r="AC136" s="1255"/>
      <c r="AD136" s="1255"/>
      <c r="AE136" s="1255"/>
      <c r="AF136" s="1255"/>
      <c r="AG136" s="1255"/>
      <c r="AH136" s="1255"/>
      <c r="AI136" s="1255"/>
      <c r="AJ136" s="1255"/>
      <c r="AK136" s="1255"/>
      <c r="AL136" s="1255"/>
    </row>
    <row r="137" spans="20:38" ht="14.4" hidden="1" customHeight="1" x14ac:dyDescent="0.3">
      <c r="T137" s="1255"/>
      <c r="U137" s="1255"/>
      <c r="V137" s="1255"/>
      <c r="W137" s="1255"/>
      <c r="X137" s="1255"/>
      <c r="Y137" s="1255"/>
      <c r="Z137" s="1255"/>
      <c r="AA137" s="1255"/>
      <c r="AB137" s="1255"/>
      <c r="AC137" s="1255"/>
      <c r="AD137" s="1255"/>
      <c r="AE137" s="1255"/>
      <c r="AF137" s="1255"/>
      <c r="AG137" s="1255"/>
      <c r="AH137" s="1255"/>
      <c r="AI137" s="1255"/>
      <c r="AJ137" s="1255"/>
      <c r="AK137" s="1255"/>
      <c r="AL137" s="1255"/>
    </row>
    <row r="138" spans="20:38" ht="14.4" hidden="1" customHeight="1" x14ac:dyDescent="0.3">
      <c r="T138" s="1255"/>
      <c r="U138" s="1255"/>
      <c r="V138" s="1255"/>
      <c r="W138" s="1255"/>
      <c r="X138" s="1255"/>
      <c r="Y138" s="1255"/>
      <c r="Z138" s="1255"/>
      <c r="AA138" s="1255"/>
      <c r="AB138" s="1255"/>
      <c r="AC138" s="1255"/>
      <c r="AD138" s="1255"/>
      <c r="AE138" s="1255"/>
      <c r="AF138" s="1255"/>
      <c r="AG138" s="1255"/>
      <c r="AH138" s="1255"/>
      <c r="AI138" s="1255"/>
      <c r="AJ138" s="1255"/>
      <c r="AK138" s="1255"/>
      <c r="AL138" s="1255"/>
    </row>
  </sheetData>
  <sheetProtection algorithmName="SHA-512" hashValue="r6/BzPsHQrC1FeKEGGERZHSRFRRZWiWFxoSzIQXKzJfnw3SF4LoYIn3hZk8uWXakaL+ZYB8NG+fTRkhudqz6Fw==" saltValue="klxQO+O4bE5ZxEKoRrwIUw==" spinCount="100000" sheet="1" objects="1" scenarios="1" selectLockedCells="1"/>
  <mergeCells count="94">
    <mergeCell ref="AQ7:AQ27"/>
    <mergeCell ref="A2:AJ3"/>
    <mergeCell ref="AP2:AS3"/>
    <mergeCell ref="BD3:BH3"/>
    <mergeCell ref="BI3:BM3"/>
    <mergeCell ref="B5:D5"/>
    <mergeCell ref="F5:H5"/>
    <mergeCell ref="J5:L5"/>
    <mergeCell ref="N5:P5"/>
    <mergeCell ref="R5:T5"/>
    <mergeCell ref="V5:X5"/>
    <mergeCell ref="B7:F7"/>
    <mergeCell ref="S7:U7"/>
    <mergeCell ref="AJ7:AJ8"/>
    <mergeCell ref="B8:F8"/>
    <mergeCell ref="H8:Q8"/>
    <mergeCell ref="M10:Q10"/>
    <mergeCell ref="AC8:AG8"/>
    <mergeCell ref="B9:F9"/>
    <mergeCell ref="H9:Q9"/>
    <mergeCell ref="AC9:AD9"/>
    <mergeCell ref="S8:Y9"/>
    <mergeCell ref="AF9:AK9"/>
    <mergeCell ref="AD10:AD12"/>
    <mergeCell ref="AE10:AE16"/>
    <mergeCell ref="AD14:AD21"/>
    <mergeCell ref="AB19:AC19"/>
    <mergeCell ref="S13:Y17"/>
    <mergeCell ref="S10:Y12"/>
    <mergeCell ref="S18:Y23"/>
    <mergeCell ref="H10:L10"/>
    <mergeCell ref="B13:F13"/>
    <mergeCell ref="B14:F14"/>
    <mergeCell ref="B19:F19"/>
    <mergeCell ref="B21:F21"/>
    <mergeCell ref="H23:Q23"/>
    <mergeCell ref="H13:Q13"/>
    <mergeCell ref="H14:Q14"/>
    <mergeCell ref="H18:Q18"/>
    <mergeCell ref="H19:Q19"/>
    <mergeCell ref="N20:Q20"/>
    <mergeCell ref="H21:J22"/>
    <mergeCell ref="K21:M22"/>
    <mergeCell ref="N21:Q22"/>
    <mergeCell ref="B11:F11"/>
    <mergeCell ref="H11:L11"/>
    <mergeCell ref="M11:Q11"/>
    <mergeCell ref="B12:F12"/>
    <mergeCell ref="H12:Q12"/>
    <mergeCell ref="AR14:AR18"/>
    <mergeCell ref="B15:F15"/>
    <mergeCell ref="H15:Q15"/>
    <mergeCell ref="B16:E16"/>
    <mergeCell ref="F16:I16"/>
    <mergeCell ref="J16:M16"/>
    <mergeCell ref="N16:Q16"/>
    <mergeCell ref="B17:F17"/>
    <mergeCell ref="H17:Q17"/>
    <mergeCell ref="B18:F18"/>
    <mergeCell ref="AM14:AM21"/>
    <mergeCell ref="AN19:AO19"/>
    <mergeCell ref="AR19:AR23"/>
    <mergeCell ref="B20:E20"/>
    <mergeCell ref="F20:I20"/>
    <mergeCell ref="J20:M20"/>
    <mergeCell ref="B24:F24"/>
    <mergeCell ref="H24:Q24"/>
    <mergeCell ref="AC24:AG24"/>
    <mergeCell ref="B25:F25"/>
    <mergeCell ref="H25:Q25"/>
    <mergeCell ref="S24:U24"/>
    <mergeCell ref="S25:Y31"/>
    <mergeCell ref="AF25:AK25"/>
    <mergeCell ref="B26:F26"/>
    <mergeCell ref="H26:Q26"/>
    <mergeCell ref="AJ26:AJ27"/>
    <mergeCell ref="B27:F27"/>
    <mergeCell ref="H27:Q27"/>
    <mergeCell ref="G7:R7"/>
    <mergeCell ref="AI30:AK30"/>
    <mergeCell ref="AO31:AR32"/>
    <mergeCell ref="B32:Q32"/>
    <mergeCell ref="B28:F28"/>
    <mergeCell ref="H28:Q28"/>
    <mergeCell ref="H29:I29"/>
    <mergeCell ref="J29:Q29"/>
    <mergeCell ref="B30:J31"/>
    <mergeCell ref="K30:K31"/>
    <mergeCell ref="L30:Q31"/>
    <mergeCell ref="AF30:AH30"/>
    <mergeCell ref="AB29:AO29"/>
    <mergeCell ref="AM23:AM25"/>
    <mergeCell ref="AL19:AL25"/>
    <mergeCell ref="AC25:AD25"/>
  </mergeCells>
  <conditionalFormatting sqref="B9:G9">
    <cfRule type="expression" dxfId="283" priority="68">
      <formula>$B$9=0</formula>
    </cfRule>
  </conditionalFormatting>
  <conditionalFormatting sqref="B18:Q18">
    <cfRule type="expression" dxfId="282" priority="67">
      <formula>$B$18=0</formula>
    </cfRule>
  </conditionalFormatting>
  <conditionalFormatting sqref="B14:Q14">
    <cfRule type="expression" dxfId="281" priority="66">
      <formula>$B$14=0</formula>
    </cfRule>
  </conditionalFormatting>
  <conditionalFormatting sqref="B19:G19">
    <cfRule type="expression" dxfId="280" priority="64">
      <formula>$B$19=0</formula>
    </cfRule>
  </conditionalFormatting>
  <conditionalFormatting sqref="H23">
    <cfRule type="expression" dxfId="279" priority="69">
      <formula>$H$25&gt;0</formula>
    </cfRule>
  </conditionalFormatting>
  <conditionalFormatting sqref="AA9:AA10 AA24:AA25">
    <cfRule type="expression" dxfId="278" priority="78">
      <formula>$AU$17=1</formula>
    </cfRule>
  </conditionalFormatting>
  <conditionalFormatting sqref="AP9:AP10 AP24:AP25">
    <cfRule type="expression" dxfId="277" priority="79">
      <formula>$AU$17=2</formula>
    </cfRule>
  </conditionalFormatting>
  <conditionalFormatting sqref="AC6:AD6 AM6:AN6">
    <cfRule type="expression" dxfId="276" priority="80">
      <formula>$AU$17=3</formula>
    </cfRule>
  </conditionalFormatting>
  <conditionalFormatting sqref="AC28:AD28 AM28:AN28">
    <cfRule type="expression" dxfId="275" priority="81">
      <formula>$AU$17=4</formula>
    </cfRule>
  </conditionalFormatting>
  <conditionalFormatting sqref="AA16:AA17">
    <cfRule type="expression" dxfId="274" priority="90">
      <formula>$AU$24="1_3"</formula>
    </cfRule>
  </conditionalFormatting>
  <conditionalFormatting sqref="AP16:AP17">
    <cfRule type="expression" dxfId="273" priority="91">
      <formula>$AU$24="2_3"</formula>
    </cfRule>
  </conditionalFormatting>
  <conditionalFormatting sqref="AH6:AI6">
    <cfRule type="expression" dxfId="272" priority="92">
      <formula>$AU$24="3_3"</formula>
    </cfRule>
  </conditionalFormatting>
  <conditionalFormatting sqref="AH28:AI28">
    <cfRule type="expression" dxfId="271" priority="93">
      <formula>$AU$24="4_3"</formula>
    </cfRule>
  </conditionalFormatting>
  <conditionalFormatting sqref="B11:G11">
    <cfRule type="expression" dxfId="270" priority="99">
      <formula>$AU$10=0</formula>
    </cfRule>
  </conditionalFormatting>
  <conditionalFormatting sqref="B5 F5 J5 N5 R5 V5">
    <cfRule type="cellIs" dxfId="269" priority="53" operator="equal">
      <formula>$A$2</formula>
    </cfRule>
  </conditionalFormatting>
  <conditionalFormatting sqref="S24">
    <cfRule type="cellIs" dxfId="268" priority="50" operator="equal">
      <formula>0</formula>
    </cfRule>
  </conditionalFormatting>
  <conditionalFormatting sqref="S7">
    <cfRule type="cellIs" dxfId="267" priority="51" operator="equal">
      <formula>0</formula>
    </cfRule>
  </conditionalFormatting>
  <conditionalFormatting sqref="S10:Y23">
    <cfRule type="cellIs" dxfId="266" priority="49" operator="equal">
      <formula>0</formula>
    </cfRule>
  </conditionalFormatting>
  <conditionalFormatting sqref="H9:Q9">
    <cfRule type="expression" dxfId="265" priority="45">
      <formula>$B$9=0</formula>
    </cfRule>
  </conditionalFormatting>
  <conditionalFormatting sqref="M11:Q11">
    <cfRule type="expression" dxfId="264" priority="46">
      <formula>$AU$10=1</formula>
    </cfRule>
  </conditionalFormatting>
  <conditionalFormatting sqref="H11:L11">
    <cfRule type="expression" dxfId="263" priority="47">
      <formula>$AU$10=2</formula>
    </cfRule>
  </conditionalFormatting>
  <conditionalFormatting sqref="H11:Q11">
    <cfRule type="expression" dxfId="262" priority="48">
      <formula>$AU$10=0</formula>
    </cfRule>
  </conditionalFormatting>
  <conditionalFormatting sqref="H10:L10">
    <cfRule type="expression" dxfId="261" priority="39">
      <formula>$AU$10=2</formula>
    </cfRule>
  </conditionalFormatting>
  <conditionalFormatting sqref="H10:L10">
    <cfRule type="expression" dxfId="260" priority="40">
      <formula>$AU$10=0</formula>
    </cfRule>
  </conditionalFormatting>
  <conditionalFormatting sqref="M10:Q10">
    <cfRule type="expression" dxfId="259" priority="37">
      <formula>$AU$10=1</formula>
    </cfRule>
  </conditionalFormatting>
  <conditionalFormatting sqref="M10:Q10">
    <cfRule type="expression" dxfId="258" priority="38">
      <formula>$AU$10=0</formula>
    </cfRule>
  </conditionalFormatting>
  <conditionalFormatting sqref="S8">
    <cfRule type="cellIs" dxfId="257" priority="34" operator="equal">
      <formula>0</formula>
    </cfRule>
  </conditionalFormatting>
  <conditionalFormatting sqref="AQ7:AQ27">
    <cfRule type="cellIs" dxfId="256" priority="35" operator="equal">
      <formula>0</formula>
    </cfRule>
  </conditionalFormatting>
  <conditionalFormatting sqref="S8:Y9">
    <cfRule type="cellIs" dxfId="255" priority="33" operator="equal">
      <formula>0</formula>
    </cfRule>
  </conditionalFormatting>
  <conditionalFormatting sqref="B20:Q20">
    <cfRule type="expression" dxfId="254" priority="31">
      <formula>$B$20=0</formula>
    </cfRule>
    <cfRule type="expression" dxfId="253" priority="32">
      <formula>$B$19=0</formula>
    </cfRule>
  </conditionalFormatting>
  <conditionalFormatting sqref="G7">
    <cfRule type="expression" dxfId="252" priority="30">
      <formula>$AS$33=1</formula>
    </cfRule>
  </conditionalFormatting>
  <conditionalFormatting sqref="G7:R7">
    <cfRule type="cellIs" dxfId="251" priority="29" operator="equal">
      <formula>0</formula>
    </cfRule>
  </conditionalFormatting>
  <conditionalFormatting sqref="R8">
    <cfRule type="expression" dxfId="250" priority="28">
      <formula>$AS$33=1</formula>
    </cfRule>
  </conditionalFormatting>
  <conditionalFormatting sqref="S25:Y31">
    <cfRule type="expression" dxfId="249" priority="27">
      <formula>$AS$33=1</formula>
    </cfRule>
  </conditionalFormatting>
  <conditionalFormatting sqref="AD14:AD21">
    <cfRule type="expression" dxfId="248" priority="7">
      <formula>$AU$25=1</formula>
    </cfRule>
  </conditionalFormatting>
  <conditionalFormatting sqref="AD10:AD12 AB19:AC19">
    <cfRule type="expression" dxfId="247" priority="8">
      <formula>$AU$25=1</formula>
    </cfRule>
  </conditionalFormatting>
  <conditionalFormatting sqref="AM14:AM21">
    <cfRule type="expression" dxfId="246" priority="9">
      <formula>$AU$25=2</formula>
    </cfRule>
  </conditionalFormatting>
  <conditionalFormatting sqref="AM23:AM25 AN19:AO19">
    <cfRule type="expression" dxfId="245" priority="10">
      <formula>$AU$25=2</formula>
    </cfRule>
  </conditionalFormatting>
  <conditionalFormatting sqref="AF9:AK9">
    <cfRule type="expression" dxfId="244" priority="11">
      <formula>$AU$25=3</formula>
    </cfRule>
  </conditionalFormatting>
  <conditionalFormatting sqref="AC9:AD9 AJ7:AJ8">
    <cfRule type="expression" dxfId="243" priority="12">
      <formula>$AU$25=3</formula>
    </cfRule>
  </conditionalFormatting>
  <conditionalFormatting sqref="AF25:AK25">
    <cfRule type="expression" dxfId="242" priority="13">
      <formula>$AU$25=4</formula>
    </cfRule>
  </conditionalFormatting>
  <conditionalFormatting sqref="AC25:AD25 AJ26:AJ27">
    <cfRule type="expression" dxfId="241" priority="14">
      <formula>$AU$25=4</formula>
    </cfRule>
  </conditionalFormatting>
  <conditionalFormatting sqref="AC24:AG24">
    <cfRule type="expression" dxfId="240" priority="15">
      <formula>$AU$25=4</formula>
    </cfRule>
  </conditionalFormatting>
  <conditionalFormatting sqref="AE10:AE16">
    <cfRule type="expression" dxfId="239" priority="16">
      <formula>$AU$25=1</formula>
    </cfRule>
  </conditionalFormatting>
  <conditionalFormatting sqref="AL19:AL25">
    <cfRule type="expression" dxfId="238" priority="17">
      <formula>$AU$25=2</formula>
    </cfRule>
  </conditionalFormatting>
  <conditionalFormatting sqref="AC8:AG8">
    <cfRule type="expression" dxfId="237" priority="18">
      <formula>$AU$25=3</formula>
    </cfRule>
  </conditionalFormatting>
  <conditionalFormatting sqref="AC14 AC20">
    <cfRule type="expression" dxfId="236" priority="19">
      <formula>$AU$25=1</formula>
    </cfRule>
  </conditionalFormatting>
  <conditionalFormatting sqref="AN20 AN14">
    <cfRule type="expression" dxfId="235" priority="20">
      <formula>$AU$25=2</formula>
    </cfRule>
  </conditionalFormatting>
  <conditionalFormatting sqref="AJ10 AF10">
    <cfRule type="expression" dxfId="234" priority="21">
      <formula>$AU$25=3</formula>
    </cfRule>
  </conditionalFormatting>
  <conditionalFormatting sqref="AF26">
    <cfRule type="expression" dxfId="233" priority="22">
      <formula>$AU$25=4</formula>
    </cfRule>
  </conditionalFormatting>
  <conditionalFormatting sqref="AH7:AH8 AH10:AH24 AH26:AH27">
    <cfRule type="expression" dxfId="232" priority="23">
      <formula>$AU$10=2</formula>
    </cfRule>
  </conditionalFormatting>
  <conditionalFormatting sqref="AB17:AC17 AE17:AL17 AN17:AO17">
    <cfRule type="expression" dxfId="231" priority="24">
      <formula>$AU$10=1</formula>
    </cfRule>
  </conditionalFormatting>
  <conditionalFormatting sqref="AH26:AH27 AH18:AH24 AH10:AH16 AH7:AH8">
    <cfRule type="expression" dxfId="230" priority="25">
      <formula>$AU$10=3</formula>
    </cfRule>
  </conditionalFormatting>
  <conditionalFormatting sqref="AB17:AC17 AE17:AG17 AI17:AL17 AN17:AO17">
    <cfRule type="expression" dxfId="229" priority="26">
      <formula>$AU$10=3</formula>
    </cfRule>
  </conditionalFormatting>
  <conditionalFormatting sqref="AB29:AO29">
    <cfRule type="cellIs" dxfId="228" priority="6" operator="equal">
      <formula>0</formula>
    </cfRule>
  </conditionalFormatting>
  <conditionalFormatting sqref="AB29:AO29">
    <cfRule type="expression" dxfId="227" priority="5">
      <formula>$AS$33=1</formula>
    </cfRule>
  </conditionalFormatting>
  <conditionalFormatting sqref="H19:Q19">
    <cfRule type="expression" dxfId="226" priority="4">
      <formula>$B$19=0</formula>
    </cfRule>
  </conditionalFormatting>
  <conditionalFormatting sqref="B16:Q16">
    <cfRule type="expression" dxfId="225" priority="2">
      <formula>$AU$19=0</formula>
    </cfRule>
  </conditionalFormatting>
  <conditionalFormatting sqref="B17:Q17">
    <cfRule type="expression" dxfId="224" priority="1">
      <formula>$B$17=0</formula>
    </cfRule>
  </conditionalFormatting>
  <dataValidations count="11">
    <dataValidation type="list" allowBlank="1" showInputMessage="1" showErrorMessage="1" sqref="H18:I18" xr:uid="{BA56FE86-1FE2-4938-BC08-E9C998A16066}">
      <formula1>INDIRECT(CONCATENATE("_",AV7,"_",H15))</formula1>
    </dataValidation>
    <dataValidation type="list" allowBlank="1" showInputMessage="1" showErrorMessage="1" sqref="J18:Q18" xr:uid="{EDF29289-30B3-4DDD-8ADE-7504F721D41F}">
      <formula1>INDIRECT(CONCATENATE("_",AA10,"_",J15))</formula1>
    </dataValidation>
    <dataValidation type="whole" allowBlank="1" showInputMessage="1" showErrorMessage="1" sqref="J11 L11" xr:uid="{AD3E8F09-9943-4141-B40C-681BED3A9D6E}">
      <formula1>1</formula1>
      <formula2>(V16/100)-1</formula2>
    </dataValidation>
    <dataValidation type="whole" allowBlank="1" showInputMessage="1" showErrorMessage="1" sqref="H11:I11" xr:uid="{F6CCA100-BB5D-4D75-8C4A-722BA6B55274}">
      <formula1>1</formula1>
      <formula2>(AR14/100)-1</formula2>
    </dataValidation>
    <dataValidation type="whole" allowBlank="1" showInputMessage="1" showErrorMessage="1" sqref="M11:Q11" xr:uid="{8FC706DB-94B1-48F1-B6B3-813701300F2D}">
      <formula1>1</formula1>
      <formula2>(AI30/100)-1</formula2>
    </dataValidation>
    <dataValidation type="whole" allowBlank="1" showInputMessage="1" showErrorMessage="1" sqref="K11" xr:uid="{89303E12-9584-4C8F-989B-799E4D21A571}">
      <formula1>1</formula1>
      <formula2>(#REF!/100)-1</formula2>
    </dataValidation>
    <dataValidation type="whole" allowBlank="1" showInputMessage="1" showErrorMessage="1" errorTitle="Minimum 80 mm" sqref="F20:I20 N20:Q20" xr:uid="{924CCB53-1B89-4181-8BF3-11711539084F}">
      <formula1>80</formula1>
      <formula2>1300</formula2>
    </dataValidation>
    <dataValidation type="list" allowBlank="1" showInputMessage="1" showErrorMessage="1" sqref="H27:Q27" xr:uid="{4ABA5AA9-E615-4562-9A4A-6AA6D8A11795}">
      <formula1>_umisteni_zavesu</formula1>
    </dataValidation>
    <dataValidation type="whole" allowBlank="1" showErrorMessage="1" errorTitle="MAX 1300 mm" error="MAXIMUM 1300 mm x 2500 mm" sqref="AI30:AK30" xr:uid="{04C35D09-FBD1-4927-AF59-C86639F16D1D}">
      <formula1>100</formula1>
      <formula2>IF(AR14&gt;=1250,1250,2550)</formula2>
    </dataValidation>
    <dataValidation type="whole" allowBlank="1" showErrorMessage="1" errorTitle="MAX 2500" error="MAXIMUM 1300 mm x 2500 mm" sqref="AR14:AR18" xr:uid="{F8A71084-7E70-4485-9F5A-93DB8DE3929C}">
      <formula1>100</formula1>
      <formula2>IF(AI30&gt;=1250,1250,2550)</formula2>
    </dataValidation>
    <dataValidation type="whole" operator="greaterThanOrEqual" allowBlank="1" showInputMessage="1" showErrorMessage="1" sqref="H26:Q26" xr:uid="{75CAFFF8-70FE-432C-B878-FDA98612C8EC}">
      <formula1>1</formula1>
    </dataValidation>
  </dataValidations>
  <hyperlinks>
    <hyperlink ref="AP2:AS3" location="Hlavní!A1" display="Hlavní!A1" xr:uid="{617BADAF-DBE0-480B-9930-8E2BC2C70D67}"/>
    <hyperlink ref="F5:H5" location="Ram_2!A1" display="Ram_2!A1" xr:uid="{6E527D02-1786-4C88-B5FB-08447FC4766A}"/>
    <hyperlink ref="J5:L5" location="Ram_3!A1" display="Ram_3!A1" xr:uid="{AD48BF74-14E5-498C-A336-9DDDF4519FDD}"/>
    <hyperlink ref="N5:P5" location="Ram_4!A1" display="Ram_4!A1" xr:uid="{60FF7782-44EB-4CE4-AC3C-7AE14C05ED9F}"/>
    <hyperlink ref="R5:T5" location="Ram_5!A1" display="Ram_5!A1" xr:uid="{36638894-B23C-48B8-8F61-9DAA18F219C0}"/>
    <hyperlink ref="V5:X5" location="Ram_6!A1" display="Ram_6!A1" xr:uid="{FF303925-D279-4237-8A9B-FE7E735BD105}"/>
    <hyperlink ref="B5:D5" location="Ram_1!A1" display="Ram_1!A1" xr:uid="{C2E7D369-1340-4C9B-9144-69E887C92C73}"/>
    <hyperlink ref="AO31:AR32" location="_souhrn!A1" display="_souhrn!A1" xr:uid="{00682E59-E63C-4F69-AD93-62540C1A22E4}"/>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49" r:id="rId4" name="Check Box 1967">
              <controlPr locked="0" defaultSize="0" autoFill="0" autoLine="0" autoPict="0">
                <anchor moveWithCells="1">
                  <from>
                    <xdr:col>26</xdr:col>
                    <xdr:colOff>685800</xdr:colOff>
                    <xdr:row>0</xdr:row>
                    <xdr:rowOff>0</xdr:rowOff>
                  </from>
                  <to>
                    <xdr:col>27</xdr:col>
                    <xdr:colOff>0</xdr:colOff>
                    <xdr:row>1</xdr:row>
                    <xdr:rowOff>68580</xdr:rowOff>
                  </to>
                </anchor>
              </controlPr>
            </control>
          </mc:Choice>
        </mc:AlternateContent>
        <mc:AlternateContent xmlns:mc="http://schemas.openxmlformats.org/markup-compatibility/2006">
          <mc:Choice Requires="x14">
            <control shapeId="334850" r:id="rId5" name="Option Button 2">
              <controlPr defaultSize="0" autoFill="0" autoLine="0" autoPict="0">
                <anchor moveWithCells="1">
                  <from>
                    <xdr:col>8</xdr:col>
                    <xdr:colOff>91440</xdr:colOff>
                    <xdr:row>20</xdr:row>
                    <xdr:rowOff>45720</xdr:rowOff>
                  </from>
                  <to>
                    <xdr:col>9</xdr:col>
                    <xdr:colOff>22860</xdr:colOff>
                    <xdr:row>21</xdr:row>
                    <xdr:rowOff>30480</xdr:rowOff>
                  </to>
                </anchor>
              </controlPr>
            </control>
          </mc:Choice>
        </mc:AlternateContent>
        <mc:AlternateContent xmlns:mc="http://schemas.openxmlformats.org/markup-compatibility/2006">
          <mc:Choice Requires="x14">
            <control shapeId="334851" r:id="rId6" name="Option Button 3">
              <controlPr defaultSize="0" autoFill="0" autoLine="0" autoPict="0">
                <anchor moveWithCells="1">
                  <from>
                    <xdr:col>11</xdr:col>
                    <xdr:colOff>106680</xdr:colOff>
                    <xdr:row>20</xdr:row>
                    <xdr:rowOff>30480</xdr:rowOff>
                  </from>
                  <to>
                    <xdr:col>12</xdr:col>
                    <xdr:colOff>7620</xdr:colOff>
                    <xdr:row>21</xdr:row>
                    <xdr:rowOff>68580</xdr:rowOff>
                  </to>
                </anchor>
              </controlPr>
            </control>
          </mc:Choice>
        </mc:AlternateContent>
        <mc:AlternateContent xmlns:mc="http://schemas.openxmlformats.org/markup-compatibility/2006">
          <mc:Choice Requires="x14">
            <control shapeId="334852" r:id="rId7" name="Option Button 4">
              <controlPr defaultSize="0" autoFill="0" autoLine="0" autoPict="0">
                <anchor moveWithCells="1">
                  <from>
                    <xdr:col>14</xdr:col>
                    <xdr:colOff>274320</xdr:colOff>
                    <xdr:row>20</xdr:row>
                    <xdr:rowOff>45720</xdr:rowOff>
                  </from>
                  <to>
                    <xdr:col>15</xdr:col>
                    <xdr:colOff>297180</xdr:colOff>
                    <xdr:row>21</xdr:row>
                    <xdr:rowOff>45720</xdr:rowOff>
                  </to>
                </anchor>
              </controlPr>
            </control>
          </mc:Choice>
        </mc:AlternateContent>
        <mc:AlternateContent xmlns:mc="http://schemas.openxmlformats.org/markup-compatibility/2006">
          <mc:Choice Requires="x14">
            <control shapeId="334853" r:id="rId8" name="Check Box 5">
              <controlPr defaultSize="0" autoFill="0" autoLine="0" autoPict="0">
                <anchor moveWithCells="1">
                  <from>
                    <xdr:col>5</xdr:col>
                    <xdr:colOff>68580</xdr:colOff>
                    <xdr:row>6</xdr:row>
                    <xdr:rowOff>0</xdr:rowOff>
                  </from>
                  <to>
                    <xdr:col>5</xdr:col>
                    <xdr:colOff>289560</xdr:colOff>
                    <xdr:row>6</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3" id="{2C1EDAA4-C65D-4D78-A3BC-F995782E1945}">
            <xm:f>kombinace_6!$V$1&lt;3</xm:f>
            <x14:dxf>
              <font>
                <color theme="0"/>
              </font>
              <fill>
                <patternFill>
                  <bgColor theme="0"/>
                </patternFill>
              </fill>
              <border>
                <bottom/>
                <vertical/>
                <horizontal/>
              </border>
            </x14:dxf>
          </x14:cfRule>
          <xm:sqref>B24:Q24</xm:sqref>
        </x14:conditionalFormatting>
        <x14:conditionalFormatting xmlns:xm="http://schemas.microsoft.com/office/excel/2006/main">
          <x14:cfRule type="expression" priority="59" id="{88314541-3AED-4383-9AB9-D06113E2C079}">
            <xm:f>'Translate &amp; Prices'!$D$1=4</xm:f>
            <x14:dxf>
              <numFmt numFmtId="173" formatCode="#,##0.00\ [$Ft-40E]"/>
            </x14:dxf>
          </x14:cfRule>
          <x14:cfRule type="expression" priority="60" id="{FA9ED3C4-0F2B-4B21-B6E5-B17F597AFC94}">
            <xm:f>'Translate &amp; Prices'!$D$1=3</xm:f>
            <x14:dxf>
              <numFmt numFmtId="172" formatCode="#,##0.00\ [$zł-415]"/>
            </x14:dxf>
          </x14:cfRule>
          <x14:cfRule type="expression" priority="61" id="{A0FD1BEE-528F-4F7A-94C5-0B77175CDE89}">
            <xm:f>'Translate &amp; Prices'!$D$1=2</xm:f>
            <x14:dxf>
              <numFmt numFmtId="171" formatCode="#,##0.00\ [$€-1]"/>
            </x14:dxf>
          </x14:cfRule>
          <x14:cfRule type="expression" priority="62" id="{BA92991F-6564-4982-A036-2E58B9B8C0D7}">
            <xm:f>'Translate &amp; Prices'!$D$1=1</xm:f>
            <x14:dxf>
              <numFmt numFmtId="170" formatCode="#,##0.00\ &quot;Kč&quot;"/>
            </x14:dxf>
          </x14:cfRule>
          <xm:sqref>L30</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03361591-02DD-48DC-B122-88600CB82616}">
          <x14:formula1>
            <xm:f>IF($H$12=kombinace_1!$DP$2,_znacka_zavesy,_znacka_vyklopy)</xm:f>
          </x14:formula1>
          <xm:sqref>H13:Q13</xm:sqref>
        </x14:dataValidation>
        <x14:dataValidation type="list" allowBlank="1" showInputMessage="1" showErrorMessage="1" xr:uid="{FA78B857-D84C-4A99-BB92-C8FCDE4696A4}">
          <x14:formula1>
            <xm:f>'Translate &amp; Prices'!$B$536:$B$537</xm:f>
          </x14:formula1>
          <xm:sqref>H29:I29</xm:sqref>
        </x14:dataValidation>
        <x14:dataValidation type="list" allowBlank="1" showInputMessage="1" showErrorMessage="1" xr:uid="{B86BA88B-73AD-4BC1-B63A-0EF56721D2F6}">
          <x14:formula1>
            <xm:f>kombinace_1!$X$3:$X$5</xm:f>
          </x14:formula1>
          <xm:sqref>H24:Q24</xm:sqref>
        </x14:dataValidation>
        <x14:dataValidation type="list" allowBlank="1" showInputMessage="1" showErrorMessage="1" xr:uid="{B0A9ADA1-E0AE-4E16-ABE2-BA3F0A6AD395}">
          <x14:formula1>
            <xm:f>kombinace_1!$BY$13:$BY$16</xm:f>
          </x14:formula1>
          <xm:sqref>H9:Q9</xm:sqref>
        </x14:dataValidation>
        <x14:dataValidation type="list" allowBlank="1" showInputMessage="1" showErrorMessage="1" xr:uid="{564D6812-C0D4-4189-8832-77FD259300F0}">
          <x14:formula1>
            <xm:f>kombinace_1!$DN$2:$DN$4</xm:f>
          </x14:formula1>
          <xm:sqref>H14:Q14</xm:sqref>
        </x14:dataValidation>
        <x14:dataValidation type="list" allowBlank="1" showInputMessage="1" showErrorMessage="1" xr:uid="{5760A28A-798E-4185-87E5-49E250C76D03}">
          <x14:formula1>
            <xm:f>IF(AU9=2,INDIRECT(CONCATENATE("_",AV7,"_",H13,"_",AA29)),IF(AU9=3,INDIRECT(VLOOKUP(H13,kombinace_1!$AA:$AB,2,0))))</xm:f>
          </x14:formula1>
          <xm:sqref>H15</xm:sqref>
        </x14:dataValidation>
        <x14:dataValidation type="list" allowBlank="1" showInputMessage="1" showErrorMessage="1" xr:uid="{FFA6A5D4-DBE3-4533-A8C5-EBA5045AD6AD}">
          <x14:formula1>
            <xm:f>IF(#REF!=2,INDIRECT(CONCATENATE("_",AA10,"_",J13,"_",AA20)),IF(#REF!=3,INDIRECT(VLOOKUP(J13,kombinace_1!$AA:$AB,2,0))))</xm:f>
          </x14:formula1>
          <xm:sqref>J15</xm:sqref>
        </x14:dataValidation>
        <x14:dataValidation type="list" allowBlank="1" showInputMessage="1" showErrorMessage="1" xr:uid="{3E1593C0-924E-437B-9281-4E7263C2993A}">
          <x14:formula1>
            <xm:f>IF(AA12=2,INDIRECT(CONCATENATE("_",AB10,"_",K13,"_",AB20)),IF(AA12=3,INDIRECT(VLOOKUP(K13,kombinace_1!$AA:$AB,2,0))))</xm:f>
          </x14:formula1>
          <xm:sqref>K15:Q15</xm:sqref>
        </x14:dataValidation>
        <x14:dataValidation type="list" allowBlank="1" showInputMessage="1" showErrorMessage="1" xr:uid="{7BC16290-B926-44C9-8237-AE95FF2490C0}">
          <x14:formula1>
            <xm:f>IF(AV9=2,INDIRECT(CONCATENATE("_",#REF!,"_",I13,"_",#REF!)),IF(AV9=3,INDIRECT(VLOOKUP(I13,kombinace_1!$AA:$AB,2,0))))</xm:f>
          </x14:formula1>
          <xm:sqref>I15</xm:sqref>
        </x14:dataValidation>
        <x14:dataValidation type="list" allowBlank="1" showInputMessage="1" showErrorMessage="1" xr:uid="{B0ACA1EE-EAFF-4B9A-8DE8-E264DA9F0126}">
          <x14:formula1>
            <xm:f>IF(kombinace_6!H1=TRUE,kombinace_1!$BQ$2,kombinace_1!$BQ$2:$BR$2)</xm:f>
          </x14:formula1>
          <xm:sqref>H12:Q12</xm:sqref>
        </x14:dataValidation>
        <x14:dataValidation type="list" allowBlank="1" showInputMessage="1" showErrorMessage="1" xr:uid="{F83997BA-0018-423D-80DF-E0B3CD46E59B}">
          <x14:formula1>
            <xm:f>IF(kombinace_6!H1=TRUE,_kombinovane_profily,_vše_profily)</xm:f>
          </x14:formula1>
          <xm:sqref>H8:Q8</xm:sqref>
        </x14:dataValidation>
        <x14:dataValidation type="list" allowBlank="1" showInputMessage="1" showErrorMessage="1" xr:uid="{102A3349-B31F-402F-8FC1-BF92D20480DA}">
          <x14:formula1>
            <xm:f>IF(OR(H8=kombinace_1!A15,H8=kombinace_1!A16,H8=kombinace_1!A17,H8=kombinace_1!A22,H8=kombinace_1!A23,,H8=kombinace_1!A24,H8=kombinace_1!A25),_corleone,IF(H8="",_N1,INDIRECT(kombinace_6!S1)))</xm:f>
          </x14:formula1>
          <xm:sqref>H25:Q25</xm:sqref>
        </x14:dataValidation>
        <x14:dataValidation type="list" allowBlank="1" showInputMessage="1" showErrorMessage="1" xr:uid="{1F7A242A-7E97-4A08-960A-1C8BC29A1481}">
          <x14:formula1>
            <xm:f>IF(AM19&lt;2100,kombinace_1!BY8:BY12,kombinace_1!BY9:BY12)</xm:f>
          </x14:formula1>
          <xm:sqref>H19:Q19</xm:sqref>
        </x14:dataValidation>
        <x14:dataValidation type="list" allowBlank="1" showInputMessage="1" showErrorMessage="1" xr:uid="{931119F3-43D9-4555-9F40-A4628FD32089}">
          <x14:formula1>
            <xm:f>IF(H15=kombinace_1!AB40,'Translate &amp; Prices'!$B$209:$B$211,IF(H15=kombinace_1!AB41,'Translate &amp; Prices'!$B$209:$B$211,'Translate &amp; Prices'!$B$213:$B$217))</xm:f>
          </x14:formula1>
          <xm:sqref>N16:Q16</xm:sqref>
        </x14:dataValidation>
        <x14:dataValidation type="list" allowBlank="1" showInputMessage="1" showErrorMessage="1" xr:uid="{E5B7FC8B-03FF-46DF-AEA2-DFB71FE13B4F}">
          <x14:formula1>
            <xm:f>IF(H15=kombinace_1!AB40,_strong_vzpera_horni,IF(H15=kombinace_1!AB41,_strong_klopna,'Translate &amp; Prices'!$B$165:$B$166))</xm:f>
          </x14:formula1>
          <xm:sqref>F16:I16</xm:sqref>
        </x14:dataValidation>
        <x14:dataValidation type="list" allowBlank="1" showInputMessage="1" showErrorMessage="1" xr:uid="{89F3C43D-BF54-4194-AC2F-F9133B164CF9}">
          <x14:formula1>
            <xm:f>IF(OR(H8=kombinace_1!F14,H8=kombinace_1!F15,H8=kombinace_1!F16,H8=kombinace_1!F17,H8=kombinace_1!F18,H8=kombinace_1!F19),_zavesy_kombo,IF(H15=kombinace_1!AB8,_ramena_HL,_umisteni_zavesu))</xm:f>
          </x14:formula1>
          <xm:sqref>H17:Q17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C2484-7B81-41A1-9C2B-CAB32BC54E51}">
  <sheetPr codeName="List21"/>
  <dimension ref="A1:DQ61"/>
  <sheetViews>
    <sheetView topLeftCell="BV1" workbookViewId="0">
      <selection activeCell="CD1" sqref="CD1:CF1048576"/>
    </sheetView>
  </sheetViews>
  <sheetFormatPr defaultRowHeight="14.4" x14ac:dyDescent="0.3"/>
  <cols>
    <col min="1" max="1" width="29.109375" style="137" bestFit="1" customWidth="1"/>
    <col min="2" max="2" width="24" style="137" customWidth="1"/>
    <col min="3" max="3" width="17" style="137" bestFit="1" customWidth="1"/>
    <col min="4" max="4" width="17" style="137" customWidth="1"/>
    <col min="5" max="5" width="3" style="406" customWidth="1"/>
    <col min="6" max="6" width="15.44140625" style="137" bestFit="1" customWidth="1"/>
    <col min="7" max="7" width="11.109375" style="137" bestFit="1" customWidth="1"/>
    <col min="8" max="8" width="18.109375" style="137" bestFit="1" customWidth="1"/>
    <col min="9" max="9" width="24.109375" style="137" bestFit="1" customWidth="1"/>
    <col min="10" max="11" width="18.109375" style="137" customWidth="1"/>
    <col min="12" max="12" width="3" style="406" customWidth="1"/>
    <col min="13" max="13" width="21" style="137" bestFit="1" customWidth="1"/>
    <col min="14" max="14" width="15" style="137" bestFit="1" customWidth="1"/>
    <col min="15" max="15" width="3" style="406" customWidth="1"/>
    <col min="16" max="16" width="23.109375" style="137" customWidth="1"/>
    <col min="17" max="18" width="19.44140625" style="137" bestFit="1" customWidth="1"/>
    <col min="19" max="19" width="19.44140625" style="137" customWidth="1"/>
    <col min="20" max="21" width="15.109375" style="137" customWidth="1"/>
    <col min="22" max="22" width="19.44140625" style="137" bestFit="1" customWidth="1"/>
    <col min="23" max="23" width="3" style="406" customWidth="1"/>
    <col min="24" max="24" width="12.21875" style="137" bestFit="1" customWidth="1"/>
    <col min="25" max="25" width="4.109375" style="137" bestFit="1" customWidth="1"/>
    <col min="26" max="26" width="3" style="406" customWidth="1"/>
    <col min="27" max="27" width="18.5546875" style="137" bestFit="1" customWidth="1"/>
    <col min="28" max="28" width="17.33203125" style="137" bestFit="1" customWidth="1"/>
    <col min="29" max="29" width="14.33203125" style="137" bestFit="1" customWidth="1"/>
    <col min="30" max="30" width="16.44140625" style="137" customWidth="1"/>
    <col min="31" max="31" width="3" style="406" customWidth="1"/>
    <col min="32" max="32" width="17.33203125" style="137" customWidth="1"/>
    <col min="33" max="48" width="16.5546875" style="137" customWidth="1"/>
    <col min="49" max="49" width="3" style="406" customWidth="1"/>
    <col min="50" max="53" width="19.6640625" style="137" customWidth="1"/>
    <col min="54" max="54" width="3" style="406" customWidth="1"/>
    <col min="55" max="61" width="9.5546875" style="137" customWidth="1"/>
    <col min="62" max="62" width="3" style="406" customWidth="1"/>
    <col min="63" max="63" width="17.33203125" style="137" bestFit="1" customWidth="1"/>
    <col min="64" max="64" width="3" style="406" customWidth="1"/>
    <col min="65" max="65" width="12.88671875" style="137" customWidth="1"/>
    <col min="66" max="68" width="8.88671875" style="137"/>
    <col min="69" max="69" width="6.88671875" style="137" bestFit="1" customWidth="1"/>
    <col min="70" max="70" width="18.5546875" style="137" bestFit="1" customWidth="1"/>
    <col min="71" max="72" width="8.88671875" style="137"/>
    <col min="73" max="73" width="13.77734375" style="137" customWidth="1"/>
    <col min="74" max="74" width="32.6640625" style="137" customWidth="1"/>
    <col min="75" max="75" width="17.77734375" style="137" customWidth="1"/>
    <col min="76" max="76" width="8.88671875" style="137"/>
    <col min="77" max="77" width="21.33203125" style="137" bestFit="1" customWidth="1"/>
    <col min="78" max="81" width="8.88671875" style="137"/>
    <col min="82" max="82" width="16.5546875" style="137" customWidth="1"/>
    <col min="83" max="84" width="8.88671875" style="137"/>
    <col min="85" max="85" width="28.77734375" style="137" bestFit="1" customWidth="1"/>
    <col min="86" max="86" width="23.33203125" style="137" bestFit="1" customWidth="1"/>
    <col min="87" max="87" width="20.88671875" style="137" bestFit="1" customWidth="1"/>
    <col min="88" max="88" width="22.109375" style="137" bestFit="1" customWidth="1"/>
    <col min="89" max="89" width="23.5546875" style="137" bestFit="1" customWidth="1"/>
    <col min="90" max="90" width="20.109375" style="137" bestFit="1" customWidth="1"/>
    <col min="91" max="91" width="23.5546875" style="137" bestFit="1" customWidth="1"/>
    <col min="92" max="92" width="20.109375" style="137" bestFit="1" customWidth="1"/>
    <col min="93" max="93" width="23.5546875" style="137" bestFit="1" customWidth="1"/>
    <col min="94" max="94" width="20.109375" style="137" bestFit="1" customWidth="1"/>
    <col min="95" max="95" width="21.44140625" style="137" bestFit="1" customWidth="1"/>
    <col min="96" max="96" width="19.109375" style="137" bestFit="1" customWidth="1"/>
    <col min="97" max="97" width="21.44140625" style="137" bestFit="1" customWidth="1"/>
    <col min="98" max="98" width="19.109375" style="137" bestFit="1" customWidth="1"/>
    <col min="99" max="99" width="23.5546875" style="137" bestFit="1" customWidth="1"/>
    <col min="100" max="100" width="20.109375" style="137" bestFit="1" customWidth="1"/>
    <col min="101" max="102" width="19.109375" style="137" bestFit="1" customWidth="1"/>
    <col min="103" max="103" width="23.5546875" style="137" bestFit="1" customWidth="1"/>
    <col min="104" max="104" width="20.109375" style="137" bestFit="1" customWidth="1"/>
    <col min="105" max="110" width="19.109375" style="137" bestFit="1" customWidth="1"/>
    <col min="111" max="111" width="23.5546875" style="137" bestFit="1" customWidth="1"/>
    <col min="112" max="112" width="20.109375" style="137" bestFit="1" customWidth="1"/>
    <col min="113" max="113" width="23.5546875" style="137" bestFit="1" customWidth="1"/>
    <col min="114" max="114" width="20.109375" style="137" bestFit="1" customWidth="1"/>
    <col min="115" max="116" width="19.109375" style="137" bestFit="1" customWidth="1"/>
    <col min="117" max="16384" width="8.88671875" style="137"/>
  </cols>
  <sheetData>
    <row r="1" spans="1:121" x14ac:dyDescent="0.3">
      <c r="A1" s="376" t="s">
        <v>38</v>
      </c>
      <c r="B1" s="405"/>
      <c r="C1" s="405"/>
      <c r="D1" s="405"/>
      <c r="F1" s="376" t="s">
        <v>2064</v>
      </c>
      <c r="G1" s="405"/>
      <c r="H1" s="405" t="b">
        <v>0</v>
      </c>
      <c r="I1" s="405"/>
      <c r="J1" s="405"/>
      <c r="K1" s="405"/>
      <c r="M1" s="376" t="s">
        <v>2065</v>
      </c>
      <c r="N1" s="405"/>
      <c r="P1" s="405" t="e" cm="1">
        <f t="array" ref="P1">IF($S$1=Varianta_N1,_N1,IF($S$1=Varianta_A1,_A1,IF($S$1=Varianta_N2,_N2,IF($S$1=Varianta_A2,_A2,IF($S$1=Varianta_N3,_N3,IF($S$1=Varianta_A3,_A3,0))))))</f>
        <v>#N/A</v>
      </c>
      <c r="Q1" s="412" t="s">
        <v>2132</v>
      </c>
      <c r="R1" s="413" t="e">
        <f>VLOOKUP(Ram_6!H8,$A:$C,3,0)</f>
        <v>#N/A</v>
      </c>
      <c r="S1" s="405" t="e">
        <f>CONCATENATE("_",R1,V1)</f>
        <v>#N/A</v>
      </c>
      <c r="T1" s="405"/>
      <c r="U1" s="412" t="s">
        <v>2131</v>
      </c>
      <c r="V1" s="413">
        <v>1</v>
      </c>
      <c r="X1" s="376" t="s">
        <v>2066</v>
      </c>
      <c r="Y1" s="405"/>
      <c r="AA1" s="405" t="s">
        <v>1085</v>
      </c>
      <c r="AB1" s="405"/>
      <c r="AC1" s="405"/>
      <c r="AD1" s="405"/>
      <c r="AF1" s="405" t="s">
        <v>2067</v>
      </c>
      <c r="AG1" s="405"/>
      <c r="AH1" s="405"/>
      <c r="AI1" s="405"/>
      <c r="AJ1" s="405"/>
      <c r="AK1" s="405"/>
      <c r="AL1" s="405"/>
      <c r="AM1" s="405"/>
      <c r="AN1" s="405"/>
      <c r="AO1" s="405"/>
      <c r="AP1" s="405"/>
      <c r="AQ1" s="405"/>
      <c r="AR1" s="405"/>
      <c r="AS1" s="405"/>
      <c r="AT1" s="405"/>
      <c r="AU1" s="405"/>
      <c r="AV1" s="405"/>
      <c r="AX1" s="405" t="s">
        <v>735</v>
      </c>
      <c r="AY1" s="405"/>
      <c r="AZ1" s="405"/>
      <c r="BA1" s="405"/>
      <c r="BC1" s="405" t="s">
        <v>22</v>
      </c>
      <c r="BD1" s="405"/>
      <c r="BE1" s="405"/>
      <c r="BF1" s="405"/>
      <c r="BG1" s="405"/>
      <c r="BH1" s="405"/>
      <c r="BI1" s="405"/>
      <c r="BK1" s="405" t="s">
        <v>1031</v>
      </c>
      <c r="BM1" s="137" t="s">
        <v>2121</v>
      </c>
      <c r="BQ1" s="414" t="s">
        <v>1441</v>
      </c>
    </row>
    <row r="2" spans="1:121" x14ac:dyDescent="0.3">
      <c r="A2" s="407" t="s">
        <v>2068</v>
      </c>
      <c r="B2" s="407" t="s">
        <v>2125</v>
      </c>
      <c r="C2" s="407" t="s">
        <v>2126</v>
      </c>
      <c r="D2" s="407" t="s">
        <v>2065</v>
      </c>
      <c r="F2" s="407" t="s">
        <v>2070</v>
      </c>
      <c r="G2" s="407" t="s">
        <v>2071</v>
      </c>
      <c r="H2" s="407" t="s">
        <v>2072</v>
      </c>
      <c r="I2" s="407" t="s">
        <v>2073</v>
      </c>
      <c r="J2" s="407"/>
      <c r="K2" s="407"/>
      <c r="M2" s="407" t="s">
        <v>2074</v>
      </c>
      <c r="P2" s="407" t="s">
        <v>2127</v>
      </c>
      <c r="Q2" s="407" t="s">
        <v>2124</v>
      </c>
      <c r="R2" s="407" t="s">
        <v>2128</v>
      </c>
      <c r="S2" s="407" t="s">
        <v>2123</v>
      </c>
      <c r="T2" s="407" t="s">
        <v>2129</v>
      </c>
      <c r="U2" s="407" t="s">
        <v>2066</v>
      </c>
      <c r="V2" s="407" t="s">
        <v>2130</v>
      </c>
      <c r="X2" s="407" t="s">
        <v>2075</v>
      </c>
      <c r="Y2" s="407" t="s">
        <v>2076</v>
      </c>
      <c r="AA2" s="407" t="s">
        <v>1441</v>
      </c>
      <c r="AB2" s="407" t="s">
        <v>2077</v>
      </c>
      <c r="AC2" s="407" t="s">
        <v>2078</v>
      </c>
      <c r="AD2" s="407" t="s">
        <v>1031</v>
      </c>
      <c r="AF2" s="408" t="s">
        <v>2079</v>
      </c>
      <c r="AG2" s="408" t="s">
        <v>1030</v>
      </c>
      <c r="AH2" s="137">
        <v>1</v>
      </c>
      <c r="AI2" s="137">
        <v>2</v>
      </c>
      <c r="AJ2" s="137">
        <v>3</v>
      </c>
      <c r="AK2" s="137">
        <v>4</v>
      </c>
      <c r="AL2" s="137">
        <v>5</v>
      </c>
      <c r="AM2" s="137">
        <v>6</v>
      </c>
      <c r="AN2" s="137">
        <v>7</v>
      </c>
      <c r="AO2" s="137">
        <v>8</v>
      </c>
      <c r="AP2" s="137">
        <v>9</v>
      </c>
      <c r="AQ2" s="137">
        <v>10</v>
      </c>
      <c r="AR2" s="137">
        <v>11</v>
      </c>
      <c r="AS2" s="137">
        <v>12</v>
      </c>
      <c r="AT2" s="137">
        <v>13</v>
      </c>
      <c r="AU2" s="137">
        <v>14</v>
      </c>
      <c r="AV2" s="137">
        <v>15</v>
      </c>
      <c r="AX2" s="407" t="s">
        <v>2069</v>
      </c>
      <c r="AY2" s="407" t="s">
        <v>1441</v>
      </c>
      <c r="AZ2" s="407" t="s">
        <v>2080</v>
      </c>
      <c r="BA2" s="407" t="s">
        <v>2081</v>
      </c>
      <c r="BC2" s="409">
        <v>1</v>
      </c>
      <c r="BD2" s="409">
        <v>2</v>
      </c>
      <c r="BE2" s="409">
        <v>3</v>
      </c>
      <c r="BF2" s="409">
        <v>4</v>
      </c>
      <c r="BG2" s="409">
        <v>5</v>
      </c>
      <c r="BH2" s="409">
        <v>6</v>
      </c>
      <c r="BI2" s="409">
        <v>7</v>
      </c>
      <c r="BK2" s="409" t="s">
        <v>2082</v>
      </c>
      <c r="BM2" s="407" t="s">
        <v>2122</v>
      </c>
      <c r="BN2" s="407" t="s">
        <v>2123</v>
      </c>
      <c r="BO2" s="407" t="s">
        <v>2066</v>
      </c>
      <c r="BQ2" s="137" t="str">
        <f>'Translate &amp; Prices'!B531</f>
        <v>Závěsy</v>
      </c>
      <c r="BR2" s="137" t="str">
        <f>'Translate &amp; Prices'!B532</f>
        <v>Výklopy</v>
      </c>
      <c r="BU2" s="137" t="e">
        <f>CONCATENATE("_",#REF!,"_",#REF!)</f>
        <v>#REF!</v>
      </c>
      <c r="BV2" s="137" t="s">
        <v>2149</v>
      </c>
      <c r="BW2" s="137" t="s">
        <v>2144</v>
      </c>
      <c r="BY2" s="137" t="s">
        <v>250</v>
      </c>
      <c r="CA2" s="137" t="s">
        <v>2176</v>
      </c>
      <c r="CD2" s="137" t="s">
        <v>2265</v>
      </c>
      <c r="CF2" s="137" t="s">
        <v>2628</v>
      </c>
      <c r="CG2" s="407" t="s">
        <v>845</v>
      </c>
      <c r="CH2" s="407" t="s">
        <v>2264</v>
      </c>
      <c r="CI2" s="410" t="s">
        <v>845</v>
      </c>
      <c r="CJ2" s="410" t="s">
        <v>2264</v>
      </c>
      <c r="CK2" s="407" t="s">
        <v>845</v>
      </c>
      <c r="CL2" s="407" t="s">
        <v>2264</v>
      </c>
      <c r="CM2" s="410" t="s">
        <v>845</v>
      </c>
      <c r="CN2" s="410" t="s">
        <v>2264</v>
      </c>
      <c r="CO2" s="407" t="s">
        <v>845</v>
      </c>
      <c r="CP2" s="407" t="s">
        <v>2264</v>
      </c>
      <c r="CQ2" s="410" t="s">
        <v>845</v>
      </c>
      <c r="CR2" s="410" t="s">
        <v>2264</v>
      </c>
      <c r="CS2" s="407" t="s">
        <v>845</v>
      </c>
      <c r="CT2" s="407" t="s">
        <v>2264</v>
      </c>
      <c r="CU2" s="410" t="s">
        <v>845</v>
      </c>
      <c r="CV2" s="410" t="s">
        <v>2264</v>
      </c>
      <c r="CW2" s="407" t="s">
        <v>845</v>
      </c>
      <c r="CX2" s="407" t="s">
        <v>2264</v>
      </c>
      <c r="CY2" s="410" t="s">
        <v>845</v>
      </c>
      <c r="CZ2" s="410" t="s">
        <v>2264</v>
      </c>
      <c r="DA2" s="407" t="s">
        <v>845</v>
      </c>
      <c r="DB2" s="407" t="s">
        <v>2264</v>
      </c>
      <c r="DC2" s="410" t="s">
        <v>845</v>
      </c>
      <c r="DD2" s="410" t="s">
        <v>2264</v>
      </c>
      <c r="DE2" s="407" t="s">
        <v>845</v>
      </c>
      <c r="DF2" s="407" t="s">
        <v>2264</v>
      </c>
      <c r="DG2" s="410" t="s">
        <v>845</v>
      </c>
      <c r="DH2" s="410" t="s">
        <v>2264</v>
      </c>
      <c r="DI2" s="407" t="s">
        <v>845</v>
      </c>
      <c r="DJ2" s="407" t="s">
        <v>2264</v>
      </c>
      <c r="DK2" s="410" t="s">
        <v>845</v>
      </c>
      <c r="DL2" s="410" t="s">
        <v>2264</v>
      </c>
      <c r="DN2" s="137" t="str">
        <f>'Translate &amp; Prices'!B533</f>
        <v>Naložený</v>
      </c>
      <c r="DP2" s="137" t="str">
        <f>'Translate &amp; Prices'!B531</f>
        <v>Závěsy</v>
      </c>
      <c r="DQ2" s="137">
        <v>2</v>
      </c>
    </row>
    <row r="3" spans="1:121" x14ac:dyDescent="0.3">
      <c r="A3" s="446" t="str">
        <f>'Translate &amp; Prices'!B6</f>
        <v>BRW (elox.)</v>
      </c>
      <c r="B3" s="137">
        <v>1</v>
      </c>
      <c r="C3" s="137" t="s">
        <v>1222</v>
      </c>
      <c r="D3" s="137">
        <v>1</v>
      </c>
      <c r="F3" s="137" t="s">
        <v>2083</v>
      </c>
      <c r="G3" s="137" t="s">
        <v>713</v>
      </c>
      <c r="H3" s="137" t="s">
        <v>2084</v>
      </c>
      <c r="I3" s="137">
        <v>1</v>
      </c>
      <c r="J3" s="137">
        <v>2</v>
      </c>
      <c r="K3" s="137" t="s">
        <v>1222</v>
      </c>
      <c r="M3" s="137" t="s">
        <v>2085</v>
      </c>
      <c r="N3" s="137" t="s">
        <v>991</v>
      </c>
      <c r="Q3" s="414" t="s">
        <v>2134</v>
      </c>
      <c r="R3" s="414" t="s">
        <v>2135</v>
      </c>
      <c r="S3" s="414" t="s">
        <v>2136</v>
      </c>
      <c r="T3" s="414" t="s">
        <v>2137</v>
      </c>
      <c r="U3" s="414" t="s">
        <v>2138</v>
      </c>
      <c r="V3" s="414" t="s">
        <v>2139</v>
      </c>
      <c r="X3" s="137" t="str">
        <f>'Translate &amp; Prices'!$B$543</f>
        <v>Transparentní</v>
      </c>
      <c r="Y3" s="137">
        <v>1</v>
      </c>
      <c r="AA3" s="137" t="s">
        <v>2087</v>
      </c>
      <c r="AB3" s="137" t="s">
        <v>2144</v>
      </c>
      <c r="AF3" s="407" t="s">
        <v>245</v>
      </c>
      <c r="AG3" s="407" t="s">
        <v>1032</v>
      </c>
      <c r="AY3" s="137" t="s">
        <v>2117</v>
      </c>
      <c r="BK3" s="137" t="s">
        <v>245</v>
      </c>
      <c r="BQ3" s="137" t="s">
        <v>2117</v>
      </c>
      <c r="BR3" s="137" t="s">
        <v>2087</v>
      </c>
      <c r="BU3" s="137" t="e">
        <f>VLOOKUP(BU2,BV:BW,2,0)</f>
        <v>#REF!</v>
      </c>
      <c r="BV3" s="137" t="s">
        <v>2152</v>
      </c>
      <c r="BW3" s="137" t="s">
        <v>2148</v>
      </c>
      <c r="BY3" s="137" t="str">
        <f>'Translate &amp; Prices'!B210</f>
        <v>Vlevo</v>
      </c>
      <c r="BZ3" s="137">
        <v>1</v>
      </c>
      <c r="CA3" s="137">
        <v>32</v>
      </c>
      <c r="CD3" s="137" t="s">
        <v>2272</v>
      </c>
      <c r="CE3" s="137">
        <v>1</v>
      </c>
      <c r="CF3" s="137">
        <v>1</v>
      </c>
      <c r="CG3" s="407" t="s">
        <v>2272</v>
      </c>
      <c r="CH3" s="407" t="s">
        <v>2272</v>
      </c>
      <c r="CI3" s="410" t="s">
        <v>2273</v>
      </c>
      <c r="CJ3" s="410" t="s">
        <v>2273</v>
      </c>
      <c r="CK3" s="407" t="s">
        <v>2097</v>
      </c>
      <c r="CL3" s="407" t="s">
        <v>2097</v>
      </c>
      <c r="CM3" s="410" t="s">
        <v>2100</v>
      </c>
      <c r="CN3" s="410" t="s">
        <v>2100</v>
      </c>
      <c r="CO3" s="407" t="s">
        <v>2107</v>
      </c>
      <c r="CP3" s="407" t="s">
        <v>2107</v>
      </c>
      <c r="CQ3" s="410" t="s">
        <v>2274</v>
      </c>
      <c r="CR3" s="410" t="s">
        <v>2274</v>
      </c>
      <c r="CS3" s="407" t="s">
        <v>2102</v>
      </c>
      <c r="CT3" s="407" t="s">
        <v>2102</v>
      </c>
      <c r="CU3" s="410" t="s">
        <v>2108</v>
      </c>
      <c r="CV3" s="410" t="s">
        <v>2108</v>
      </c>
      <c r="CW3" s="407" t="s">
        <v>2269</v>
      </c>
      <c r="CX3" s="407" t="s">
        <v>2269</v>
      </c>
      <c r="CY3" s="410" t="s">
        <v>2111</v>
      </c>
      <c r="CZ3" s="410" t="s">
        <v>2111</v>
      </c>
      <c r="DA3" s="407" t="s">
        <v>2268</v>
      </c>
      <c r="DB3" s="407" t="s">
        <v>2268</v>
      </c>
      <c r="DC3" s="410" t="s">
        <v>2113</v>
      </c>
      <c r="DD3" s="410" t="s">
        <v>2113</v>
      </c>
      <c r="DE3" s="407" t="s">
        <v>2114</v>
      </c>
      <c r="DF3" s="407" t="s">
        <v>2114</v>
      </c>
      <c r="DG3" s="137" t="s">
        <v>2638</v>
      </c>
      <c r="DH3" s="137" t="s">
        <v>2638</v>
      </c>
      <c r="DI3" s="137" t="s">
        <v>2639</v>
      </c>
      <c r="DJ3" s="137" t="s">
        <v>2639</v>
      </c>
      <c r="DK3" s="410" t="s">
        <v>2119</v>
      </c>
      <c r="DL3" s="410" t="s">
        <v>2119</v>
      </c>
      <c r="DN3" s="137" t="str">
        <f>'Translate &amp; Prices'!B534</f>
        <v>Polonaložený</v>
      </c>
      <c r="DP3" s="137" t="str">
        <f>'Translate &amp; Prices'!B532</f>
        <v>Výklopy</v>
      </c>
      <c r="DQ3" s="137">
        <v>3</v>
      </c>
    </row>
    <row r="4" spans="1:121" x14ac:dyDescent="0.3">
      <c r="A4" s="446" t="str">
        <f>'Translate &amp; Prices'!B7</f>
        <v>BRW antracit</v>
      </c>
      <c r="B4" s="137">
        <v>1</v>
      </c>
      <c r="C4" s="137" t="s">
        <v>1222</v>
      </c>
      <c r="D4" s="137">
        <v>0</v>
      </c>
      <c r="G4" s="137" t="s">
        <v>2084</v>
      </c>
      <c r="H4" s="137" t="s">
        <v>713</v>
      </c>
      <c r="I4" s="137">
        <v>0</v>
      </c>
      <c r="J4" s="137">
        <v>2</v>
      </c>
      <c r="K4" s="137" t="s">
        <v>1222</v>
      </c>
      <c r="M4" s="137" t="s">
        <v>2088</v>
      </c>
      <c r="N4" s="137" t="s">
        <v>1648</v>
      </c>
      <c r="Q4" s="446" t="str">
        <f>'Translate &amp; Prices'!$B$82</f>
        <v>Čiré</v>
      </c>
      <c r="R4" s="446" t="str">
        <f>'Translate &amp; Prices'!$B$93</f>
        <v>Stopsol bronz</v>
      </c>
      <c r="S4" s="446" t="str">
        <f>'Translate &amp; Prices'!$B$82</f>
        <v>Čiré</v>
      </c>
      <c r="T4" s="446" t="str">
        <f>'Translate &amp; Prices'!$B$93</f>
        <v>Stopsol bronz</v>
      </c>
      <c r="U4" s="446" t="str">
        <f>'Translate &amp; Prices'!$B$98</f>
        <v>Zrcadlo</v>
      </c>
      <c r="V4" s="446" t="str">
        <f>'Translate &amp; Prices'!$B$98</f>
        <v>Zrcadlo</v>
      </c>
      <c r="X4" s="137" t="str">
        <f>'Translate &amp; Prices'!$B$544</f>
        <v>Bílá</v>
      </c>
      <c r="Y4" s="137">
        <v>2</v>
      </c>
      <c r="AA4" s="137" t="s">
        <v>2087</v>
      </c>
      <c r="AB4" s="137" t="s">
        <v>2272</v>
      </c>
      <c r="AC4" s="137">
        <v>1</v>
      </c>
      <c r="AD4" s="137">
        <v>1</v>
      </c>
      <c r="AF4" s="407" t="s">
        <v>246</v>
      </c>
      <c r="AG4" s="407" t="s">
        <v>1032</v>
      </c>
      <c r="AY4" s="137" t="s">
        <v>2117</v>
      </c>
      <c r="AZ4" s="137" t="s">
        <v>2154</v>
      </c>
      <c r="BK4" s="137" t="s">
        <v>246</v>
      </c>
      <c r="BQ4" s="137" t="s">
        <v>2087</v>
      </c>
      <c r="BR4" s="137" t="s">
        <v>2099</v>
      </c>
      <c r="BV4" s="137" t="s">
        <v>2153</v>
      </c>
      <c r="BW4" s="137" t="s">
        <v>2147</v>
      </c>
      <c r="BY4" s="137" t="str">
        <f>'Translate &amp; Prices'!B209</f>
        <v xml:space="preserve">Vpravo </v>
      </c>
      <c r="BZ4" s="137">
        <v>2</v>
      </c>
      <c r="CA4" s="137">
        <v>64</v>
      </c>
      <c r="CD4" s="137" t="s">
        <v>2273</v>
      </c>
      <c r="CE4" s="137">
        <v>1</v>
      </c>
      <c r="CF4" s="137">
        <v>0</v>
      </c>
      <c r="CG4" s="137" t="str">
        <f>CONCATENATE("_",CG2,"_",CG3)</f>
        <v>_Úzký_Aventos_HF</v>
      </c>
      <c r="CH4" s="137" t="str">
        <f t="shared" ref="CH4:DL4" si="0">CONCATENATE("_",CH2,"_",CH3)</f>
        <v>_široký_Aventos_HF</v>
      </c>
      <c r="CI4" s="137" t="str">
        <f t="shared" si="0"/>
        <v>_Úzký_Aventos_HK-XS</v>
      </c>
      <c r="CJ4" s="137" t="str">
        <f t="shared" si="0"/>
        <v>_široký_Aventos_HK-XS</v>
      </c>
      <c r="CK4" s="137" t="str">
        <f t="shared" si="0"/>
        <v>_Úzký_FREElight</v>
      </c>
      <c r="CL4" s="137" t="str">
        <f t="shared" si="0"/>
        <v>_široký_FREElight</v>
      </c>
      <c r="CM4" s="137" t="str">
        <f t="shared" si="0"/>
        <v>_Úzký_FREEfold</v>
      </c>
      <c r="CN4" s="137" t="str">
        <f t="shared" si="0"/>
        <v>_široký_FREEfold</v>
      </c>
      <c r="CO4" s="137" t="str">
        <f t="shared" si="0"/>
        <v>_Úzký_Maxi</v>
      </c>
      <c r="CP4" s="137" t="str">
        <f t="shared" si="0"/>
        <v>_široký_Maxi</v>
      </c>
      <c r="CQ4" s="137" t="str">
        <f t="shared" si="0"/>
        <v>_Úzký_Duo_Forte</v>
      </c>
      <c r="CR4" s="137" t="str">
        <f t="shared" si="0"/>
        <v>_široký_Duo_Forte</v>
      </c>
      <c r="CS4" s="137" t="str">
        <f t="shared" si="0"/>
        <v>_Úzký_Duo</v>
      </c>
      <c r="CT4" s="137" t="str">
        <f t="shared" si="0"/>
        <v>_široký_Duo</v>
      </c>
      <c r="CU4" s="137" t="str">
        <f t="shared" si="0"/>
        <v>_Úzký_K12</v>
      </c>
      <c r="CV4" s="137" t="str">
        <f t="shared" si="0"/>
        <v>_široký_K12</v>
      </c>
      <c r="CW4" s="137" t="str">
        <f t="shared" si="0"/>
        <v>_Úzký_Spodní_K12</v>
      </c>
      <c r="CX4" s="137" t="str">
        <f t="shared" si="0"/>
        <v>_široký_Spodní_K12</v>
      </c>
      <c r="CY4" s="137" t="str">
        <f t="shared" si="0"/>
        <v>_Úzký_Kraby</v>
      </c>
      <c r="CZ4" s="137" t="str">
        <f t="shared" si="0"/>
        <v>_široký_Kraby</v>
      </c>
      <c r="DA4" s="137" t="str">
        <f t="shared" si="0"/>
        <v>_Úzký_Spodní_Kraby</v>
      </c>
      <c r="DB4" s="137" t="str">
        <f t="shared" si="0"/>
        <v>_široký_Spodní_Kraby</v>
      </c>
      <c r="DC4" s="137" t="str">
        <f t="shared" si="0"/>
        <v>_Úzký_Kiaro</v>
      </c>
      <c r="DD4" s="137" t="str">
        <f t="shared" si="0"/>
        <v>_široký_Kiaro</v>
      </c>
      <c r="DE4" s="137" t="str">
        <f t="shared" si="0"/>
        <v>_Úzký_Link</v>
      </c>
      <c r="DF4" s="137" t="str">
        <f t="shared" si="0"/>
        <v>_široký_Link</v>
      </c>
      <c r="DG4" s="137" t="str">
        <f t="shared" si="0"/>
        <v>_Úzký_Strong_horní</v>
      </c>
      <c r="DH4" s="137" t="str">
        <f t="shared" si="0"/>
        <v>_široký_Strong_horní</v>
      </c>
      <c r="DI4" s="137" t="str">
        <f t="shared" si="0"/>
        <v>_Úzký_Strong_spodní</v>
      </c>
      <c r="DJ4" s="137" t="str">
        <f t="shared" si="0"/>
        <v>_široký_Strong_spodní</v>
      </c>
      <c r="DK4" s="137" t="str">
        <f t="shared" si="0"/>
        <v>_Úzký_LiftMini</v>
      </c>
      <c r="DL4" s="137" t="str">
        <f t="shared" si="0"/>
        <v>_široký_LiftMini</v>
      </c>
      <c r="DN4" s="137" t="str">
        <f>'Translate &amp; Prices'!B535</f>
        <v>Vložený</v>
      </c>
    </row>
    <row r="5" spans="1:121" x14ac:dyDescent="0.3">
      <c r="A5" s="446" t="str">
        <f>'Translate &amp; Prices'!B8</f>
        <v>BRW bílá mat</v>
      </c>
      <c r="B5" s="137">
        <v>1</v>
      </c>
      <c r="C5" s="137" t="s">
        <v>1222</v>
      </c>
      <c r="D5" s="137">
        <v>0</v>
      </c>
      <c r="F5" s="137" t="s">
        <v>2090</v>
      </c>
      <c r="G5" s="137" t="s">
        <v>712</v>
      </c>
      <c r="H5" s="137" t="s">
        <v>2084</v>
      </c>
      <c r="I5" s="137">
        <v>1</v>
      </c>
      <c r="J5" s="137">
        <v>2</v>
      </c>
      <c r="K5" s="137" t="s">
        <v>1222</v>
      </c>
      <c r="M5" s="137" t="s">
        <v>2091</v>
      </c>
      <c r="N5" s="137" t="s">
        <v>1011</v>
      </c>
      <c r="Q5" s="446" t="str">
        <f>'Translate &amp; Prices'!$B$87</f>
        <v>Satinato</v>
      </c>
      <c r="R5" s="446" t="str">
        <f>'Translate &amp; Prices'!$B$94</f>
        <v>Lakomat</v>
      </c>
      <c r="S5" s="446" t="str">
        <f>'Translate &amp; Prices'!$B$87</f>
        <v>Satinato</v>
      </c>
      <c r="T5" s="446" t="str">
        <f>'Translate &amp; Prices'!$B$105</f>
        <v>Master  Ligne</v>
      </c>
      <c r="U5" s="446" t="str">
        <f>'Translate &amp; Prices'!$B$99</f>
        <v>Zrcadlo hnědé</v>
      </c>
      <c r="V5" s="446" t="str">
        <f>'Translate &amp; Prices'!$B$99</f>
        <v>Zrcadlo hnědé</v>
      </c>
      <c r="X5" s="137" t="str">
        <f>'Translate &amp; Prices'!$B$545</f>
        <v>Černá</v>
      </c>
      <c r="Y5" s="137">
        <v>3</v>
      </c>
      <c r="AA5" s="137" t="s">
        <v>2087</v>
      </c>
      <c r="AB5" s="137" t="s">
        <v>2275</v>
      </c>
      <c r="AC5" s="137">
        <v>0</v>
      </c>
      <c r="AD5" s="137">
        <v>0</v>
      </c>
      <c r="AF5" s="410" t="s">
        <v>245</v>
      </c>
      <c r="AG5" s="410" t="s">
        <v>2093</v>
      </c>
      <c r="AY5" s="137" t="s">
        <v>2117</v>
      </c>
      <c r="AZ5" s="137" t="s">
        <v>2155</v>
      </c>
      <c r="BK5" s="137" t="s">
        <v>2094</v>
      </c>
      <c r="BQ5" s="137" t="s">
        <v>1021</v>
      </c>
      <c r="BR5" s="137" t="s">
        <v>2109</v>
      </c>
      <c r="BV5" s="137" t="s">
        <v>2150</v>
      </c>
      <c r="BW5" s="137" t="s">
        <v>2145</v>
      </c>
      <c r="BY5" s="137" t="str">
        <f>'Translate &amp; Prices'!B207</f>
        <v>Nahoře</v>
      </c>
      <c r="BZ5" s="137">
        <v>3</v>
      </c>
      <c r="CA5" s="137">
        <v>76</v>
      </c>
      <c r="CD5" s="137" t="s">
        <v>2097</v>
      </c>
      <c r="CE5" s="137">
        <v>1</v>
      </c>
      <c r="CF5" s="137">
        <v>0</v>
      </c>
      <c r="CG5" s="404" t="s">
        <v>2177</v>
      </c>
      <c r="CH5" s="404" t="s">
        <v>2185</v>
      </c>
      <c r="CI5" s="404" t="s">
        <v>2192</v>
      </c>
      <c r="CJ5" s="404" t="s">
        <v>2197</v>
      </c>
      <c r="CK5" s="404" t="s">
        <v>2200</v>
      </c>
      <c r="CL5" s="404" t="s">
        <v>2210</v>
      </c>
      <c r="CM5" s="404" t="s">
        <v>2200</v>
      </c>
      <c r="CN5" s="404" t="s">
        <v>2210</v>
      </c>
      <c r="CO5" s="404" t="s">
        <v>2200</v>
      </c>
      <c r="CP5" s="404" t="s">
        <v>2210</v>
      </c>
      <c r="CQ5" s="404" t="s">
        <v>2221</v>
      </c>
      <c r="CR5" s="404" t="s">
        <v>2229</v>
      </c>
      <c r="CS5" s="404" t="s">
        <v>2221</v>
      </c>
      <c r="CT5" s="404" t="s">
        <v>2229</v>
      </c>
      <c r="CU5" s="404" t="s">
        <v>2200</v>
      </c>
      <c r="CV5" s="404" t="s">
        <v>2210</v>
      </c>
      <c r="CW5" s="404" t="s">
        <v>2221</v>
      </c>
      <c r="CX5" s="404" t="s">
        <v>2235</v>
      </c>
      <c r="CY5" s="404" t="s">
        <v>2200</v>
      </c>
      <c r="CZ5" s="404" t="s">
        <v>2210</v>
      </c>
      <c r="DA5" s="404" t="s">
        <v>2221</v>
      </c>
      <c r="DB5" s="404" t="s">
        <v>2235</v>
      </c>
      <c r="DC5" s="404" t="s">
        <v>2221</v>
      </c>
      <c r="DD5" s="404" t="s">
        <v>2235</v>
      </c>
      <c r="DE5" s="404" t="s">
        <v>2221</v>
      </c>
      <c r="DF5" s="404" t="s">
        <v>2235</v>
      </c>
      <c r="DG5" s="404" t="s">
        <v>2200</v>
      </c>
      <c r="DH5" s="404" t="s">
        <v>2210</v>
      </c>
      <c r="DI5" s="404" t="s">
        <v>2200</v>
      </c>
      <c r="DJ5" s="404" t="s">
        <v>2210</v>
      </c>
      <c r="DK5" s="404" t="s">
        <v>2221</v>
      </c>
      <c r="DL5" s="404" t="s">
        <v>2235</v>
      </c>
    </row>
    <row r="6" spans="1:121" x14ac:dyDescent="0.3">
      <c r="A6" s="446" t="str">
        <f>'Translate &amp; Prices'!B9</f>
        <v>BRW bílá lesk</v>
      </c>
      <c r="B6" s="137">
        <v>1</v>
      </c>
      <c r="C6" s="137" t="s">
        <v>1222</v>
      </c>
      <c r="D6" s="137">
        <v>0</v>
      </c>
      <c r="G6" s="137" t="s">
        <v>2084</v>
      </c>
      <c r="H6" s="137" t="s">
        <v>712</v>
      </c>
      <c r="I6" s="137">
        <v>0</v>
      </c>
      <c r="J6" s="137">
        <v>2</v>
      </c>
      <c r="K6" s="137" t="s">
        <v>1222</v>
      </c>
      <c r="N6" s="137" t="s">
        <v>1624</v>
      </c>
      <c r="Q6" s="446" t="str">
        <f>'Translate &amp; Prices'!$B$89</f>
        <v>Satinato hnědé</v>
      </c>
      <c r="R6" s="446" t="str">
        <f>'Translate &amp; Prices'!$B$98</f>
        <v>Zrcadlo</v>
      </c>
      <c r="S6" s="446" t="str">
        <f>'Translate &amp; Prices'!$B$89</f>
        <v>Satinato hnědé</v>
      </c>
      <c r="T6" s="446" t="str">
        <f>'Translate &amp; Prices'!$B$106</f>
        <v>Master  Point</v>
      </c>
      <c r="U6" s="446" t="str">
        <f>'Translate &amp; Prices'!$B$100</f>
        <v>Zrcadlo grafit</v>
      </c>
      <c r="V6" s="446" t="str">
        <f>'Translate &amp; Prices'!$B$100</f>
        <v>Zrcadlo grafit</v>
      </c>
      <c r="AA6" s="137" t="s">
        <v>2087</v>
      </c>
      <c r="AB6" s="137" t="s">
        <v>2276</v>
      </c>
      <c r="AC6" s="137">
        <v>0</v>
      </c>
      <c r="AD6" s="137">
        <v>0</v>
      </c>
      <c r="AF6" s="410" t="s">
        <v>246</v>
      </c>
      <c r="AG6" s="410" t="s">
        <v>2093</v>
      </c>
      <c r="AY6" s="137" t="s">
        <v>2117</v>
      </c>
      <c r="AZ6" s="137" t="s">
        <v>2156</v>
      </c>
      <c r="BK6" s="137" t="s">
        <v>2095</v>
      </c>
      <c r="BR6" s="137" t="s">
        <v>1021</v>
      </c>
      <c r="BV6" s="137" t="s">
        <v>2151</v>
      </c>
      <c r="BW6" s="137" t="s">
        <v>2146</v>
      </c>
      <c r="BY6" s="137" t="str">
        <f>'Translate &amp; Prices'!B208</f>
        <v>Dole</v>
      </c>
      <c r="BZ6" s="137">
        <v>4</v>
      </c>
      <c r="CA6" s="137">
        <v>96</v>
      </c>
      <c r="CD6" s="137" t="s">
        <v>2100</v>
      </c>
      <c r="CE6" s="137">
        <v>1</v>
      </c>
      <c r="CF6" s="137">
        <v>1</v>
      </c>
      <c r="CG6" s="404"/>
      <c r="CH6" s="404"/>
      <c r="CI6" s="404"/>
      <c r="CJ6" s="404"/>
      <c r="CK6" s="404" t="s">
        <v>2201</v>
      </c>
      <c r="CL6" s="404" t="s">
        <v>2211</v>
      </c>
      <c r="CM6" s="404" t="s">
        <v>2201</v>
      </c>
      <c r="CN6" s="404" t="s">
        <v>2211</v>
      </c>
      <c r="CO6" s="404" t="s">
        <v>2201</v>
      </c>
      <c r="CP6" s="404" t="s">
        <v>2211</v>
      </c>
      <c r="CQ6" s="404" t="s">
        <v>2222</v>
      </c>
      <c r="CR6" s="404" t="s">
        <v>2230</v>
      </c>
      <c r="CS6" s="404" t="s">
        <v>2222</v>
      </c>
      <c r="CT6" s="404" t="s">
        <v>2230</v>
      </c>
      <c r="CU6" s="404" t="s">
        <v>2201</v>
      </c>
      <c r="CV6" s="404" t="s">
        <v>2211</v>
      </c>
      <c r="CW6" s="404" t="s">
        <v>2223</v>
      </c>
      <c r="CX6" s="404" t="s">
        <v>2229</v>
      </c>
      <c r="CY6" s="404" t="s">
        <v>2201</v>
      </c>
      <c r="CZ6" s="404" t="s">
        <v>2211</v>
      </c>
      <c r="DA6" s="404" t="s">
        <v>2223</v>
      </c>
      <c r="DB6" s="404" t="s">
        <v>2229</v>
      </c>
      <c r="DC6" s="404" t="s">
        <v>2223</v>
      </c>
      <c r="DD6" s="404" t="s">
        <v>2229</v>
      </c>
      <c r="DE6" s="404" t="s">
        <v>2223</v>
      </c>
      <c r="DF6" s="404" t="s">
        <v>2229</v>
      </c>
      <c r="DG6" s="404" t="s">
        <v>2201</v>
      </c>
      <c r="DH6" s="404" t="s">
        <v>2211</v>
      </c>
      <c r="DI6" s="404" t="s">
        <v>2201</v>
      </c>
      <c r="DJ6" s="404" t="s">
        <v>2211</v>
      </c>
      <c r="DK6" s="404" t="s">
        <v>2223</v>
      </c>
      <c r="DL6" s="404" t="s">
        <v>2229</v>
      </c>
    </row>
    <row r="7" spans="1:121" x14ac:dyDescent="0.3">
      <c r="A7" s="446" t="str">
        <f>'Translate &amp; Prices'!B10</f>
        <v>BRW hnědá</v>
      </c>
      <c r="B7" s="137">
        <v>1</v>
      </c>
      <c r="C7" s="137" t="s">
        <v>1222</v>
      </c>
      <c r="D7" s="137">
        <v>0</v>
      </c>
      <c r="F7" s="137" t="s">
        <v>2096</v>
      </c>
      <c r="G7" s="137" t="s">
        <v>714</v>
      </c>
      <c r="H7" s="137" t="s">
        <v>2084</v>
      </c>
      <c r="I7" s="137">
        <v>1</v>
      </c>
      <c r="J7" s="137">
        <v>2</v>
      </c>
      <c r="K7" s="137" t="s">
        <v>1222</v>
      </c>
      <c r="Q7" s="446" t="str">
        <f>'Translate &amp; Prices'!$B$90</f>
        <v>Satinato grafit</v>
      </c>
      <c r="R7" s="446" t="str">
        <f>'Translate &amp; Prices'!$B$99</f>
        <v>Zrcadlo hnědé</v>
      </c>
      <c r="S7" s="446" t="str">
        <f>'Translate &amp; Prices'!$B$90</f>
        <v>Satinato grafit</v>
      </c>
      <c r="T7" s="446" t="str">
        <f>'Translate &amp; Prices'!$B$108</f>
        <v>Master  Shine</v>
      </c>
      <c r="U7" s="446" t="str">
        <f>'Translate &amp; Prices'!$B$109</f>
        <v>Lacobel RAL 1013</v>
      </c>
      <c r="V7" s="446" t="str">
        <f>'Translate &amp; Prices'!$B$109</f>
        <v>Lacobel RAL 1013</v>
      </c>
      <c r="AA7" s="137" t="s">
        <v>2087</v>
      </c>
      <c r="AB7" s="137" t="s">
        <v>2277</v>
      </c>
      <c r="AC7" s="137">
        <v>1</v>
      </c>
      <c r="AD7" s="137">
        <v>0</v>
      </c>
      <c r="AF7" s="407" t="s">
        <v>245</v>
      </c>
      <c r="AG7" s="407" t="s">
        <v>2097</v>
      </c>
      <c r="AY7" s="137" t="s">
        <v>2117</v>
      </c>
      <c r="AZ7" s="137" t="s">
        <v>2157</v>
      </c>
      <c r="BK7" s="137" t="s">
        <v>2098</v>
      </c>
      <c r="BR7" s="137" t="s">
        <v>2117</v>
      </c>
      <c r="BV7" s="137" t="s">
        <v>2169</v>
      </c>
      <c r="BW7" s="137" t="s">
        <v>2172</v>
      </c>
      <c r="CA7" s="137">
        <v>128</v>
      </c>
      <c r="CD7" s="137" t="s">
        <v>2102</v>
      </c>
      <c r="CE7" s="137">
        <v>1</v>
      </c>
      <c r="CF7" s="137">
        <v>0</v>
      </c>
      <c r="CG7" s="404"/>
      <c r="CH7" s="404"/>
      <c r="CI7" s="404"/>
      <c r="CJ7" s="404"/>
      <c r="CK7" s="404" t="s">
        <v>2202</v>
      </c>
      <c r="CL7" s="404" t="s">
        <v>2212</v>
      </c>
      <c r="CM7" s="404" t="s">
        <v>2202</v>
      </c>
      <c r="CN7" s="404" t="s">
        <v>2212</v>
      </c>
      <c r="CO7" s="404" t="s">
        <v>2202</v>
      </c>
      <c r="CP7" s="404" t="s">
        <v>2212</v>
      </c>
      <c r="CQ7" s="404" t="s">
        <v>2223</v>
      </c>
      <c r="CR7" s="404" t="s">
        <v>2231</v>
      </c>
      <c r="CS7" s="404" t="s">
        <v>2223</v>
      </c>
      <c r="CT7" s="404" t="s">
        <v>2231</v>
      </c>
      <c r="CU7" s="404" t="s">
        <v>2202</v>
      </c>
      <c r="CV7" s="404" t="s">
        <v>2212</v>
      </c>
      <c r="CW7" s="404" t="s">
        <v>2226</v>
      </c>
      <c r="CX7" s="404" t="s">
        <v>2231</v>
      </c>
      <c r="CY7" s="404" t="s">
        <v>2202</v>
      </c>
      <c r="CZ7" s="404" t="s">
        <v>2212</v>
      </c>
      <c r="DA7" s="404" t="s">
        <v>2226</v>
      </c>
      <c r="DB7" s="404" t="s">
        <v>2231</v>
      </c>
      <c r="DC7" s="404" t="s">
        <v>2226</v>
      </c>
      <c r="DD7" s="404" t="s">
        <v>2231</v>
      </c>
      <c r="DE7" s="404" t="s">
        <v>2226</v>
      </c>
      <c r="DF7" s="404" t="s">
        <v>2231</v>
      </c>
      <c r="DG7" s="404" t="s">
        <v>2202</v>
      </c>
      <c r="DH7" s="404" t="s">
        <v>2212</v>
      </c>
      <c r="DI7" s="404" t="s">
        <v>2202</v>
      </c>
      <c r="DJ7" s="404" t="s">
        <v>2212</v>
      </c>
      <c r="DK7" s="404" t="s">
        <v>2226</v>
      </c>
      <c r="DL7" s="404" t="s">
        <v>2231</v>
      </c>
      <c r="DN7" s="165" t="s">
        <v>125</v>
      </c>
      <c r="DO7" s="165" t="s">
        <v>125</v>
      </c>
    </row>
    <row r="8" spans="1:121" x14ac:dyDescent="0.3">
      <c r="A8" s="446" t="str">
        <f>'Translate &amp; Prices'!B11</f>
        <v>BRW broušené</v>
      </c>
      <c r="B8" s="137">
        <v>1</v>
      </c>
      <c r="C8" s="137" t="s">
        <v>1222</v>
      </c>
      <c r="D8" s="137">
        <v>0</v>
      </c>
      <c r="G8" s="137" t="s">
        <v>2084</v>
      </c>
      <c r="H8" s="137" t="s">
        <v>714</v>
      </c>
      <c r="I8" s="137">
        <v>0</v>
      </c>
      <c r="J8" s="137">
        <v>2</v>
      </c>
      <c r="K8" s="137" t="s">
        <v>1222</v>
      </c>
      <c r="Q8" s="446" t="str">
        <f>'Translate &amp; Prices'!$B$91</f>
        <v>Screen</v>
      </c>
      <c r="R8" s="446" t="str">
        <f>'Translate &amp; Prices'!$B$100</f>
        <v>Zrcadlo grafit</v>
      </c>
      <c r="S8" s="446" t="str">
        <f>'Translate &amp; Prices'!$B$91</f>
        <v>Screen</v>
      </c>
      <c r="U8" s="446" t="str">
        <f>'Translate &amp; Prices'!$B$110</f>
        <v>Lacobel RAL 1014</v>
      </c>
      <c r="V8" s="446" t="str">
        <f>'Translate &amp; Prices'!$B$110</f>
        <v>Lacobel RAL 1014</v>
      </c>
      <c r="AA8" s="137" t="s">
        <v>2087</v>
      </c>
      <c r="AB8" s="137" t="s">
        <v>2278</v>
      </c>
      <c r="AC8" s="137">
        <v>0</v>
      </c>
      <c r="AD8" s="137">
        <v>0</v>
      </c>
      <c r="AF8" s="407" t="s">
        <v>246</v>
      </c>
      <c r="AG8" s="407" t="s">
        <v>2097</v>
      </c>
      <c r="AY8" s="137" t="s">
        <v>2117</v>
      </c>
      <c r="AZ8" s="137" t="s">
        <v>2158</v>
      </c>
      <c r="BV8" s="137" t="s">
        <v>2170</v>
      </c>
      <c r="BW8" s="137" t="s">
        <v>2173</v>
      </c>
      <c r="BY8" s="137">
        <v>2</v>
      </c>
      <c r="CA8" s="137">
        <v>160</v>
      </c>
      <c r="CD8" s="137" t="s">
        <v>2274</v>
      </c>
      <c r="CE8" s="137">
        <v>1</v>
      </c>
      <c r="CF8" s="137">
        <v>0</v>
      </c>
      <c r="CG8" s="404"/>
      <c r="CH8" s="404"/>
      <c r="CI8" s="404"/>
      <c r="CJ8" s="404"/>
      <c r="CK8" s="404" t="s">
        <v>2203</v>
      </c>
      <c r="CL8" s="404" t="s">
        <v>2213</v>
      </c>
      <c r="CM8" s="404" t="s">
        <v>2203</v>
      </c>
      <c r="CN8" s="404" t="s">
        <v>2213</v>
      </c>
      <c r="CO8" s="404" t="s">
        <v>2203</v>
      </c>
      <c r="CP8" s="404" t="s">
        <v>2213</v>
      </c>
      <c r="CQ8" s="404" t="s">
        <v>2224</v>
      </c>
      <c r="CR8" s="404" t="s">
        <v>2232</v>
      </c>
      <c r="CS8" s="404" t="s">
        <v>2224</v>
      </c>
      <c r="CT8" s="404" t="s">
        <v>2232</v>
      </c>
      <c r="CU8" s="404" t="s">
        <v>2203</v>
      </c>
      <c r="CV8" s="404" t="s">
        <v>2213</v>
      </c>
      <c r="CW8" s="404"/>
      <c r="CX8" s="404" t="s">
        <v>2233</v>
      </c>
      <c r="CY8" s="404" t="s">
        <v>2203</v>
      </c>
      <c r="CZ8" s="404" t="s">
        <v>2213</v>
      </c>
      <c r="DA8" s="404"/>
      <c r="DB8" s="404" t="s">
        <v>2233</v>
      </c>
      <c r="DC8" s="404"/>
      <c r="DD8" s="404" t="s">
        <v>2233</v>
      </c>
      <c r="DE8" s="404"/>
      <c r="DF8" s="404" t="s">
        <v>2233</v>
      </c>
      <c r="DG8" s="404" t="s">
        <v>2203</v>
      </c>
      <c r="DH8" s="404" t="s">
        <v>2213</v>
      </c>
      <c r="DI8" s="404" t="s">
        <v>2203</v>
      </c>
      <c r="DJ8" s="404" t="s">
        <v>2213</v>
      </c>
      <c r="DK8" s="404"/>
      <c r="DL8" s="404" t="s">
        <v>2233</v>
      </c>
      <c r="DN8" s="165" t="s">
        <v>126</v>
      </c>
      <c r="DO8" s="165" t="s">
        <v>126</v>
      </c>
    </row>
    <row r="9" spans="1:121" x14ac:dyDescent="0.3">
      <c r="A9" s="446" t="str">
        <f>'Translate &amp; Prices'!B12</f>
        <v>BRW černá mat</v>
      </c>
      <c r="B9" s="137">
        <v>1</v>
      </c>
      <c r="C9" s="137" t="s">
        <v>1222</v>
      </c>
      <c r="D9" s="137">
        <v>1</v>
      </c>
      <c r="Q9" s="446" t="str">
        <f>'Translate &amp; Prices'!$B$92</f>
        <v>Venus VG10</v>
      </c>
      <c r="R9" s="446" t="str">
        <f>'Translate &amp; Prices'!$B$105</f>
        <v>Master  Ligne</v>
      </c>
      <c r="S9" s="446" t="str">
        <f>'Translate &amp; Prices'!$B$92</f>
        <v>Venus VG10</v>
      </c>
      <c r="U9" s="446" t="str">
        <f>'Translate &amp; Prices'!$B$111</f>
        <v>Lacobel RAL 1015</v>
      </c>
      <c r="V9" s="446" t="str">
        <f>'Translate &amp; Prices'!$B$111</f>
        <v>Lacobel RAL 1015</v>
      </c>
      <c r="AB9" s="137" t="s">
        <v>2279</v>
      </c>
      <c r="AC9" s="137">
        <v>0</v>
      </c>
      <c r="AD9" s="137">
        <v>0</v>
      </c>
      <c r="AF9" s="410" t="s">
        <v>245</v>
      </c>
      <c r="AG9" s="410" t="s">
        <v>2100</v>
      </c>
      <c r="AY9" s="137" t="s">
        <v>2087</v>
      </c>
      <c r="BV9" s="137" t="s">
        <v>2171</v>
      </c>
      <c r="BW9" s="137" t="s">
        <v>2174</v>
      </c>
      <c r="BY9" s="137">
        <v>3</v>
      </c>
      <c r="CA9" s="137">
        <v>192</v>
      </c>
      <c r="CD9" s="137" t="s">
        <v>2107</v>
      </c>
      <c r="CE9" s="137">
        <v>1</v>
      </c>
      <c r="CF9" s="137">
        <v>0</v>
      </c>
      <c r="CG9" s="404"/>
      <c r="CH9" s="404"/>
      <c r="CI9" s="404"/>
      <c r="CJ9" s="404"/>
      <c r="CK9" s="404" t="s">
        <v>2204</v>
      </c>
      <c r="CL9" s="404" t="s">
        <v>2214</v>
      </c>
      <c r="CM9" s="404" t="s">
        <v>2204</v>
      </c>
      <c r="CN9" s="404" t="s">
        <v>2214</v>
      </c>
      <c r="CO9" s="404" t="s">
        <v>2204</v>
      </c>
      <c r="CP9" s="404" t="s">
        <v>2214</v>
      </c>
      <c r="CQ9" s="404" t="s">
        <v>2225</v>
      </c>
      <c r="CR9" s="404" t="s">
        <v>2233</v>
      </c>
      <c r="CS9" s="404" t="s">
        <v>2225</v>
      </c>
      <c r="CT9" s="404" t="s">
        <v>2233</v>
      </c>
      <c r="CU9" s="404" t="s">
        <v>2204</v>
      </c>
      <c r="CV9" s="404" t="s">
        <v>2214</v>
      </c>
      <c r="CW9" s="404"/>
      <c r="CX9" s="404"/>
      <c r="CY9" s="404" t="s">
        <v>2204</v>
      </c>
      <c r="CZ9" s="404" t="s">
        <v>2214</v>
      </c>
      <c r="DA9" s="404"/>
      <c r="DB9" s="404"/>
      <c r="DC9" s="404"/>
      <c r="DD9" s="404"/>
      <c r="DE9" s="404"/>
      <c r="DF9" s="404"/>
      <c r="DG9" s="404" t="s">
        <v>2204</v>
      </c>
      <c r="DH9" s="404" t="s">
        <v>2214</v>
      </c>
      <c r="DI9" s="404" t="s">
        <v>2204</v>
      </c>
      <c r="DJ9" s="404" t="s">
        <v>2214</v>
      </c>
      <c r="DK9" s="404"/>
      <c r="DL9" s="404"/>
      <c r="DN9" s="165" t="s">
        <v>127</v>
      </c>
      <c r="DO9" s="165" t="s">
        <v>127</v>
      </c>
    </row>
    <row r="10" spans="1:121" x14ac:dyDescent="0.3">
      <c r="A10" s="446" t="str">
        <f>'Translate &amp; Prices'!B14</f>
        <v>BRW černá broušená</v>
      </c>
      <c r="B10" s="137">
        <v>1</v>
      </c>
      <c r="C10" s="137" t="s">
        <v>1222</v>
      </c>
      <c r="D10" s="137">
        <v>0</v>
      </c>
      <c r="Q10" s="446" t="str">
        <f>'Translate &amp; Prices'!$B$93</f>
        <v>Stopsol bronz</v>
      </c>
      <c r="R10" s="446" t="str">
        <f>'Translate &amp; Prices'!$B$106</f>
        <v>Master  Point</v>
      </c>
      <c r="S10" s="446" t="str">
        <f>'Translate &amp; Prices'!$B$93</f>
        <v>Stopsol bronz</v>
      </c>
      <c r="U10" s="446" t="str">
        <f>'Translate &amp; Prices'!$B$112</f>
        <v>Lacobel RAL 2001</v>
      </c>
      <c r="V10" s="446" t="str">
        <f>'Translate &amp; Prices'!$B$112</f>
        <v>Lacobel RAL 2001</v>
      </c>
      <c r="AF10" s="410" t="s">
        <v>246</v>
      </c>
      <c r="AG10" s="410" t="s">
        <v>2100</v>
      </c>
      <c r="AY10" s="137" t="s">
        <v>2087</v>
      </c>
      <c r="AZ10" s="137" t="s">
        <v>2159</v>
      </c>
      <c r="CA10" s="137">
        <v>224</v>
      </c>
      <c r="CD10" s="137" t="s">
        <v>2108</v>
      </c>
      <c r="CE10" s="137">
        <v>1</v>
      </c>
      <c r="CF10" s="137">
        <v>0</v>
      </c>
      <c r="CG10" s="404"/>
      <c r="CH10" s="404"/>
      <c r="CI10" s="404"/>
      <c r="CJ10" s="404"/>
      <c r="CK10" s="404" t="s">
        <v>2205</v>
      </c>
      <c r="CL10" s="404" t="s">
        <v>2215</v>
      </c>
      <c r="CM10" s="404" t="s">
        <v>2205</v>
      </c>
      <c r="CN10" s="404" t="s">
        <v>2215</v>
      </c>
      <c r="CO10" s="404" t="s">
        <v>2205</v>
      </c>
      <c r="CP10" s="404" t="s">
        <v>2215</v>
      </c>
      <c r="CQ10" s="404" t="s">
        <v>2226</v>
      </c>
      <c r="CR10" s="404" t="s">
        <v>2234</v>
      </c>
      <c r="CS10" s="404" t="s">
        <v>2226</v>
      </c>
      <c r="CT10" s="404" t="s">
        <v>2234</v>
      </c>
      <c r="CU10" s="404" t="s">
        <v>2205</v>
      </c>
      <c r="CV10" s="404" t="s">
        <v>2215</v>
      </c>
      <c r="CW10" s="404"/>
      <c r="CX10" s="404"/>
      <c r="CY10" s="404" t="s">
        <v>2205</v>
      </c>
      <c r="CZ10" s="404" t="s">
        <v>2215</v>
      </c>
      <c r="DA10" s="404"/>
      <c r="DB10" s="404"/>
      <c r="DC10" s="404"/>
      <c r="DD10" s="404"/>
      <c r="DE10" s="404"/>
      <c r="DF10" s="404"/>
      <c r="DG10" s="404" t="s">
        <v>2205</v>
      </c>
      <c r="DH10" s="404" t="s">
        <v>2215</v>
      </c>
      <c r="DI10" s="404" t="s">
        <v>2205</v>
      </c>
      <c r="DJ10" s="404" t="s">
        <v>2215</v>
      </c>
      <c r="DK10" s="404"/>
      <c r="DL10" s="404"/>
      <c r="DN10" s="166" t="s">
        <v>125</v>
      </c>
      <c r="DO10" s="165" t="s">
        <v>125</v>
      </c>
    </row>
    <row r="11" spans="1:121" x14ac:dyDescent="0.3">
      <c r="A11" s="446" t="str">
        <f>'Translate &amp; Prices'!B15</f>
        <v>BRW světlá nerez (ACIER GRATA)</v>
      </c>
      <c r="B11" s="137">
        <v>1</v>
      </c>
      <c r="C11" s="137" t="s">
        <v>1222</v>
      </c>
      <c r="D11" s="137">
        <v>0</v>
      </c>
      <c r="Q11" s="446" t="str">
        <f>'Translate &amp; Prices'!$B$94</f>
        <v>Lakomat</v>
      </c>
      <c r="R11" s="446" t="str">
        <f>'Translate &amp; Prices'!$B$108</f>
        <v>Master  Shine</v>
      </c>
      <c r="S11" s="446" t="str">
        <f>'Translate &amp; Prices'!$B$96</f>
        <v>Antisol bronz</v>
      </c>
      <c r="U11" s="446" t="str">
        <f>'Translate &amp; Prices'!$B$113</f>
        <v>Lacobel RAL 3004</v>
      </c>
      <c r="V11" s="446" t="str">
        <f>'Translate &amp; Prices'!$B$113</f>
        <v>Lacobel RAL 3004</v>
      </c>
      <c r="AF11" s="407" t="s">
        <v>245</v>
      </c>
      <c r="AG11" s="407" t="s">
        <v>2102</v>
      </c>
      <c r="AY11" s="137" t="s">
        <v>2087</v>
      </c>
      <c r="AZ11" s="137" t="s">
        <v>2160</v>
      </c>
      <c r="CA11" s="137">
        <v>240</v>
      </c>
      <c r="CD11" s="137" t="s">
        <v>2269</v>
      </c>
      <c r="CE11" s="137">
        <v>1</v>
      </c>
      <c r="CF11" s="137">
        <v>0</v>
      </c>
      <c r="CG11" s="404"/>
      <c r="CH11" s="404"/>
      <c r="CI11" s="404"/>
      <c r="CJ11" s="404"/>
      <c r="CK11" s="404" t="s">
        <v>2206</v>
      </c>
      <c r="CL11" s="404"/>
      <c r="CM11" s="404" t="s">
        <v>2206</v>
      </c>
      <c r="CN11" s="404"/>
      <c r="CO11" s="404" t="s">
        <v>2206</v>
      </c>
      <c r="CP11" s="404"/>
      <c r="CQ11" s="404" t="s">
        <v>2227</v>
      </c>
      <c r="CR11" s="404"/>
      <c r="CS11" s="404" t="s">
        <v>2227</v>
      </c>
      <c r="CT11" s="404"/>
      <c r="CU11" s="404" t="s">
        <v>2206</v>
      </c>
      <c r="CV11" s="404"/>
      <c r="CW11" s="404"/>
      <c r="CX11" s="404"/>
      <c r="CY11" s="404" t="s">
        <v>2206</v>
      </c>
      <c r="CZ11" s="404"/>
      <c r="DA11" s="404"/>
      <c r="DB11" s="404"/>
      <c r="DC11" s="404"/>
      <c r="DD11" s="404"/>
      <c r="DE11" s="404"/>
      <c r="DF11" s="404"/>
      <c r="DG11" s="404" t="s">
        <v>2206</v>
      </c>
      <c r="DH11" s="404"/>
      <c r="DI11" s="404" t="s">
        <v>2206</v>
      </c>
      <c r="DJ11" s="404"/>
      <c r="DK11" s="404"/>
      <c r="DL11" s="404"/>
      <c r="DN11" s="166" t="s">
        <v>126</v>
      </c>
      <c r="DO11" s="165" t="s">
        <v>126</v>
      </c>
    </row>
    <row r="12" spans="1:121" x14ac:dyDescent="0.3">
      <c r="A12" s="446" t="str">
        <f>'Translate &amp; Prices'!B16</f>
        <v>BRW champagne</v>
      </c>
      <c r="B12" s="137">
        <v>1</v>
      </c>
      <c r="C12" s="137" t="s">
        <v>1222</v>
      </c>
      <c r="D12" s="137">
        <v>0</v>
      </c>
      <c r="Q12" s="446" t="str">
        <f>'Translate &amp; Prices'!$B$95</f>
        <v>Pisek</v>
      </c>
      <c r="R12" s="446" t="str">
        <f>'Translate &amp; Prices'!$B$109</f>
        <v>Lacobel RAL 1013</v>
      </c>
      <c r="S12" s="446" t="str">
        <f>'Translate &amp; Prices'!$B$97</f>
        <v>Antisol grafit</v>
      </c>
      <c r="U12" s="446" t="str">
        <f>'Translate &amp; Prices'!$B$114</f>
        <v>Lacobel RAL 4006</v>
      </c>
      <c r="V12" s="446" t="str">
        <f>'Translate &amp; Prices'!$B$114</f>
        <v>Lacobel RAL 4006</v>
      </c>
      <c r="AF12" s="407" t="s">
        <v>246</v>
      </c>
      <c r="AG12" s="407" t="s">
        <v>2102</v>
      </c>
      <c r="AY12" s="137" t="s">
        <v>2087</v>
      </c>
      <c r="AZ12" s="137" t="s">
        <v>2161</v>
      </c>
      <c r="CA12" s="137">
        <v>256</v>
      </c>
      <c r="CD12" s="137" t="s">
        <v>2111</v>
      </c>
      <c r="CE12" s="137">
        <v>1</v>
      </c>
      <c r="CF12" s="137">
        <v>0</v>
      </c>
      <c r="CG12" s="404"/>
      <c r="CH12" s="404"/>
      <c r="CI12" s="404"/>
      <c r="CJ12" s="404"/>
      <c r="CK12" s="404" t="s">
        <v>2207</v>
      </c>
      <c r="CL12" s="404"/>
      <c r="CM12" s="404" t="s">
        <v>2207</v>
      </c>
      <c r="CN12" s="404"/>
      <c r="CO12" s="404" t="s">
        <v>2207</v>
      </c>
      <c r="CP12" s="404"/>
      <c r="CQ12" s="404" t="s">
        <v>2228</v>
      </c>
      <c r="CR12" s="404"/>
      <c r="CS12" s="404" t="s">
        <v>2228</v>
      </c>
      <c r="CT12" s="404"/>
      <c r="CU12" s="404" t="s">
        <v>2207</v>
      </c>
      <c r="CV12" s="404"/>
      <c r="CW12" s="404"/>
      <c r="CX12" s="404"/>
      <c r="CY12" s="404" t="s">
        <v>2207</v>
      </c>
      <c r="CZ12" s="404"/>
      <c r="DA12" s="404"/>
      <c r="DB12" s="404"/>
      <c r="DC12" s="404"/>
      <c r="DD12" s="404"/>
      <c r="DE12" s="404"/>
      <c r="DF12" s="404"/>
      <c r="DG12" s="404" t="s">
        <v>2207</v>
      </c>
      <c r="DH12" s="404"/>
      <c r="DI12" s="404" t="s">
        <v>2207</v>
      </c>
      <c r="DJ12" s="404"/>
      <c r="DK12" s="404"/>
      <c r="DL12" s="404"/>
      <c r="DN12" s="166" t="s">
        <v>127</v>
      </c>
      <c r="DO12" s="165" t="s">
        <v>127</v>
      </c>
    </row>
    <row r="13" spans="1:121" x14ac:dyDescent="0.3">
      <c r="A13" s="446" t="str">
        <f>'Translate &amp; Prices'!B17</f>
        <v>BRW tmavá nerez br. (Inox lija)</v>
      </c>
      <c r="B13" s="137">
        <v>1</v>
      </c>
      <c r="C13" s="137" t="s">
        <v>1222</v>
      </c>
      <c r="D13" s="137">
        <v>0</v>
      </c>
      <c r="Q13" s="446" t="str">
        <f>'Translate &amp; Prices'!$B$96</f>
        <v>Antisol bronz</v>
      </c>
      <c r="R13" s="446" t="str">
        <f>'Translate &amp; Prices'!$B$110</f>
        <v>Lacobel RAL 1014</v>
      </c>
      <c r="S13" s="446" t="str">
        <f>'Translate &amp; Prices'!$B$102</f>
        <v>Krizet</v>
      </c>
      <c r="U13" s="446" t="str">
        <f>'Translate &amp; Prices'!$B$115</f>
        <v>Lacobel RAL 5002</v>
      </c>
      <c r="V13" s="446" t="str">
        <f>'Translate &amp; Prices'!$B$115</f>
        <v>Lacobel RAL 5002</v>
      </c>
      <c r="AF13" s="410" t="s">
        <v>245</v>
      </c>
      <c r="AG13" s="410" t="s">
        <v>2105</v>
      </c>
      <c r="AY13" s="137" t="s">
        <v>2087</v>
      </c>
      <c r="AZ13" s="137" t="s">
        <v>2162</v>
      </c>
      <c r="BY13" s="137" t="str">
        <f>'Translate &amp; Prices'!B537</f>
        <v>Ne</v>
      </c>
      <c r="BZ13" s="137">
        <v>0</v>
      </c>
      <c r="CA13" s="137">
        <v>288</v>
      </c>
      <c r="CD13" s="137" t="s">
        <v>2268</v>
      </c>
      <c r="CE13" s="137">
        <v>1</v>
      </c>
      <c r="CF13" s="137">
        <v>0</v>
      </c>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N13" s="166" t="s">
        <v>492</v>
      </c>
      <c r="DO13" s="165" t="s">
        <v>125</v>
      </c>
    </row>
    <row r="14" spans="1:121" x14ac:dyDescent="0.3">
      <c r="A14" s="446" t="str">
        <f>'Translate &amp; Prices'!B18</f>
        <v>Corleone (elox.)</v>
      </c>
      <c r="B14" s="137">
        <v>2</v>
      </c>
      <c r="C14" s="137" t="s">
        <v>1222</v>
      </c>
      <c r="D14" s="137">
        <v>0</v>
      </c>
      <c r="F14" s="137" t="str">
        <f>'Translate &amp; Prices'!B60</f>
        <v>Varna (Vlevo a Vpravo) + Siena (Nahoře a dole)</v>
      </c>
      <c r="Q14" s="446" t="str">
        <f>'Translate &amp; Prices'!$B$97</f>
        <v>Antisol grafit</v>
      </c>
      <c r="R14" s="446" t="str">
        <f>'Translate &amp; Prices'!$B$111</f>
        <v>Lacobel RAL 1015</v>
      </c>
      <c r="S14" s="446" t="str">
        <f>'Translate &amp; Prices'!$B$103</f>
        <v>Master (Carre)</v>
      </c>
      <c r="U14" s="446" t="str">
        <f>'Translate &amp; Prices'!$B$116</f>
        <v>Lacobel RAL 7035</v>
      </c>
      <c r="V14" s="446" t="str">
        <f>'Translate &amp; Prices'!$B$116</f>
        <v>Lacobel RAL 7035</v>
      </c>
      <c r="AA14" s="137" t="s">
        <v>2099</v>
      </c>
      <c r="AB14" s="137" t="s">
        <v>2148</v>
      </c>
      <c r="AF14" s="410" t="s">
        <v>246</v>
      </c>
      <c r="AG14" s="410" t="s">
        <v>2105</v>
      </c>
      <c r="AY14" s="137" t="s">
        <v>2087</v>
      </c>
      <c r="AZ14" s="137" t="s">
        <v>2163</v>
      </c>
      <c r="BY14" s="137" t="str">
        <f>'Translate &amp; Prices'!B538</f>
        <v>Horizontálně</v>
      </c>
      <c r="BZ14" s="137">
        <v>1</v>
      </c>
      <c r="CA14" s="137">
        <v>320</v>
      </c>
      <c r="CD14" s="137" t="s">
        <v>2113</v>
      </c>
      <c r="CE14" s="137">
        <v>1</v>
      </c>
      <c r="CF14" s="137">
        <v>0</v>
      </c>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4"/>
      <c r="DF14" s="404"/>
      <c r="DG14" s="404"/>
      <c r="DH14" s="404"/>
      <c r="DI14" s="404"/>
      <c r="DJ14" s="404"/>
      <c r="DK14" s="404"/>
      <c r="DL14" s="404"/>
      <c r="DN14" s="166" t="s">
        <v>493</v>
      </c>
      <c r="DO14" s="165" t="s">
        <v>126</v>
      </c>
    </row>
    <row r="15" spans="1:121" x14ac:dyDescent="0.3">
      <c r="A15" s="446" t="str">
        <f>'Translate &amp; Prices'!B19</f>
        <v>Corleone černé mat</v>
      </c>
      <c r="B15" s="137">
        <v>2</v>
      </c>
      <c r="C15" s="137" t="s">
        <v>1222</v>
      </c>
      <c r="D15" s="137">
        <v>0</v>
      </c>
      <c r="F15" s="137" t="str">
        <f>'Translate &amp; Prices'!B61</f>
        <v>Siena (Vlevo a vpravo) + Varna (Nahoře a dole)</v>
      </c>
      <c r="Q15" s="446" t="str">
        <f>'Translate &amp; Prices'!$B$98</f>
        <v>Zrcadlo</v>
      </c>
      <c r="R15" s="446" t="str">
        <f>'Translate &amp; Prices'!$B$112</f>
        <v>Lacobel RAL 2001</v>
      </c>
      <c r="S15" s="446" t="str">
        <f>'Translate &amp; Prices'!$B$104</f>
        <v xml:space="preserve">Master  Lens </v>
      </c>
      <c r="U15" s="446" t="str">
        <f>'Translate &amp; Prices'!$B$117</f>
        <v>Lacobel RAL 8017</v>
      </c>
      <c r="V15" s="446" t="str">
        <f>'Translate &amp; Prices'!$B$117</f>
        <v>Lacobel RAL 8017</v>
      </c>
      <c r="AA15" s="137" t="s">
        <v>2099</v>
      </c>
      <c r="AB15" s="137" t="s">
        <v>2097</v>
      </c>
      <c r="AC15" s="137">
        <v>1</v>
      </c>
      <c r="AD15" s="137">
        <v>0</v>
      </c>
      <c r="AF15" s="407" t="s">
        <v>245</v>
      </c>
      <c r="AG15" s="407" t="s">
        <v>2107</v>
      </c>
      <c r="AY15" s="137" t="s">
        <v>1021</v>
      </c>
      <c r="BY15" s="137" t="str">
        <f>'Translate &amp; Prices'!B539</f>
        <v>Vertikálně</v>
      </c>
      <c r="BZ15" s="137">
        <v>2</v>
      </c>
      <c r="CD15" s="137" t="s">
        <v>2114</v>
      </c>
      <c r="CE15" s="137">
        <v>1</v>
      </c>
      <c r="CF15" s="137">
        <v>0</v>
      </c>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N15" s="166" t="s">
        <v>2348</v>
      </c>
      <c r="DO15" s="165" t="s">
        <v>127</v>
      </c>
    </row>
    <row r="16" spans="1:121" x14ac:dyDescent="0.3">
      <c r="A16" s="446" t="str">
        <f>'Translate &amp; Prices'!B20</f>
        <v>Corleone champagne</v>
      </c>
      <c r="B16" s="137">
        <v>2</v>
      </c>
      <c r="C16" s="137" t="s">
        <v>1222</v>
      </c>
      <c r="D16" s="137">
        <v>0</v>
      </c>
      <c r="F16" s="137" t="str">
        <f>'Translate &amp; Prices'!B62</f>
        <v>Varna černá (Vlevo a Vpravo) + Siena černá (Nahoře a dole)</v>
      </c>
      <c r="Q16" s="446" t="str">
        <f>'Translate &amp; Prices'!$B$99</f>
        <v>Zrcadlo hnědé</v>
      </c>
      <c r="R16" s="446" t="str">
        <f>'Translate &amp; Prices'!$B$113</f>
        <v>Lacobel RAL 3004</v>
      </c>
      <c r="S16" s="446" t="str">
        <f>'Translate &amp; Prices'!$B$105</f>
        <v>Master  Ligne</v>
      </c>
      <c r="U16" s="446" t="str">
        <f>'Translate &amp; Prices'!$B$118</f>
        <v>Lacobel RAL 9003</v>
      </c>
      <c r="V16" s="446" t="str">
        <f>'Translate &amp; Prices'!$B$118</f>
        <v>Lacobel RAL 9003</v>
      </c>
      <c r="AA16" s="137" t="s">
        <v>2099</v>
      </c>
      <c r="AB16" s="137" t="s">
        <v>2100</v>
      </c>
      <c r="AC16" s="137">
        <v>1</v>
      </c>
      <c r="AD16" s="137">
        <v>1</v>
      </c>
      <c r="AF16" s="407" t="s">
        <v>246</v>
      </c>
      <c r="AG16" s="407" t="s">
        <v>2107</v>
      </c>
      <c r="AY16" s="137" t="s">
        <v>1021</v>
      </c>
      <c r="AZ16" s="137" t="s">
        <v>2164</v>
      </c>
      <c r="BY16" s="137" t="str">
        <f>'Translate &amp; Prices'!B540</f>
        <v>Horizontálně i Vertikálně</v>
      </c>
      <c r="BZ16" s="137">
        <v>3</v>
      </c>
      <c r="CD16" s="137" t="s">
        <v>2638</v>
      </c>
      <c r="CE16" s="137">
        <v>1</v>
      </c>
      <c r="CF16" s="137">
        <v>1</v>
      </c>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4"/>
      <c r="DF16" s="404"/>
      <c r="DG16" s="404"/>
      <c r="DH16" s="404"/>
      <c r="DI16" s="404"/>
      <c r="DJ16" s="404"/>
      <c r="DK16" s="404"/>
      <c r="DL16" s="404"/>
      <c r="DN16" s="166" t="s">
        <v>568</v>
      </c>
      <c r="DO16" s="165" t="s">
        <v>125</v>
      </c>
    </row>
    <row r="17" spans="1:119" x14ac:dyDescent="0.3">
      <c r="A17" s="446" t="str">
        <f>'Translate &amp; Prices'!B21</f>
        <v>Imola (elox.)</v>
      </c>
      <c r="B17" s="137">
        <v>2</v>
      </c>
      <c r="C17" s="137" t="s">
        <v>2133</v>
      </c>
      <c r="D17" s="137">
        <v>0</v>
      </c>
      <c r="F17" s="137" t="str">
        <f>'Translate &amp; Prices'!B63</f>
        <v>Siena černá (Vlevo a vpravo) + Varna černá (Nahoře a dole)</v>
      </c>
      <c r="Q17" s="446" t="str">
        <f>'Translate &amp; Prices'!$B$100</f>
        <v>Zrcadlo grafit</v>
      </c>
      <c r="R17" s="446" t="str">
        <f>'Translate &amp; Prices'!$B$114</f>
        <v>Lacobel RAL 4006</v>
      </c>
      <c r="S17" s="446" t="str">
        <f>'Translate &amp; Prices'!$B$106</f>
        <v>Master  Point</v>
      </c>
      <c r="U17" s="446" t="str">
        <f>'Translate &amp; Prices'!$B$119</f>
        <v>Lacobel RAL 9005</v>
      </c>
      <c r="V17" s="446" t="str">
        <f>'Translate &amp; Prices'!$B$119</f>
        <v>Lacobel RAL 9005</v>
      </c>
      <c r="AA17" s="137" t="s">
        <v>2099</v>
      </c>
      <c r="AB17" s="137" t="s">
        <v>2101</v>
      </c>
      <c r="AC17" s="137">
        <v>0</v>
      </c>
      <c r="AD17" s="137">
        <v>0</v>
      </c>
      <c r="AF17" s="410" t="s">
        <v>245</v>
      </c>
      <c r="AG17" s="410" t="s">
        <v>2108</v>
      </c>
      <c r="AY17" s="137" t="s">
        <v>1021</v>
      </c>
      <c r="AZ17" s="137" t="s">
        <v>2165</v>
      </c>
      <c r="CD17" s="137" t="s">
        <v>2639</v>
      </c>
      <c r="CE17" s="137">
        <v>1</v>
      </c>
      <c r="CF17" s="137">
        <v>1</v>
      </c>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N17" s="166" t="s">
        <v>569</v>
      </c>
      <c r="DO17" s="165" t="s">
        <v>126</v>
      </c>
    </row>
    <row r="18" spans="1:119" x14ac:dyDescent="0.3">
      <c r="A18" s="446" t="str">
        <f>'Translate &amp; Prices'!B22</f>
        <v>Imola černá mat</v>
      </c>
      <c r="B18" s="137">
        <v>2</v>
      </c>
      <c r="C18" s="137" t="s">
        <v>2133</v>
      </c>
      <c r="D18" s="137">
        <v>0</v>
      </c>
      <c r="F18" s="137" t="str">
        <f>'Translate &amp; Prices'!B64</f>
        <v>Varna (Vlevo a Vpravo) + Palio (Nahoře a dole)</v>
      </c>
      <c r="Q18" s="446" t="str">
        <f>'Translate &amp; Prices'!$B$102</f>
        <v>Krizet</v>
      </c>
      <c r="R18" s="446" t="str">
        <f>'Translate &amp; Prices'!$B$115</f>
        <v>Lacobel RAL 5002</v>
      </c>
      <c r="S18" s="446" t="str">
        <f>'Translate &amp; Prices'!$B$107</f>
        <v xml:space="preserve">Master  Ray </v>
      </c>
      <c r="U18" s="446" t="str">
        <f>'Translate &amp; Prices'!$B$120</f>
        <v>Lacobel RAL 9006</v>
      </c>
      <c r="V18" s="446" t="str">
        <f>'Translate &amp; Prices'!$B$120</f>
        <v>Lacobel RAL 9006</v>
      </c>
      <c r="AA18" s="137" t="s">
        <v>2099</v>
      </c>
      <c r="AB18" s="137" t="s">
        <v>2103</v>
      </c>
      <c r="AC18" s="137">
        <v>0</v>
      </c>
      <c r="AD18" s="137">
        <v>0</v>
      </c>
      <c r="AF18" s="410" t="s">
        <v>246</v>
      </c>
      <c r="AG18" s="410" t="s">
        <v>2108</v>
      </c>
      <c r="AY18" s="137" t="s">
        <v>1021</v>
      </c>
      <c r="AZ18" s="137" t="s">
        <v>2166</v>
      </c>
      <c r="BY18" s="137">
        <v>1</v>
      </c>
      <c r="CD18" s="137" t="s">
        <v>2119</v>
      </c>
      <c r="CE18" s="137">
        <v>1</v>
      </c>
      <c r="CF18" s="137">
        <v>0</v>
      </c>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N18" s="166" t="s">
        <v>570</v>
      </c>
      <c r="DO18" s="165" t="s">
        <v>127</v>
      </c>
    </row>
    <row r="19" spans="1:119" x14ac:dyDescent="0.3">
      <c r="A19" s="446" t="str">
        <f>'Translate &amp; Prices'!B23</f>
        <v>Imola bílá mat</v>
      </c>
      <c r="B19" s="137">
        <v>2</v>
      </c>
      <c r="C19" s="137" t="s">
        <v>2133</v>
      </c>
      <c r="D19" s="137">
        <v>0</v>
      </c>
      <c r="F19" s="137" t="str">
        <f>'Translate &amp; Prices'!B65</f>
        <v>Palio (Vlevo a vpravo) + Varna (Nahoře a dole)</v>
      </c>
      <c r="Q19" s="446" t="str">
        <f>'Translate &amp; Prices'!$B$103</f>
        <v>Master (Carre)</v>
      </c>
      <c r="R19" s="446" t="str">
        <f>'Translate &amp; Prices'!$B$116</f>
        <v>Lacobel RAL 7035</v>
      </c>
      <c r="S19" s="446" t="str">
        <f>'Translate &amp; Prices'!$B$108</f>
        <v>Master  Shine</v>
      </c>
      <c r="U19" s="446" t="str">
        <f>'Translate &amp; Prices'!$B$121</f>
        <v>Lacobel RAL 9007</v>
      </c>
      <c r="V19" s="446" t="str">
        <f>'Translate &amp; Prices'!$B$121</f>
        <v>Lacobel RAL 9007</v>
      </c>
      <c r="AA19" s="137" t="s">
        <v>2099</v>
      </c>
      <c r="AB19" s="137" t="s">
        <v>2104</v>
      </c>
      <c r="AC19" s="137">
        <v>0</v>
      </c>
      <c r="AD19" s="137">
        <v>0</v>
      </c>
      <c r="AF19" s="407" t="s">
        <v>245</v>
      </c>
      <c r="AG19" s="407" t="s">
        <v>2110</v>
      </c>
      <c r="AY19" s="137" t="s">
        <v>1021</v>
      </c>
      <c r="AZ19" s="137" t="s">
        <v>2167</v>
      </c>
      <c r="BY19" s="137">
        <v>2</v>
      </c>
    </row>
    <row r="20" spans="1:119" x14ac:dyDescent="0.3">
      <c r="A20" s="446" t="str">
        <f>'Translate &amp; Prices'!B24</f>
        <v>Modena (elox.)</v>
      </c>
      <c r="B20" s="137">
        <v>2</v>
      </c>
      <c r="C20" s="137" t="s">
        <v>1222</v>
      </c>
      <c r="D20" s="137">
        <v>0</v>
      </c>
      <c r="F20" s="137" t="str">
        <f>'Translate &amp; Prices'!B66</f>
        <v>Varna (Vlevo a Vpravo) + Rocca (Nahoře a dole)</v>
      </c>
      <c r="Q20" s="446" t="str">
        <f>'Translate &amp; Prices'!$B$104</f>
        <v xml:space="preserve">Master  Lens </v>
      </c>
      <c r="R20" s="446" t="str">
        <f>'Translate &amp; Prices'!$B$117</f>
        <v>Lacobel RAL 8017</v>
      </c>
      <c r="U20" s="446" t="str">
        <f>'Translate &amp; Prices'!$B$122</f>
        <v>Lacobel RAL 9010</v>
      </c>
      <c r="V20" s="446" t="str">
        <f>'Translate &amp; Prices'!$B$122</f>
        <v>Lacobel RAL 9010</v>
      </c>
      <c r="AA20" s="137" t="s">
        <v>2099</v>
      </c>
      <c r="AB20" s="137" t="s">
        <v>2106</v>
      </c>
      <c r="AC20" s="137">
        <v>0</v>
      </c>
      <c r="AD20" s="137">
        <v>0</v>
      </c>
      <c r="AF20" s="407" t="s">
        <v>246</v>
      </c>
      <c r="AG20" s="407" t="s">
        <v>2110</v>
      </c>
      <c r="AY20" s="137" t="s">
        <v>1021</v>
      </c>
      <c r="AZ20" s="137" t="s">
        <v>2168</v>
      </c>
      <c r="BY20" s="137">
        <v>3</v>
      </c>
    </row>
    <row r="21" spans="1:119" x14ac:dyDescent="0.3">
      <c r="A21" s="446" t="str">
        <f>'Translate &amp; Prices'!B25</f>
        <v>Modena černá mat</v>
      </c>
      <c r="B21" s="137">
        <v>2</v>
      </c>
      <c r="C21" s="137" t="s">
        <v>1222</v>
      </c>
      <c r="D21" s="137">
        <v>0</v>
      </c>
      <c r="F21" s="137" t="str">
        <f>'Translate &amp; Prices'!B67</f>
        <v>Rocca (Vlevo a vpravo) + Varna (Nahoře a dole)</v>
      </c>
      <c r="Q21" s="446" t="str">
        <f>'Translate &amp; Prices'!$B$105</f>
        <v>Master  Ligne</v>
      </c>
      <c r="R21" s="446" t="str">
        <f>'Translate &amp; Prices'!$B$118</f>
        <v>Lacobel RAL 9003</v>
      </c>
      <c r="U21" s="446" t="str">
        <f>'Translate &amp; Prices'!$B$123</f>
        <v>Lacobel REF 0128</v>
      </c>
      <c r="V21" s="446" t="str">
        <f>'Translate &amp; Prices'!$B$123</f>
        <v>Lacobel REF 0128</v>
      </c>
      <c r="AA21" s="137" t="s">
        <v>2099</v>
      </c>
      <c r="AB21" s="137" t="s">
        <v>2102</v>
      </c>
      <c r="AC21" s="137">
        <v>1</v>
      </c>
      <c r="AD21" s="137">
        <v>0</v>
      </c>
      <c r="AF21" s="410" t="s">
        <v>245</v>
      </c>
      <c r="AG21" s="410" t="s">
        <v>2111</v>
      </c>
      <c r="BY21" s="137">
        <v>4</v>
      </c>
    </row>
    <row r="22" spans="1:119" x14ac:dyDescent="0.3">
      <c r="A22" s="446" t="str">
        <f>'Translate &amp; Prices'!B27</f>
        <v>Modena černá broušená</v>
      </c>
      <c r="B22" s="137">
        <v>2</v>
      </c>
      <c r="C22" s="137" t="s">
        <v>1222</v>
      </c>
      <c r="D22" s="137">
        <v>0</v>
      </c>
      <c r="F22" s="137" t="str">
        <f>'Translate &amp; Prices'!B68</f>
        <v>Varna černá (Vlevo a Vpravo) + Rocca černá (Nahoře a dole)</v>
      </c>
      <c r="Q22" s="446" t="str">
        <f>'Translate &amp; Prices'!$B$106</f>
        <v>Master  Point</v>
      </c>
      <c r="R22" s="446" t="str">
        <f>'Translate &amp; Prices'!$B$119</f>
        <v>Lacobel RAL 9005</v>
      </c>
      <c r="U22" s="446" t="str">
        <f>'Translate &amp; Prices'!$B$124</f>
        <v>Lacobel REF 0327</v>
      </c>
      <c r="V22" s="446" t="str">
        <f>'Translate &amp; Prices'!$B$124</f>
        <v>Lacobel REF 0327</v>
      </c>
      <c r="AA22" s="137" t="s">
        <v>2099</v>
      </c>
      <c r="AB22" s="137" t="s">
        <v>2274</v>
      </c>
      <c r="AC22" s="137">
        <v>1</v>
      </c>
      <c r="AD22" s="137">
        <v>0</v>
      </c>
      <c r="AF22" s="410" t="s">
        <v>246</v>
      </c>
      <c r="AG22" s="410" t="s">
        <v>2111</v>
      </c>
      <c r="BY22" s="137">
        <v>5</v>
      </c>
    </row>
    <row r="23" spans="1:119" x14ac:dyDescent="0.3">
      <c r="A23" s="446" t="str">
        <f>'Translate &amp; Prices'!B28</f>
        <v>Modena tmavá nerez br. (inox lija)</v>
      </c>
      <c r="B23" s="137">
        <v>2</v>
      </c>
      <c r="C23" s="137" t="s">
        <v>1222</v>
      </c>
      <c r="D23" s="137">
        <v>0</v>
      </c>
      <c r="F23" s="137" t="str">
        <f>'Translate &amp; Prices'!B69</f>
        <v>Rocca černá (Vlevo a vpravo) + Varna černá (Nahoře a dole)</v>
      </c>
      <c r="G23" s="11"/>
      <c r="H23" s="11"/>
      <c r="I23" s="11"/>
      <c r="Q23" s="446" t="str">
        <f>'Translate &amp; Prices'!$B$107</f>
        <v xml:space="preserve">Master  Ray </v>
      </c>
      <c r="R23" s="446" t="str">
        <f>'Translate &amp; Prices'!$B$120</f>
        <v>Lacobel RAL 9006</v>
      </c>
      <c r="U23" s="446" t="str">
        <f>'Translate &amp; Prices'!$B$125</f>
        <v>Lacobel REF 0337</v>
      </c>
      <c r="V23" s="446" t="str">
        <f>'Translate &amp; Prices'!$B$125</f>
        <v>Lacobel REF 0337</v>
      </c>
      <c r="AA23" s="137" t="s">
        <v>2099</v>
      </c>
      <c r="AB23" s="137" t="s">
        <v>2107</v>
      </c>
      <c r="AC23" s="137">
        <v>1</v>
      </c>
      <c r="AD23" s="137">
        <v>0</v>
      </c>
      <c r="AF23" s="407" t="s">
        <v>245</v>
      </c>
      <c r="AG23" s="407" t="s">
        <v>2112</v>
      </c>
      <c r="BY23" s="137">
        <v>6</v>
      </c>
    </row>
    <row r="24" spans="1:119" x14ac:dyDescent="0.3">
      <c r="A24" s="446" t="str">
        <f>'Translate &amp; Prices'!B29</f>
        <v>Palio (elox.)</v>
      </c>
      <c r="B24" s="137">
        <v>2</v>
      </c>
      <c r="C24" s="137" t="s">
        <v>1222</v>
      </c>
      <c r="D24" s="137">
        <v>0</v>
      </c>
      <c r="G24" s="11"/>
      <c r="H24" s="11"/>
      <c r="I24" s="11"/>
      <c r="Q24" s="446" t="str">
        <f>'Translate &amp; Prices'!$B$108</f>
        <v>Master  Shine</v>
      </c>
      <c r="R24" s="446" t="str">
        <f>'Translate &amp; Prices'!$B$121</f>
        <v>Lacobel RAL 9007</v>
      </c>
      <c r="U24" s="446" t="str">
        <f>'Translate &amp; Prices'!$B$126</f>
        <v>Lacobel REF 0627</v>
      </c>
      <c r="V24" s="446" t="str">
        <f>'Translate &amp; Prices'!$B$126</f>
        <v>Lacobel REF 0627</v>
      </c>
      <c r="AF24" s="407" t="s">
        <v>246</v>
      </c>
      <c r="AG24" s="407" t="s">
        <v>2112</v>
      </c>
      <c r="BY24" s="137">
        <v>7</v>
      </c>
    </row>
    <row r="25" spans="1:119" x14ac:dyDescent="0.3">
      <c r="A25" s="446" t="str">
        <f>'Translate &amp; Prices'!B30</f>
        <v>Palio černá mat</v>
      </c>
      <c r="B25" s="137">
        <v>2</v>
      </c>
      <c r="C25" s="137" t="s">
        <v>1222</v>
      </c>
      <c r="D25" s="137">
        <v>0</v>
      </c>
      <c r="G25" s="11"/>
      <c r="H25" s="11"/>
      <c r="I25" s="11"/>
      <c r="Q25" s="446" t="str">
        <f>'Translate &amp; Prices'!$B$109</f>
        <v>Lacobel RAL 1013</v>
      </c>
      <c r="R25" s="446" t="str">
        <f>'Translate &amp; Prices'!$B$122</f>
        <v>Lacobel RAL 9010</v>
      </c>
      <c r="U25" s="446" t="str">
        <f>'Translate &amp; Prices'!$B$127</f>
        <v>Lacobel REF 0667</v>
      </c>
      <c r="V25" s="446" t="str">
        <f>'Translate &amp; Prices'!$B$127</f>
        <v>Lacobel REF 0667</v>
      </c>
      <c r="AF25" s="410" t="s">
        <v>245</v>
      </c>
      <c r="AG25" s="410" t="s">
        <v>2113</v>
      </c>
      <c r="BY25" s="137">
        <v>8</v>
      </c>
    </row>
    <row r="26" spans="1:119" x14ac:dyDescent="0.3">
      <c r="A26" s="446" t="str">
        <f>'Translate &amp; Prices'!B31</f>
        <v>Pisa (elox.)</v>
      </c>
      <c r="B26" s="137">
        <v>2</v>
      </c>
      <c r="C26" s="137" t="s">
        <v>2133</v>
      </c>
      <c r="D26" s="137">
        <v>0</v>
      </c>
      <c r="G26" s="11"/>
      <c r="H26" s="11"/>
      <c r="I26" s="11"/>
      <c r="Q26" s="446" t="str">
        <f>'Translate &amp; Prices'!$B$110</f>
        <v>Lacobel RAL 1014</v>
      </c>
      <c r="R26" s="446" t="str">
        <f>'Translate &amp; Prices'!$B$123</f>
        <v>Lacobel REF 0128</v>
      </c>
      <c r="U26" s="446" t="str">
        <f>'Translate &amp; Prices'!$B$128</f>
        <v>Lacobel REF 1164</v>
      </c>
      <c r="V26" s="446" t="str">
        <f>'Translate &amp; Prices'!$B$128</f>
        <v>Lacobel REF 1164</v>
      </c>
      <c r="AF26" s="410" t="s">
        <v>246</v>
      </c>
      <c r="AG26" s="410" t="s">
        <v>2113</v>
      </c>
      <c r="BY26" s="137">
        <v>9</v>
      </c>
    </row>
    <row r="27" spans="1:119" x14ac:dyDescent="0.3">
      <c r="A27" s="446" t="str">
        <f>'Translate &amp; Prices'!B32</f>
        <v>Pisa černá mat</v>
      </c>
      <c r="B27" s="137">
        <v>2</v>
      </c>
      <c r="C27" s="137" t="s">
        <v>2133</v>
      </c>
      <c r="D27" s="137">
        <v>0</v>
      </c>
      <c r="G27" s="11"/>
      <c r="H27" s="11"/>
      <c r="I27" s="11"/>
      <c r="Q27" s="446" t="str">
        <f>'Translate &amp; Prices'!$B$111</f>
        <v>Lacobel RAL 1015</v>
      </c>
      <c r="R27" s="446" t="str">
        <f>'Translate &amp; Prices'!$B$124</f>
        <v>Lacobel REF 0327</v>
      </c>
      <c r="U27" s="446" t="str">
        <f>'Translate &amp; Prices'!$B$129</f>
        <v>Lacobel REF 1236</v>
      </c>
      <c r="V27" s="446" t="str">
        <f>'Translate &amp; Prices'!$B$129</f>
        <v>Lacobel REF 1236</v>
      </c>
      <c r="AF27" s="407" t="s">
        <v>245</v>
      </c>
      <c r="AG27" s="407" t="s">
        <v>2114</v>
      </c>
      <c r="BY27" s="137">
        <v>10</v>
      </c>
    </row>
    <row r="28" spans="1:119" x14ac:dyDescent="0.3">
      <c r="A28" s="446" t="str">
        <f>'Translate &amp; Prices'!B34</f>
        <v>Ravena (elox.)</v>
      </c>
      <c r="B28" s="137">
        <v>1</v>
      </c>
      <c r="C28" s="137" t="s">
        <v>1222</v>
      </c>
      <c r="D28" s="137">
        <v>0</v>
      </c>
      <c r="G28" s="11"/>
      <c r="H28" s="11"/>
      <c r="I28" s="11"/>
      <c r="Q28" s="446" t="str">
        <f>'Translate &amp; Prices'!$B$112</f>
        <v>Lacobel RAL 2001</v>
      </c>
      <c r="R28" s="446" t="str">
        <f>'Translate &amp; Prices'!$B$125</f>
        <v>Lacobel REF 0337</v>
      </c>
      <c r="U28" s="446" t="str">
        <f>'Translate &amp; Prices'!$B$130</f>
        <v>Lacobel REF 1435</v>
      </c>
      <c r="V28" s="446" t="str">
        <f>'Translate &amp; Prices'!$B$130</f>
        <v>Lacobel REF 1435</v>
      </c>
      <c r="AA28" s="137" t="s">
        <v>2109</v>
      </c>
      <c r="AB28" s="137" t="s">
        <v>2147</v>
      </c>
      <c r="AF28" s="407" t="s">
        <v>246</v>
      </c>
      <c r="AG28" s="407" t="s">
        <v>2114</v>
      </c>
    </row>
    <row r="29" spans="1:119" x14ac:dyDescent="0.3">
      <c r="A29" s="446" t="str">
        <f>'Translate &amp; Prices'!B35</f>
        <v>Siena (elox.)</v>
      </c>
      <c r="B29" s="137">
        <v>2</v>
      </c>
      <c r="C29" s="137" t="s">
        <v>1222</v>
      </c>
      <c r="D29" s="137">
        <v>0</v>
      </c>
      <c r="G29" s="11"/>
      <c r="H29" s="11"/>
      <c r="I29" s="11"/>
      <c r="Q29" s="446" t="str">
        <f>'Translate &amp; Prices'!$B$113</f>
        <v>Lacobel RAL 3004</v>
      </c>
      <c r="R29" s="446" t="str">
        <f>'Translate &amp; Prices'!$B$126</f>
        <v>Lacobel REF 0627</v>
      </c>
      <c r="U29" s="446" t="str">
        <f>'Translate &amp; Prices'!$B$131</f>
        <v>Lacobel REF 1586</v>
      </c>
      <c r="V29" s="446" t="str">
        <f>'Translate &amp; Prices'!$B$131</f>
        <v>Lacobel REF 1586</v>
      </c>
      <c r="AA29" s="137" t="s">
        <v>2109</v>
      </c>
      <c r="AB29" s="137" t="s">
        <v>2108</v>
      </c>
      <c r="AC29" s="137">
        <v>1</v>
      </c>
      <c r="AD29" s="137">
        <v>0</v>
      </c>
      <c r="AF29" s="410" t="s">
        <v>245</v>
      </c>
      <c r="AG29" s="410" t="s">
        <v>2115</v>
      </c>
    </row>
    <row r="30" spans="1:119" x14ac:dyDescent="0.3">
      <c r="A30" s="446" t="str">
        <f>'Translate &amp; Prices'!$B$36</f>
        <v>Siena černá mat</v>
      </c>
      <c r="B30" s="137">
        <v>2</v>
      </c>
      <c r="C30" s="137" t="s">
        <v>1222</v>
      </c>
      <c r="D30" s="137">
        <v>0</v>
      </c>
      <c r="Q30" s="446" t="str">
        <f>'Translate &amp; Prices'!$B$114</f>
        <v>Lacobel RAL 4006</v>
      </c>
      <c r="R30" s="446" t="str">
        <f>'Translate &amp; Prices'!$B$127</f>
        <v>Lacobel REF 0667</v>
      </c>
      <c r="U30" s="446" t="str">
        <f>'Translate &amp; Prices'!$B$132</f>
        <v>Lacobel REF 1603</v>
      </c>
      <c r="V30" s="446" t="str">
        <f>'Translate &amp; Prices'!$B$132</f>
        <v>Lacobel REF 1603</v>
      </c>
      <c r="AA30" s="137" t="s">
        <v>2109</v>
      </c>
      <c r="AB30" s="137" t="s">
        <v>2269</v>
      </c>
      <c r="AC30" s="137">
        <v>1</v>
      </c>
      <c r="AD30" s="137">
        <v>0</v>
      </c>
      <c r="AF30" s="410" t="s">
        <v>246</v>
      </c>
      <c r="AG30" s="410" t="s">
        <v>2115</v>
      </c>
    </row>
    <row r="31" spans="1:119" x14ac:dyDescent="0.3">
      <c r="A31" s="446" t="str">
        <f>'Translate &amp; Prices'!B37</f>
        <v>Verona (elox.)</v>
      </c>
      <c r="B31" s="137">
        <v>1</v>
      </c>
      <c r="C31" s="137" t="s">
        <v>1222</v>
      </c>
      <c r="D31" s="137">
        <v>0</v>
      </c>
      <c r="G31" s="11"/>
      <c r="H31" s="11"/>
      <c r="I31" s="11"/>
      <c r="Q31" s="446" t="str">
        <f>'Translate &amp; Prices'!$B$115</f>
        <v>Lacobel RAL 5002</v>
      </c>
      <c r="R31" s="446" t="str">
        <f>'Translate &amp; Prices'!$B$128</f>
        <v>Lacobel REF 1164</v>
      </c>
      <c r="U31" s="446" t="str">
        <f>'Translate &amp; Prices'!$B$133</f>
        <v>Lacobel REF 1604</v>
      </c>
      <c r="V31" s="446" t="str">
        <f>'Translate &amp; Prices'!$B$133</f>
        <v>Lacobel REF 1604</v>
      </c>
      <c r="AA31" s="137" t="s">
        <v>2109</v>
      </c>
      <c r="AB31" s="137" t="s">
        <v>2111</v>
      </c>
      <c r="AC31" s="137">
        <v>1</v>
      </c>
      <c r="AD31" s="137">
        <v>0</v>
      </c>
      <c r="AF31" s="407" t="s">
        <v>245</v>
      </c>
      <c r="AG31" s="407" t="s">
        <v>2116</v>
      </c>
    </row>
    <row r="32" spans="1:119" x14ac:dyDescent="0.3">
      <c r="A32" s="446" t="str">
        <f>'Translate &amp; Prices'!B38</f>
        <v>Verona broušený hliník</v>
      </c>
      <c r="B32" s="137">
        <v>1</v>
      </c>
      <c r="C32" s="137" t="s">
        <v>1222</v>
      </c>
      <c r="D32" s="137">
        <v>0</v>
      </c>
      <c r="G32" s="11"/>
      <c r="H32" s="11"/>
      <c r="I32" s="11"/>
      <c r="Q32" s="446" t="str">
        <f>'Translate &amp; Prices'!$B$116</f>
        <v>Lacobel RAL 7035</v>
      </c>
      <c r="R32" s="446" t="str">
        <f>'Translate &amp; Prices'!$B$129</f>
        <v>Lacobel REF 1236</v>
      </c>
      <c r="U32" s="446" t="str">
        <f>'Translate &amp; Prices'!$B$134</f>
        <v>Matelac RAL 2001</v>
      </c>
      <c r="V32" s="446" t="str">
        <f>'Translate &amp; Prices'!$B$134</f>
        <v>Matelac RAL 2001</v>
      </c>
      <c r="AA32" s="137" t="s">
        <v>2109</v>
      </c>
      <c r="AB32" s="137" t="s">
        <v>2268</v>
      </c>
      <c r="AC32" s="137">
        <v>1</v>
      </c>
      <c r="AD32" s="137">
        <v>0</v>
      </c>
      <c r="AF32" s="407" t="s">
        <v>246</v>
      </c>
      <c r="AG32" s="407" t="s">
        <v>2116</v>
      </c>
      <c r="CD32" s="137" t="str">
        <f>'Translate &amp; Prices'!$O$569</f>
        <v>(dolnej)</v>
      </c>
    </row>
    <row r="33" spans="1:82" x14ac:dyDescent="0.3">
      <c r="A33" s="446" t="str">
        <f>'Translate &amp; Prices'!B39</f>
        <v>Verona černá lesk</v>
      </c>
      <c r="B33" s="137">
        <v>1</v>
      </c>
      <c r="C33" s="137" t="s">
        <v>1222</v>
      </c>
      <c r="D33" s="137">
        <v>0</v>
      </c>
      <c r="G33" s="11"/>
      <c r="H33" s="11"/>
      <c r="I33" s="11"/>
      <c r="Q33" s="446" t="str">
        <f>'Translate &amp; Prices'!$B$117</f>
        <v>Lacobel RAL 8017</v>
      </c>
      <c r="R33" s="446" t="str">
        <f>'Translate &amp; Prices'!$B$130</f>
        <v>Lacobel REF 1435</v>
      </c>
      <c r="U33" s="446" t="str">
        <f>'Translate &amp; Prices'!$B$135</f>
        <v>Matelac RAL 3004</v>
      </c>
      <c r="V33" s="446" t="str">
        <f>'Translate &amp; Prices'!$B$135</f>
        <v>Matelac RAL 3004</v>
      </c>
      <c r="AA33" s="137" t="s">
        <v>2109</v>
      </c>
      <c r="AB33" s="137" t="s">
        <v>2113</v>
      </c>
      <c r="AC33" s="137">
        <v>1</v>
      </c>
      <c r="AD33" s="137">
        <v>0</v>
      </c>
      <c r="AF33" s="410" t="s">
        <v>245</v>
      </c>
      <c r="AG33" s="410" t="s">
        <v>2119</v>
      </c>
      <c r="CD33" s="137" t="str">
        <f>'Translate &amp; Prices'!$O$569</f>
        <v>(dolnej)</v>
      </c>
    </row>
    <row r="34" spans="1:82" x14ac:dyDescent="0.3">
      <c r="A34" s="446" t="str">
        <f>'Translate &amp; Prices'!B40</f>
        <v>Verona černá mat</v>
      </c>
      <c r="B34" s="137">
        <v>1</v>
      </c>
      <c r="C34" s="137" t="s">
        <v>1222</v>
      </c>
      <c r="D34" s="137">
        <v>0</v>
      </c>
      <c r="G34" s="11"/>
      <c r="H34" s="11"/>
      <c r="I34" s="11"/>
      <c r="Q34" s="446" t="str">
        <f>'Translate &amp; Prices'!$B$118</f>
        <v>Lacobel RAL 9003</v>
      </c>
      <c r="R34" s="446" t="str">
        <f>'Translate &amp; Prices'!$B$131</f>
        <v>Lacobel REF 1586</v>
      </c>
      <c r="U34" s="446" t="str">
        <f>'Translate &amp; Prices'!$B$136</f>
        <v>Matelac RAL 7021</v>
      </c>
      <c r="V34" s="446" t="str">
        <f>'Translate &amp; Prices'!$B$136</f>
        <v>Matelac RAL 7021</v>
      </c>
      <c r="AB34" s="137" t="s">
        <v>2114</v>
      </c>
      <c r="AC34" s="137">
        <v>1</v>
      </c>
      <c r="AD34" s="137">
        <v>0</v>
      </c>
      <c r="AF34" s="410" t="s">
        <v>246</v>
      </c>
      <c r="AG34" s="410" t="s">
        <v>2119</v>
      </c>
      <c r="CD34" s="137" t="str">
        <f>'Translate &amp; Prices'!$O$572</f>
        <v>(prawej)</v>
      </c>
    </row>
    <row r="35" spans="1:82" x14ac:dyDescent="0.3">
      <c r="A35" s="446" t="str">
        <f>'Translate &amp; Prices'!B41</f>
        <v>Verona hnědá</v>
      </c>
      <c r="B35" s="137">
        <v>1</v>
      </c>
      <c r="C35" s="137" t="s">
        <v>1222</v>
      </c>
      <c r="D35" s="137">
        <v>0</v>
      </c>
      <c r="G35" s="11"/>
      <c r="H35" s="11"/>
      <c r="I35" s="11"/>
      <c r="Q35" s="446" t="str">
        <f>'Translate &amp; Prices'!$B$119</f>
        <v>Lacobel RAL 9005</v>
      </c>
      <c r="R35" s="446" t="str">
        <f>'Translate &amp; Prices'!$B$132</f>
        <v>Lacobel REF 1603</v>
      </c>
      <c r="U35" s="446" t="str">
        <f>'Translate &amp; Prices'!$B$137</f>
        <v>Matelac RAL 9003</v>
      </c>
      <c r="V35" s="446" t="str">
        <f>'Translate &amp; Prices'!$B$137</f>
        <v>Matelac RAL 9003</v>
      </c>
      <c r="CD35" s="137" t="str">
        <f>'Translate &amp; Prices'!$O$572</f>
        <v>(prawej)</v>
      </c>
    </row>
    <row r="36" spans="1:82" x14ac:dyDescent="0.3">
      <c r="A36" s="446" t="str">
        <f>'Translate &amp; Prices'!B42</f>
        <v>Verona champagne</v>
      </c>
      <c r="B36" s="137">
        <v>1</v>
      </c>
      <c r="C36" s="137" t="s">
        <v>1222</v>
      </c>
      <c r="D36" s="137">
        <v>0</v>
      </c>
      <c r="G36" s="11"/>
      <c r="H36" s="11"/>
      <c r="I36" s="11"/>
      <c r="Q36" s="446" t="str">
        <f>'Translate &amp; Prices'!$B$120</f>
        <v>Lacobel RAL 9006</v>
      </c>
      <c r="R36" s="446" t="str">
        <f>'Translate &amp; Prices'!$B$133</f>
        <v>Lacobel REF 1604</v>
      </c>
      <c r="U36" s="446" t="str">
        <f>'Translate &amp; Prices'!$B$138</f>
        <v>Matelac RAL 9005</v>
      </c>
      <c r="V36" s="446" t="str">
        <f>'Translate &amp; Prices'!$B$138</f>
        <v>Matelac RAL 9005</v>
      </c>
    </row>
    <row r="37" spans="1:82" x14ac:dyDescent="0.3">
      <c r="A37" s="446" t="str">
        <f>'Translate &amp; Prices'!B43</f>
        <v>Verona tmavá nerez broušená</v>
      </c>
      <c r="B37" s="137">
        <v>1</v>
      </c>
      <c r="C37" s="137" t="s">
        <v>1222</v>
      </c>
      <c r="D37" s="137">
        <v>0</v>
      </c>
      <c r="G37" s="11"/>
      <c r="H37" s="11"/>
      <c r="I37" s="11"/>
      <c r="Q37" s="446" t="str">
        <f>'Translate &amp; Prices'!$B$121</f>
        <v>Lacobel RAL 9007</v>
      </c>
      <c r="R37" s="446" t="str">
        <f>'Translate &amp; Prices'!$B$134</f>
        <v>Matelac RAL 2001</v>
      </c>
      <c r="U37" s="446" t="str">
        <f>'Translate &amp; Prices'!$B$139</f>
        <v>Matelac RAL 9006</v>
      </c>
      <c r="V37" s="446" t="str">
        <f>'Translate &amp; Prices'!$B$139</f>
        <v>Matelac RAL 9006</v>
      </c>
    </row>
    <row r="38" spans="1:82" x14ac:dyDescent="0.3">
      <c r="A38" s="446" t="str">
        <f>'Translate &amp; Prices'!B44</f>
        <v>Verona světlá nerez (Acier grata)</v>
      </c>
      <c r="B38" s="137">
        <v>1</v>
      </c>
      <c r="C38" s="137" t="s">
        <v>1222</v>
      </c>
      <c r="D38" s="137">
        <v>0</v>
      </c>
      <c r="Q38" s="446" t="str">
        <f>'Translate &amp; Prices'!$B$122</f>
        <v>Lacobel RAL 9010</v>
      </c>
      <c r="R38" s="446" t="str">
        <f>'Translate &amp; Prices'!$B$135</f>
        <v>Matelac RAL 3004</v>
      </c>
      <c r="U38" s="446" t="str">
        <f>'Translate &amp; Prices'!$B$140</f>
        <v>Matelac RAL 9010</v>
      </c>
      <c r="V38" s="446" t="str">
        <f>'Translate &amp; Prices'!$B$140</f>
        <v>Matelac RAL 9010</v>
      </c>
    </row>
    <row r="39" spans="1:82" x14ac:dyDescent="0.3">
      <c r="A39" s="446" t="str">
        <f>'Translate &amp; Prices'!B45</f>
        <v>Vivaro (elox.)</v>
      </c>
      <c r="B39" s="137">
        <v>2</v>
      </c>
      <c r="C39" s="137" t="s">
        <v>1222</v>
      </c>
      <c r="D39" s="137">
        <v>1</v>
      </c>
      <c r="Q39" s="446" t="str">
        <f>'Translate &amp; Prices'!$B$123</f>
        <v>Lacobel REF 0128</v>
      </c>
      <c r="R39" s="446" t="str">
        <f>'Translate &amp; Prices'!$B$136</f>
        <v>Matelac RAL 7021</v>
      </c>
      <c r="U39" s="446" t="str">
        <f>'Translate &amp; Prices'!$B$141</f>
        <v>Matelac REF 1435</v>
      </c>
      <c r="V39" s="446" t="str">
        <f>'Translate &amp; Prices'!$B$141</f>
        <v>Matelac REF 1435</v>
      </c>
      <c r="AA39" s="137" t="s">
        <v>1021</v>
      </c>
      <c r="AB39" s="137" t="s">
        <v>2145</v>
      </c>
    </row>
    <row r="40" spans="1:82" x14ac:dyDescent="0.3">
      <c r="A40" s="446" t="str">
        <f>'Translate &amp; Prices'!B46</f>
        <v>Vivaro černá mat</v>
      </c>
      <c r="B40" s="137">
        <v>2</v>
      </c>
      <c r="C40" s="137" t="s">
        <v>1222</v>
      </c>
      <c r="D40" s="137">
        <v>1</v>
      </c>
      <c r="Q40" s="446" t="str">
        <f>'Translate &amp; Prices'!$B$124</f>
        <v>Lacobel REF 0327</v>
      </c>
      <c r="R40" s="446" t="str">
        <f>'Translate &amp; Prices'!$B$137</f>
        <v>Matelac RAL 9003</v>
      </c>
      <c r="U40" s="446" t="str">
        <f>'Translate &amp; Prices'!$B$142</f>
        <v>Matelac REF 1586</v>
      </c>
      <c r="V40" s="446" t="str">
        <f>'Translate &amp; Prices'!$B$142</f>
        <v>Matelac REF 1586</v>
      </c>
      <c r="AA40" s="137" t="s">
        <v>1021</v>
      </c>
      <c r="AB40" s="137" t="s">
        <v>2638</v>
      </c>
      <c r="AC40" s="137">
        <v>1</v>
      </c>
      <c r="AD40" s="137">
        <v>0</v>
      </c>
    </row>
    <row r="41" spans="1:82" x14ac:dyDescent="0.3">
      <c r="A41" s="446" t="str">
        <f>'Translate &amp; Prices'!B48</f>
        <v>Vivaro tmavá nerez br. (inox lija)</v>
      </c>
      <c r="B41" s="137">
        <v>2</v>
      </c>
      <c r="C41" s="137" t="s">
        <v>1222</v>
      </c>
      <c r="D41" s="137">
        <v>0</v>
      </c>
      <c r="Q41" s="446" t="str">
        <f>'Translate &amp; Prices'!$B$125</f>
        <v>Lacobel REF 0337</v>
      </c>
      <c r="R41" s="446" t="str">
        <f>'Translate &amp; Prices'!$B$138</f>
        <v>Matelac RAL 9005</v>
      </c>
      <c r="U41" s="446" t="str">
        <f>'Translate &amp; Prices'!$B$143</f>
        <v>Matelac zrcadlo bronz</v>
      </c>
      <c r="V41" s="446" t="str">
        <f>'Translate &amp; Prices'!$B$143</f>
        <v>Matelac zrcadlo bronz</v>
      </c>
      <c r="AB41" s="137" t="s">
        <v>2639</v>
      </c>
      <c r="AC41" s="137">
        <v>1</v>
      </c>
      <c r="AD41" s="137">
        <v>0</v>
      </c>
    </row>
    <row r="42" spans="1:82" x14ac:dyDescent="0.3">
      <c r="A42" s="446" t="str">
        <f>'Translate &amp; Prices'!B49</f>
        <v>Vivaro bílá mat</v>
      </c>
      <c r="B42" s="137">
        <v>2</v>
      </c>
      <c r="C42" s="137" t="s">
        <v>1222</v>
      </c>
      <c r="D42" s="137">
        <v>0</v>
      </c>
      <c r="Q42" s="446" t="str">
        <f>'Translate &amp; Prices'!$B$126</f>
        <v>Lacobel REF 0627</v>
      </c>
      <c r="R42" s="446" t="str">
        <f>'Translate &amp; Prices'!$B$139</f>
        <v>Matelac RAL 9006</v>
      </c>
      <c r="U42" s="446" t="str">
        <f>'Translate &amp; Prices'!$B$145</f>
        <v>Matelac zrcadlo grafit</v>
      </c>
      <c r="V42" s="446" t="str">
        <f>'Translate &amp; Prices'!$B$145</f>
        <v>Matelac zrcadlo grafit</v>
      </c>
      <c r="AA42" s="137" t="s">
        <v>2117</v>
      </c>
      <c r="AB42" s="137" t="s">
        <v>2146</v>
      </c>
    </row>
    <row r="43" spans="1:82" x14ac:dyDescent="0.3">
      <c r="A43" s="446" t="str">
        <f>'Translate &amp; Prices'!B50</f>
        <v>Vivaro bílá lesk</v>
      </c>
      <c r="B43" s="137">
        <v>2</v>
      </c>
      <c r="C43" s="137" t="s">
        <v>1222</v>
      </c>
      <c r="D43" s="137">
        <v>0</v>
      </c>
      <c r="Q43" s="446" t="str">
        <f>'Translate &amp; Prices'!$B$127</f>
        <v>Lacobel REF 0667</v>
      </c>
      <c r="R43" s="446" t="str">
        <f>'Translate &amp; Prices'!$B$140</f>
        <v>Matelac RAL 9010</v>
      </c>
      <c r="U43" s="446" t="str">
        <f>'Translate &amp; Prices'!$B$146</f>
        <v>Matelac zrcadlo stříbr.</v>
      </c>
      <c r="V43" s="446" t="str">
        <f>'Translate &amp; Prices'!$B$146</f>
        <v>Matelac zrcadlo stříbr.</v>
      </c>
      <c r="AA43" s="137" t="s">
        <v>2117</v>
      </c>
      <c r="AB43" s="137" t="s">
        <v>2280</v>
      </c>
      <c r="AC43" s="137">
        <v>0</v>
      </c>
      <c r="AD43" s="137">
        <v>0</v>
      </c>
    </row>
    <row r="44" spans="1:82" x14ac:dyDescent="0.3">
      <c r="A44" s="404" t="str">
        <f>'Translate &amp; Prices'!$B$61</f>
        <v>Siena (Vlevo a vpravo) + Varna (Nahoře a dole)</v>
      </c>
      <c r="B44" s="137">
        <v>2</v>
      </c>
      <c r="C44" s="137" t="s">
        <v>1222</v>
      </c>
      <c r="D44" s="137">
        <v>0</v>
      </c>
      <c r="Q44" s="446" t="str">
        <f>'Translate &amp; Prices'!$B$128</f>
        <v>Lacobel REF 1164</v>
      </c>
      <c r="R44" s="446" t="str">
        <f>'Translate &amp; Prices'!$B$141</f>
        <v>Matelac REF 1435</v>
      </c>
      <c r="AA44" s="137" t="s">
        <v>2117</v>
      </c>
      <c r="AB44" s="137" t="s">
        <v>2119</v>
      </c>
      <c r="AC44" s="137">
        <v>1</v>
      </c>
      <c r="AD44" s="137">
        <v>0</v>
      </c>
    </row>
    <row r="45" spans="1:82" x14ac:dyDescent="0.3">
      <c r="A45" s="404" t="str">
        <f>'Translate &amp; Prices'!$B$63</f>
        <v>Siena černá (Vlevo a vpravo) + Varna černá (Nahoře a dole)</v>
      </c>
      <c r="B45" s="137">
        <v>2</v>
      </c>
      <c r="C45" s="137" t="s">
        <v>1222</v>
      </c>
      <c r="D45" s="137">
        <v>0</v>
      </c>
      <c r="Q45" s="446" t="str">
        <f>'Translate &amp; Prices'!$B$129</f>
        <v>Lacobel REF 1236</v>
      </c>
      <c r="R45" s="446" t="str">
        <f>'Translate &amp; Prices'!$B$142</f>
        <v>Matelac REF 1586</v>
      </c>
      <c r="AB45" s="137" t="s">
        <v>2281</v>
      </c>
      <c r="AC45" s="137">
        <v>0</v>
      </c>
      <c r="AD45" s="137">
        <v>0</v>
      </c>
    </row>
    <row r="46" spans="1:82" x14ac:dyDescent="0.3">
      <c r="A46" s="404" t="str">
        <f>'Translate &amp; Prices'!$B$65</f>
        <v>Palio (Vlevo a vpravo) + Varna (Nahoře a dole)</v>
      </c>
      <c r="B46" s="137">
        <v>2</v>
      </c>
      <c r="C46" s="137" t="s">
        <v>1222</v>
      </c>
      <c r="D46" s="137">
        <v>0</v>
      </c>
      <c r="Q46" s="446" t="str">
        <f>'Translate &amp; Prices'!$B$130</f>
        <v>Lacobel REF 1435</v>
      </c>
      <c r="R46" s="446" t="str">
        <f>'Translate &amp; Prices'!$B$143</f>
        <v>Matelac zrcadlo bronz</v>
      </c>
    </row>
    <row r="47" spans="1:82" x14ac:dyDescent="0.3">
      <c r="A47" s="137" t="str">
        <f>'Translate &amp; Prices'!$B$70</f>
        <v>Palio černá (Vlevo a vpravo) + Varna černá (Nahoře a dole)</v>
      </c>
      <c r="B47" s="137">
        <v>2</v>
      </c>
      <c r="C47" s="137" t="s">
        <v>1222</v>
      </c>
      <c r="D47" s="137">
        <v>0</v>
      </c>
      <c r="Q47" s="446" t="str">
        <f>'Translate &amp; Prices'!$B$131</f>
        <v>Lacobel REF 1586</v>
      </c>
      <c r="R47" s="446" t="str">
        <f>'Translate &amp; Prices'!$B$145</f>
        <v>Matelac zrcadlo grafit</v>
      </c>
    </row>
    <row r="48" spans="1:82" x14ac:dyDescent="0.3">
      <c r="A48" s="404" t="str">
        <f>'Translate &amp; Prices'!$B$67</f>
        <v>Rocca (Vlevo a vpravo) + Varna (Nahoře a dole)</v>
      </c>
      <c r="B48" s="137">
        <v>1</v>
      </c>
      <c r="C48" s="137" t="s">
        <v>1222</v>
      </c>
      <c r="D48" s="137">
        <v>0</v>
      </c>
      <c r="Q48" s="446" t="str">
        <f>'Translate &amp; Prices'!$B$132</f>
        <v>Lacobel REF 1603</v>
      </c>
      <c r="R48" s="446" t="str">
        <f>'Translate &amp; Prices'!$B$146</f>
        <v>Matelac zrcadlo stříbr.</v>
      </c>
    </row>
    <row r="49" spans="1:17" x14ac:dyDescent="0.3">
      <c r="A49" s="404" t="str">
        <f>'Translate &amp; Prices'!$B$69</f>
        <v>Rocca černá (Vlevo a vpravo) + Varna černá (Nahoře a dole)</v>
      </c>
      <c r="B49" s="137">
        <v>1</v>
      </c>
      <c r="C49" s="137" t="s">
        <v>1222</v>
      </c>
      <c r="D49" s="137">
        <v>0</v>
      </c>
      <c r="Q49" s="446" t="str">
        <f>'Translate &amp; Prices'!$B$133</f>
        <v>Lacobel REF 1604</v>
      </c>
    </row>
    <row r="50" spans="1:17" x14ac:dyDescent="0.3">
      <c r="A50" s="137" t="str">
        <f>'Translate &amp; Prices'!$B$13</f>
        <v>BRW zlatá</v>
      </c>
      <c r="B50" s="137">
        <v>1</v>
      </c>
      <c r="C50" s="137" t="s">
        <v>1222</v>
      </c>
      <c r="D50" s="137">
        <v>0</v>
      </c>
      <c r="Q50" s="446" t="str">
        <f>'Translate &amp; Prices'!$B$134</f>
        <v>Matelac RAL 2001</v>
      </c>
    </row>
    <row r="51" spans="1:17" x14ac:dyDescent="0.3">
      <c r="A51" s="137" t="str">
        <f>'Translate &amp; Prices'!$B$26</f>
        <v>Verona zlatá</v>
      </c>
      <c r="B51" s="137">
        <v>1</v>
      </c>
      <c r="C51" s="137" t="s">
        <v>1222</v>
      </c>
      <c r="D51" s="137">
        <v>0</v>
      </c>
      <c r="Q51" s="446" t="str">
        <f>'Translate &amp; Prices'!$B$135</f>
        <v>Matelac RAL 3004</v>
      </c>
    </row>
    <row r="52" spans="1:17" x14ac:dyDescent="0.3">
      <c r="A52" s="404" t="str">
        <f>'Translate &amp; Prices'!$B$33</f>
        <v>Vivaro zlatá</v>
      </c>
      <c r="B52" s="137">
        <v>2</v>
      </c>
      <c r="C52" s="137" t="s">
        <v>1222</v>
      </c>
      <c r="D52" s="137">
        <v>0</v>
      </c>
      <c r="Q52" s="446" t="str">
        <f>'Translate &amp; Prices'!$B$136</f>
        <v>Matelac RAL 7021</v>
      </c>
    </row>
    <row r="53" spans="1:17" x14ac:dyDescent="0.3">
      <c r="A53" s="137" t="str">
        <f>'Translate &amp; Prices'!$B$47</f>
        <v>Imola zlatá</v>
      </c>
      <c r="B53" s="137">
        <v>2</v>
      </c>
      <c r="C53" s="137" t="s">
        <v>2133</v>
      </c>
      <c r="D53" s="137">
        <v>0</v>
      </c>
      <c r="Q53" s="446" t="str">
        <f>'Translate &amp; Prices'!$B$137</f>
        <v>Matelac RAL 9003</v>
      </c>
    </row>
    <row r="54" spans="1:17" x14ac:dyDescent="0.3">
      <c r="A54" s="137" t="str">
        <f>'Translate &amp; Prices'!$B$57</f>
        <v>Pisa zlatá</v>
      </c>
      <c r="B54" s="137">
        <v>2</v>
      </c>
      <c r="C54" s="137" t="s">
        <v>2133</v>
      </c>
      <c r="D54" s="137">
        <v>0</v>
      </c>
      <c r="Q54" s="446" t="str">
        <f>'Translate &amp; Prices'!$B$138</f>
        <v>Matelac RAL 9005</v>
      </c>
    </row>
    <row r="55" spans="1:17" x14ac:dyDescent="0.3">
      <c r="Q55" s="446" t="str">
        <f>'Translate &amp; Prices'!$B$139</f>
        <v>Matelac RAL 9006</v>
      </c>
    </row>
    <row r="56" spans="1:17" x14ac:dyDescent="0.3">
      <c r="Q56" s="446" t="str">
        <f>'Translate &amp; Prices'!$B$140</f>
        <v>Matelac RAL 9010</v>
      </c>
    </row>
    <row r="57" spans="1:17" x14ac:dyDescent="0.3">
      <c r="Q57" s="446" t="str">
        <f>'Translate &amp; Prices'!$B$141</f>
        <v>Matelac REF 1435</v>
      </c>
    </row>
    <row r="58" spans="1:17" x14ac:dyDescent="0.3">
      <c r="Q58" s="446" t="str">
        <f>'Translate &amp; Prices'!$B$142</f>
        <v>Matelac REF 1586</v>
      </c>
    </row>
    <row r="59" spans="1:17" x14ac:dyDescent="0.3">
      <c r="Q59" s="446" t="str">
        <f>'Translate &amp; Prices'!$B$143</f>
        <v>Matelac zrcadlo bronz</v>
      </c>
    </row>
    <row r="60" spans="1:17" x14ac:dyDescent="0.3">
      <c r="Q60" s="446" t="str">
        <f>'Translate &amp; Prices'!$B$145</f>
        <v>Matelac zrcadlo grafit</v>
      </c>
    </row>
    <row r="61" spans="1:17" x14ac:dyDescent="0.3">
      <c r="Q61" s="446" t="str">
        <f>'Translate &amp; Prices'!$B$146</f>
        <v>Matelac zrcadlo stříbr.</v>
      </c>
    </row>
  </sheetData>
  <conditionalFormatting sqref="AC4:AC9 AC15:AC23 AC29:AC34 AC40:AC41 AC43:AC45">
    <cfRule type="cellIs" dxfId="218" priority="30" operator="equal">
      <formula>1</formula>
    </cfRule>
  </conditionalFormatting>
  <conditionalFormatting sqref="R5">
    <cfRule type="duplicateValues" dxfId="217" priority="25"/>
  </conditionalFormatting>
  <conditionalFormatting sqref="S20:S48">
    <cfRule type="duplicateValues" dxfId="216" priority="29"/>
  </conditionalFormatting>
  <conditionalFormatting sqref="R49:R55">
    <cfRule type="duplicateValues" dxfId="215" priority="27"/>
  </conditionalFormatting>
  <conditionalFormatting sqref="R56:R57">
    <cfRule type="duplicateValues" dxfId="214" priority="28"/>
  </conditionalFormatting>
  <conditionalFormatting sqref="Q2 Q63:Q1048576 Q4:Q61">
    <cfRule type="duplicateValues" dxfId="213" priority="31"/>
  </conditionalFormatting>
  <conditionalFormatting sqref="R2 R63:R1048576 R49:R61">
    <cfRule type="duplicateValues" dxfId="212" priority="32"/>
  </conditionalFormatting>
  <conditionalFormatting sqref="P63:P1048576 P2:P61">
    <cfRule type="duplicateValues" dxfId="211" priority="33"/>
  </conditionalFormatting>
  <conditionalFormatting sqref="R63 R58:R61">
    <cfRule type="duplicateValues" dxfId="210" priority="34"/>
  </conditionalFormatting>
  <conditionalFormatting sqref="R4">
    <cfRule type="duplicateValues" dxfId="209" priority="26"/>
  </conditionalFormatting>
  <conditionalFormatting sqref="R6:R8">
    <cfRule type="duplicateValues" dxfId="208" priority="24"/>
  </conditionalFormatting>
  <conditionalFormatting sqref="R9:R10">
    <cfRule type="duplicateValues" dxfId="207" priority="23"/>
  </conditionalFormatting>
  <conditionalFormatting sqref="R11">
    <cfRule type="duplicateValues" dxfId="206" priority="22"/>
  </conditionalFormatting>
  <conditionalFormatting sqref="R12:R36">
    <cfRule type="duplicateValues" dxfId="205" priority="21"/>
  </conditionalFormatting>
  <conditionalFormatting sqref="R37:R45">
    <cfRule type="duplicateValues" dxfId="204" priority="20"/>
  </conditionalFormatting>
  <conditionalFormatting sqref="R46:R48">
    <cfRule type="duplicateValues" dxfId="203" priority="19"/>
  </conditionalFormatting>
  <conditionalFormatting sqref="S4">
    <cfRule type="duplicateValues" dxfId="202" priority="18"/>
  </conditionalFormatting>
  <conditionalFormatting sqref="S5:S10">
    <cfRule type="duplicateValues" dxfId="201" priority="17"/>
  </conditionalFormatting>
  <conditionalFormatting sqref="S11:S12">
    <cfRule type="duplicateValues" dxfId="200" priority="16"/>
  </conditionalFormatting>
  <conditionalFormatting sqref="S13:S19">
    <cfRule type="duplicateValues" dxfId="199" priority="15"/>
  </conditionalFormatting>
  <conditionalFormatting sqref="T4">
    <cfRule type="duplicateValues" dxfId="198" priority="14"/>
  </conditionalFormatting>
  <conditionalFormatting sqref="T5:T6">
    <cfRule type="duplicateValues" dxfId="197" priority="13"/>
  </conditionalFormatting>
  <conditionalFormatting sqref="T7">
    <cfRule type="duplicateValues" dxfId="196" priority="12"/>
  </conditionalFormatting>
  <conditionalFormatting sqref="U4:U6">
    <cfRule type="duplicateValues" dxfId="195" priority="11"/>
  </conditionalFormatting>
  <conditionalFormatting sqref="U7:U31">
    <cfRule type="duplicateValues" dxfId="194" priority="10"/>
  </conditionalFormatting>
  <conditionalFormatting sqref="U32:U40">
    <cfRule type="duplicateValues" dxfId="193" priority="9"/>
  </conditionalFormatting>
  <conditionalFormatting sqref="U41:U43">
    <cfRule type="duplicateValues" dxfId="192" priority="8"/>
  </conditionalFormatting>
  <conditionalFormatting sqref="V4:V6">
    <cfRule type="duplicateValues" dxfId="191" priority="7"/>
  </conditionalFormatting>
  <conditionalFormatting sqref="V7:V31">
    <cfRule type="duplicateValues" dxfId="190" priority="6"/>
  </conditionalFormatting>
  <conditionalFormatting sqref="V32:V40">
    <cfRule type="duplicateValues" dxfId="189" priority="5"/>
  </conditionalFormatting>
  <conditionalFormatting sqref="V41:V43">
    <cfRule type="duplicateValues" dxfId="188" priority="4"/>
  </conditionalFormatting>
  <conditionalFormatting sqref="A55:A56 A58:A59">
    <cfRule type="duplicateValues" dxfId="187" priority="3"/>
  </conditionalFormatting>
  <conditionalFormatting sqref="A54 A52 A44:A49">
    <cfRule type="duplicateValues" dxfId="186" priority="2"/>
  </conditionalFormatting>
  <conditionalFormatting sqref="A3:A54">
    <cfRule type="duplicateValues" dxfId="185" priority="1"/>
  </conditionalFormatting>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7FE9-D802-42ED-B477-1FEBCFBD5B04}">
  <sheetPr codeName="List11">
    <tabColor rgb="FF00B0F0"/>
  </sheetPr>
  <dimension ref="A1:BC139"/>
  <sheetViews>
    <sheetView showGridLines="0" zoomScale="70" zoomScaleNormal="70" workbookViewId="0">
      <selection activeCell="I27" sqref="I27:R27"/>
    </sheetView>
  </sheetViews>
  <sheetFormatPr defaultColWidth="0" defaultRowHeight="14.4" customHeight="1" zeroHeight="1" x14ac:dyDescent="0.3"/>
  <cols>
    <col min="1" max="1" width="9.33203125" style="479" customWidth="1"/>
    <col min="2" max="2" width="9.33203125" style="480" customWidth="1"/>
    <col min="3" max="3" width="7" style="505" customWidth="1"/>
    <col min="4" max="7" width="7" style="178" customWidth="1"/>
    <col min="8" max="8" width="5.33203125" style="178" customWidth="1"/>
    <col min="9" max="14" width="7.21875" style="178" customWidth="1"/>
    <col min="15" max="17" width="5.88671875" style="178" customWidth="1"/>
    <col min="18" max="18" width="4.33203125" style="178" customWidth="1"/>
    <col min="19" max="21" width="5.33203125" style="178" customWidth="1"/>
    <col min="22" max="22" width="3.33203125" style="178" customWidth="1"/>
    <col min="23" max="25" width="5.33203125" style="178" customWidth="1"/>
    <col min="26" max="28" width="5.33203125" style="505" customWidth="1"/>
    <col min="29" max="29" width="3.5546875" style="505" customWidth="1"/>
    <col min="30" max="30" width="5.33203125" style="257" customWidth="1"/>
    <col min="31" max="31" width="5.33203125" style="199" customWidth="1"/>
    <col min="32" max="36" width="5.33203125" style="505" customWidth="1"/>
    <col min="37" max="37" width="3.33203125" style="505" customWidth="1"/>
    <col min="38" max="38" width="5.33203125" style="505" customWidth="1"/>
    <col min="39" max="39" width="3.5546875" style="505" customWidth="1"/>
    <col min="40" max="40" width="5.33203125" style="505" customWidth="1"/>
    <col min="41" max="41" width="2.88671875" style="505" hidden="1" customWidth="1"/>
    <col min="42" max="46" width="8.88671875" style="505" hidden="1" customWidth="1"/>
    <col min="47" max="48" width="8.88671875" style="255" hidden="1" customWidth="1"/>
    <col min="49" max="55" width="8.88671875" style="178" hidden="1" customWidth="1"/>
    <col min="56" max="16384" width="8.88671875" style="1" hidden="1"/>
  </cols>
  <sheetData>
    <row r="1" spans="1:41" x14ac:dyDescent="0.3">
      <c r="A1" s="476"/>
      <c r="B1" s="476"/>
      <c r="C1" s="439"/>
      <c r="D1" s="439"/>
      <c r="E1" s="439"/>
      <c r="F1" s="439"/>
      <c r="G1" s="439"/>
      <c r="H1" s="439"/>
      <c r="I1" s="439"/>
      <c r="J1" s="439"/>
      <c r="K1" s="439"/>
      <c r="L1" s="439"/>
      <c r="M1" s="439"/>
      <c r="N1" s="439"/>
      <c r="O1" s="439"/>
      <c r="P1" s="439"/>
      <c r="Q1" s="439"/>
      <c r="R1" s="439"/>
      <c r="S1" s="439"/>
      <c r="T1" s="439"/>
      <c r="U1" s="439"/>
    </row>
    <row r="2" spans="1:41" x14ac:dyDescent="0.3">
      <c r="A2" s="477"/>
      <c r="B2" s="477"/>
      <c r="C2" s="440"/>
      <c r="D2" s="440"/>
      <c r="E2" s="440"/>
      <c r="F2" s="440"/>
      <c r="G2" s="440"/>
      <c r="H2" s="440"/>
      <c r="I2" s="440"/>
      <c r="J2" s="440"/>
      <c r="K2" s="440"/>
      <c r="L2" s="440"/>
      <c r="M2" s="440"/>
      <c r="N2" s="440"/>
      <c r="O2" s="440"/>
      <c r="P2" s="440"/>
      <c r="Q2" s="440"/>
      <c r="R2" s="440"/>
      <c r="S2" s="440"/>
      <c r="T2" s="377"/>
      <c r="U2" s="377"/>
      <c r="V2" s="377"/>
      <c r="W2" s="377"/>
      <c r="X2" s="377"/>
      <c r="Y2" s="377"/>
      <c r="Z2" s="378"/>
      <c r="AA2" s="378"/>
      <c r="AB2" s="378"/>
      <c r="AC2" s="378"/>
      <c r="AD2" s="379"/>
      <c r="AE2" s="380"/>
      <c r="AF2" s="378"/>
      <c r="AG2" s="378"/>
      <c r="AH2" s="378"/>
      <c r="AI2" s="378"/>
      <c r="AJ2" s="378"/>
      <c r="AK2" s="745" t="str">
        <f>'Translate &amp; Prices'!$B$520</f>
        <v>Úvod</v>
      </c>
      <c r="AL2" s="746"/>
      <c r="AM2" s="746"/>
      <c r="AN2" s="746"/>
    </row>
    <row r="3" spans="1:41" x14ac:dyDescent="0.3">
      <c r="A3" s="477"/>
      <c r="B3" s="477"/>
      <c r="C3" s="440"/>
      <c r="D3" s="440"/>
      <c r="E3" s="440"/>
      <c r="F3" s="440"/>
      <c r="G3" s="440"/>
      <c r="H3" s="440"/>
      <c r="I3" s="440"/>
      <c r="J3" s="440"/>
      <c r="K3" s="440"/>
      <c r="L3" s="440"/>
      <c r="M3" s="440"/>
      <c r="N3" s="440"/>
      <c r="O3" s="440"/>
      <c r="P3" s="440"/>
      <c r="Q3" s="440"/>
      <c r="R3" s="440"/>
      <c r="S3" s="440"/>
      <c r="T3" s="377"/>
      <c r="U3" s="377"/>
      <c r="V3" s="377"/>
      <c r="W3" s="377"/>
      <c r="X3" s="377"/>
      <c r="Y3" s="377"/>
      <c r="Z3" s="378"/>
      <c r="AA3" s="378"/>
      <c r="AB3" s="378"/>
      <c r="AC3" s="378"/>
      <c r="AD3" s="379"/>
      <c r="AE3" s="380"/>
      <c r="AF3" s="378"/>
      <c r="AG3" s="378"/>
      <c r="AH3" s="378"/>
      <c r="AI3" s="378"/>
      <c r="AJ3" s="378"/>
      <c r="AK3" s="745"/>
      <c r="AL3" s="746"/>
      <c r="AM3" s="746"/>
      <c r="AN3" s="746"/>
    </row>
    <row r="4" spans="1:41" ht="6.6" customHeight="1" x14ac:dyDescent="0.3">
      <c r="A4" s="476"/>
      <c r="B4" s="476"/>
      <c r="C4" s="439"/>
      <c r="D4" s="439"/>
      <c r="E4" s="439"/>
      <c r="F4" s="439"/>
      <c r="G4" s="439"/>
      <c r="H4" s="439"/>
      <c r="I4" s="439"/>
      <c r="P4" s="921" t="str">
        <f>'Translate &amp; Prices'!$B$149&amp;" "&amp;" "&amp;2</f>
        <v>Rámeček  2</v>
      </c>
      <c r="Q4" s="921"/>
      <c r="R4" s="921"/>
      <c r="S4" s="921"/>
      <c r="T4" s="921"/>
      <c r="U4" s="921"/>
      <c r="V4" s="921"/>
      <c r="W4" s="921"/>
      <c r="X4" s="921"/>
      <c r="Y4" s="921"/>
      <c r="Z4" s="921"/>
      <c r="AA4" s="921"/>
      <c r="AB4" s="921"/>
      <c r="AC4" s="921"/>
    </row>
    <row r="5" spans="1:41" ht="15" customHeight="1" x14ac:dyDescent="0.3">
      <c r="A5" s="476"/>
      <c r="B5" s="476"/>
      <c r="C5" s="439"/>
      <c r="D5" s="439"/>
      <c r="E5" s="439"/>
      <c r="F5" s="439"/>
      <c r="G5" s="439"/>
      <c r="H5" s="439"/>
      <c r="I5" s="439"/>
      <c r="P5" s="921"/>
      <c r="Q5" s="921"/>
      <c r="R5" s="921"/>
      <c r="S5" s="921"/>
      <c r="T5" s="921"/>
      <c r="U5" s="921"/>
      <c r="V5" s="921"/>
      <c r="W5" s="921"/>
      <c r="X5" s="921"/>
      <c r="Y5" s="921"/>
      <c r="Z5" s="921"/>
      <c r="AA5" s="921"/>
      <c r="AB5" s="921"/>
      <c r="AC5" s="921"/>
    </row>
    <row r="6" spans="1:41" x14ac:dyDescent="0.3">
      <c r="A6" s="476"/>
      <c r="B6" s="476"/>
      <c r="C6" s="439"/>
      <c r="D6" s="439"/>
      <c r="E6" s="439"/>
      <c r="F6" s="439"/>
      <c r="G6" s="439"/>
      <c r="H6" s="439"/>
      <c r="I6" s="439"/>
      <c r="J6" s="439"/>
      <c r="K6" s="439"/>
      <c r="L6" s="439"/>
      <c r="M6" s="439"/>
      <c r="N6" s="439"/>
      <c r="O6" s="439"/>
      <c r="P6" s="439"/>
      <c r="Q6" s="439"/>
      <c r="R6" s="439"/>
      <c r="S6" s="439"/>
      <c r="T6" s="439"/>
      <c r="U6" s="439"/>
    </row>
    <row r="7" spans="1:41" ht="14.4" hidden="1" customHeight="1" x14ac:dyDescent="0.3">
      <c r="A7" s="476"/>
      <c r="B7" s="476"/>
      <c r="D7" s="441"/>
      <c r="E7" s="441"/>
      <c r="F7" s="441"/>
      <c r="G7" s="441"/>
      <c r="H7" s="441"/>
      <c r="I7" s="441"/>
      <c r="J7" s="439"/>
      <c r="K7" s="439"/>
      <c r="L7" s="439"/>
    </row>
    <row r="8" spans="1:41" ht="14.4" customHeight="1" thickBot="1" x14ac:dyDescent="0.35">
      <c r="A8" s="476"/>
      <c r="B8" s="478"/>
      <c r="C8" s="445"/>
      <c r="D8" s="445"/>
      <c r="E8" s="445"/>
      <c r="F8" s="445"/>
      <c r="G8" s="445"/>
      <c r="H8" s="445"/>
      <c r="I8" s="445"/>
      <c r="J8" s="445"/>
      <c r="K8" s="445"/>
      <c r="L8" s="445"/>
      <c r="M8" s="439"/>
      <c r="N8" s="439"/>
      <c r="O8" s="439"/>
      <c r="P8" s="922" t="str">
        <f>Ceny_n!$B$500</f>
        <v>Přejít na:</v>
      </c>
      <c r="Q8" s="922"/>
      <c r="R8" s="923" t="str">
        <f>'Translate &amp; Prices'!$B$149&amp;" "&amp;" "&amp;1</f>
        <v>Rámeček  1</v>
      </c>
      <c r="S8" s="923"/>
      <c r="T8" s="923"/>
      <c r="U8" s="442"/>
      <c r="V8" s="923" t="str">
        <f>'Translate &amp; Prices'!$B$149&amp;" "&amp;" "&amp;2</f>
        <v>Rámeček  2</v>
      </c>
      <c r="W8" s="923"/>
      <c r="X8" s="923"/>
      <c r="Y8" s="442"/>
      <c r="Z8" s="923" t="str">
        <f>'Translate &amp; Prices'!$B$149&amp;" "&amp;" "&amp;3</f>
        <v>Rámeček  3</v>
      </c>
      <c r="AA8" s="923"/>
      <c r="AB8" s="923"/>
      <c r="AC8" s="442"/>
      <c r="AD8" s="923" t="str">
        <f>'Translate &amp; Prices'!$B$149&amp;" "&amp;" "&amp;4</f>
        <v>Rámeček  4</v>
      </c>
      <c r="AE8" s="923"/>
      <c r="AF8" s="923"/>
      <c r="AG8" s="442"/>
      <c r="AH8" s="923" t="str">
        <f>'Translate &amp; Prices'!$B$149&amp;" "&amp;" "&amp;5</f>
        <v>Rámeček  5</v>
      </c>
      <c r="AI8" s="923"/>
      <c r="AJ8" s="923"/>
      <c r="AK8" s="442"/>
      <c r="AL8" s="923" t="str">
        <f>'Translate &amp; Prices'!$B$149&amp;" "&amp;" "&amp;6</f>
        <v>Rámeček  6</v>
      </c>
      <c r="AM8" s="923"/>
      <c r="AN8" s="923"/>
      <c r="AO8" s="442"/>
    </row>
    <row r="9" spans="1:41" ht="14.4" hidden="1" customHeight="1" thickTop="1" x14ac:dyDescent="0.3">
      <c r="A9" s="496"/>
      <c r="B9" s="497"/>
      <c r="C9" s="498"/>
      <c r="D9" s="499"/>
      <c r="E9" s="499"/>
      <c r="F9" s="499"/>
      <c r="G9" s="499"/>
      <c r="H9" s="499"/>
      <c r="I9" s="499"/>
    </row>
    <row r="10" spans="1:41" ht="15" thickTop="1" x14ac:dyDescent="0.3">
      <c r="A10" s="499"/>
      <c r="B10" s="497"/>
      <c r="C10" s="497"/>
      <c r="D10" s="497"/>
      <c r="E10" s="497"/>
      <c r="F10" s="497"/>
      <c r="G10" s="497"/>
      <c r="H10" s="497"/>
      <c r="I10" s="497"/>
      <c r="J10" s="478"/>
      <c r="K10" s="478"/>
      <c r="L10" s="478"/>
      <c r="M10" s="479"/>
      <c r="N10" s="479"/>
      <c r="O10" s="479"/>
      <c r="P10" s="479"/>
      <c r="Q10" s="479"/>
      <c r="R10" s="479"/>
    </row>
    <row r="11" spans="1:41" ht="15.6" customHeight="1" x14ac:dyDescent="0.3">
      <c r="A11" s="422"/>
      <c r="B11" s="459" t="e">
        <f>VLOOKUP(VLOOKUP(I15,'Translate &amp; Prices'!B60:C651,2,0),'Translate &amp; Prices'!B3:D567,3,0)</f>
        <v>#N/A</v>
      </c>
      <c r="C11" s="459" t="e">
        <f>VLOOKUP(VLOOKUP(I15,'Translate &amp; Prices'!B60:D69,3,0),'Translate &amp; Prices'!B:D,3,0)</f>
        <v>#N/A</v>
      </c>
      <c r="D11" s="460" t="e">
        <f>B11+C11</f>
        <v>#N/A</v>
      </c>
      <c r="E11" s="461"/>
      <c r="F11" s="422"/>
      <c r="G11" s="459"/>
      <c r="H11" s="459"/>
      <c r="I11" s="459"/>
      <c r="J11" s="459"/>
      <c r="K11" s="459"/>
      <c r="L11" s="459"/>
      <c r="M11" s="422"/>
      <c r="N11" s="422"/>
      <c r="O11" s="422"/>
      <c r="P11" s="422"/>
      <c r="Q11" s="422"/>
      <c r="R11" s="422"/>
      <c r="S11" s="422"/>
      <c r="T11" s="422"/>
      <c r="U11" s="422"/>
      <c r="V11" s="385"/>
      <c r="W11" s="386"/>
      <c r="X11" s="429"/>
      <c r="Y11" s="429"/>
      <c r="Z11" s="386"/>
      <c r="AA11" s="386"/>
      <c r="AB11" s="386"/>
      <c r="AC11" s="386"/>
      <c r="AD11" s="387"/>
      <c r="AE11" s="458"/>
      <c r="AF11" s="386"/>
      <c r="AG11" s="386"/>
      <c r="AH11" s="429"/>
      <c r="AI11" s="429"/>
      <c r="AJ11" s="386"/>
      <c r="AK11" s="388"/>
    </row>
    <row r="12" spans="1:41" ht="18.600000000000001" customHeight="1" x14ac:dyDescent="0.3">
      <c r="A12" s="500"/>
      <c r="B12" s="464" t="s">
        <v>2429</v>
      </c>
      <c r="C12" s="497"/>
      <c r="D12" s="497"/>
      <c r="E12" s="497"/>
      <c r="F12" s="497"/>
      <c r="G12" s="497"/>
      <c r="H12" s="497"/>
      <c r="I12" s="497"/>
      <c r="J12" s="478"/>
      <c r="K12" s="478"/>
      <c r="L12" s="478"/>
      <c r="M12" s="479"/>
      <c r="N12" s="479"/>
      <c r="O12" s="479"/>
      <c r="P12" s="479"/>
      <c r="Q12" s="479"/>
      <c r="R12" s="479"/>
      <c r="S12" s="479"/>
      <c r="V12" s="394"/>
      <c r="W12" s="382"/>
      <c r="X12" s="383"/>
      <c r="Y12" s="383"/>
      <c r="Z12" s="383"/>
      <c r="AA12" s="383"/>
      <c r="AB12" s="417"/>
      <c r="AC12" s="417"/>
      <c r="AD12" s="418"/>
      <c r="AE12" s="924">
        <v>0</v>
      </c>
      <c r="AF12" s="383"/>
      <c r="AG12" s="383"/>
      <c r="AH12" s="383"/>
      <c r="AI12" s="383"/>
      <c r="AJ12" s="384"/>
      <c r="AK12" s="389"/>
    </row>
    <row r="13" spans="1:41" ht="15" customHeight="1" x14ac:dyDescent="0.3">
      <c r="A13" s="424" t="s">
        <v>2436</v>
      </c>
      <c r="B13" s="424">
        <f>IFERROR(IF(kombinace_2!$H$1=TRUE,F14+D11,0),0)</f>
        <v>0</v>
      </c>
      <c r="C13" s="747" t="str">
        <f>'Translate &amp; Prices'!$B$522</f>
        <v>Kombinace 2 profilů</v>
      </c>
      <c r="D13" s="747"/>
      <c r="E13" s="747"/>
      <c r="F13" s="747"/>
      <c r="G13" s="747"/>
      <c r="H13" s="436"/>
      <c r="I13" s="925" t="str">
        <f>'Translate &amp; Prices'!$B$541</f>
        <v>Rámeček složený ze dvou různých profilů</v>
      </c>
      <c r="J13" s="925"/>
      <c r="K13" s="925"/>
      <c r="L13" s="925"/>
      <c r="M13" s="925"/>
      <c r="N13" s="925"/>
      <c r="O13" s="925"/>
      <c r="P13" s="925"/>
      <c r="Q13" s="925"/>
      <c r="R13" s="925"/>
      <c r="S13" s="423"/>
      <c r="T13" s="422"/>
      <c r="U13" s="422"/>
      <c r="V13" s="415"/>
      <c r="X13" s="915" t="str">
        <f>'Translate &amp; Prices'!$B$222</f>
        <v>Vzdálenost od kraje</v>
      </c>
      <c r="Y13" s="915"/>
      <c r="Z13" s="915"/>
      <c r="AA13" s="915"/>
      <c r="AB13" s="915"/>
      <c r="AE13" s="924"/>
      <c r="AK13" s="415"/>
    </row>
    <row r="14" spans="1:41" ht="18.600000000000001" customHeight="1" x14ac:dyDescent="0.3">
      <c r="A14" s="424"/>
      <c r="B14" s="464" t="e">
        <f>VLOOKUP(VLOOKUP(I15,'Translate &amp; Prices'!B60:C69,2,0),'Translate &amp; Prices'!B6:C570,2,0)</f>
        <v>#N/A</v>
      </c>
      <c r="C14" s="459" t="e">
        <f>VLOOKUP(VLOOKUP(I15,'Translate &amp; Prices'!B60:D69,3,0),'Translate &amp; Prices'!B6:D57,2,0)</f>
        <v>#N/A</v>
      </c>
      <c r="D14" s="422" t="e">
        <f>((AM19/1000)*2)*B14</f>
        <v>#N/A</v>
      </c>
      <c r="E14" s="461" t="e">
        <f>((AD35/1000)*2)*C14</f>
        <v>#N/A</v>
      </c>
      <c r="F14" s="461" t="e">
        <f>D14+E14</f>
        <v>#N/A</v>
      </c>
      <c r="G14" s="422"/>
      <c r="H14" s="422"/>
      <c r="I14" s="422"/>
      <c r="J14" s="422"/>
      <c r="K14" s="422"/>
      <c r="L14" s="422"/>
      <c r="M14" s="422"/>
      <c r="N14" s="422"/>
      <c r="O14" s="422"/>
      <c r="P14" s="422"/>
      <c r="Q14" s="422"/>
      <c r="R14" s="422"/>
      <c r="S14" s="422"/>
      <c r="T14" s="422"/>
      <c r="U14" s="422"/>
      <c r="V14" s="426"/>
      <c r="X14" s="916">
        <v>0</v>
      </c>
      <c r="Y14" s="916"/>
      <c r="Z14" s="424"/>
      <c r="AA14" s="911" t="str">
        <f>('Translate &amp; Prices'!$B$528)&amp;" "&amp;I41&amp;" "&amp;"mm"</f>
        <v>Rozteč  mm</v>
      </c>
      <c r="AB14" s="911"/>
      <c r="AC14" s="911"/>
      <c r="AD14" s="911"/>
      <c r="AE14" s="911"/>
      <c r="AF14" s="911"/>
      <c r="AK14" s="426"/>
      <c r="AL14" s="5"/>
    </row>
    <row r="15" spans="1:41" ht="15" customHeight="1" x14ac:dyDescent="0.3">
      <c r="A15" s="424" t="s">
        <v>38</v>
      </c>
      <c r="B15" s="465">
        <f>IFERROR((((AD35/1000)+(AM19/1000))*2)*(VLOOKUP(I15,'Translate &amp; Prices'!B6:C67,2,0))+(VLOOKUP(I15,'Translate &amp; Prices'!B6:D67,3,0)),0)</f>
        <v>1644.7989600000001</v>
      </c>
      <c r="C15" s="747" t="str">
        <f>'Translate &amp; Prices'!$B$152</f>
        <v>Typ profilu</v>
      </c>
      <c r="D15" s="747"/>
      <c r="E15" s="747"/>
      <c r="F15" s="747"/>
      <c r="G15" s="747"/>
      <c r="H15" s="436"/>
      <c r="I15" s="889" t="s">
        <v>991</v>
      </c>
      <c r="J15" s="889"/>
      <c r="K15" s="889"/>
      <c r="L15" s="889"/>
      <c r="M15" s="889"/>
      <c r="N15" s="889"/>
      <c r="O15" s="889"/>
      <c r="P15" s="889"/>
      <c r="Q15" s="889"/>
      <c r="R15" s="889"/>
      <c r="S15" s="423">
        <f>VLOOKUP(I15,kombinace_2!$A:$B,2,0)</f>
        <v>1</v>
      </c>
      <c r="T15" s="422" t="str">
        <f>IF(S15=2,"Široký","Úzký")</f>
        <v>Úzký</v>
      </c>
      <c r="U15" s="422"/>
      <c r="V15" s="426"/>
      <c r="Y15" s="802">
        <v>0</v>
      </c>
      <c r="Z15" s="917" t="str">
        <f>'Translate &amp; Prices'!$B$222</f>
        <v>Vzdálenost od kraje</v>
      </c>
      <c r="AK15" s="426"/>
    </row>
    <row r="16" spans="1:41" ht="18.600000000000001" customHeight="1" x14ac:dyDescent="0.3">
      <c r="A16" s="424"/>
      <c r="B16" s="500"/>
      <c r="C16" s="498"/>
      <c r="D16" s="499"/>
      <c r="E16" s="499"/>
      <c r="F16" s="499"/>
      <c r="G16" s="499"/>
      <c r="H16" s="499"/>
      <c r="I16" s="499"/>
      <c r="J16" s="499"/>
      <c r="K16" s="499"/>
      <c r="L16" s="499"/>
      <c r="M16" s="499"/>
      <c r="N16" s="499"/>
      <c r="O16" s="499"/>
      <c r="P16" s="499"/>
      <c r="Q16" s="499"/>
      <c r="R16" s="499"/>
      <c r="S16" s="422"/>
      <c r="T16" s="422"/>
      <c r="U16" s="422"/>
      <c r="V16" s="427"/>
      <c r="W16" s="97"/>
      <c r="X16" s="505"/>
      <c r="Y16" s="802"/>
      <c r="Z16" s="917"/>
      <c r="AJ16" s="98"/>
      <c r="AK16" s="389"/>
    </row>
    <row r="17" spans="1:39" ht="15" customHeight="1" x14ac:dyDescent="0.3">
      <c r="A17" s="424" t="s">
        <v>2065</v>
      </c>
      <c r="B17" s="424">
        <f>((I20+N20)*2)*'Translate &amp; Prices'!C80</f>
        <v>0</v>
      </c>
      <c r="C17" s="747" t="str">
        <f>IFERROR(IF(VLOOKUP(I15,kombinace_2!$A:$D,4,0)=1,'Translate &amp; Prices'!$B$523,0),0)</f>
        <v>Dělící lišty</v>
      </c>
      <c r="D17" s="747"/>
      <c r="E17" s="747"/>
      <c r="F17" s="747"/>
      <c r="G17" s="747"/>
      <c r="H17" s="436"/>
      <c r="I17" s="889" t="s">
        <v>2396</v>
      </c>
      <c r="J17" s="889"/>
      <c r="K17" s="889"/>
      <c r="L17" s="889"/>
      <c r="M17" s="889"/>
      <c r="N17" s="889"/>
      <c r="O17" s="889"/>
      <c r="P17" s="889"/>
      <c r="Q17" s="889"/>
      <c r="R17" s="889"/>
      <c r="S17" s="423">
        <f>VLOOKUP(I21,kombinace_2!$DP:$DQ,2,0)</f>
        <v>2</v>
      </c>
      <c r="T17" s="422"/>
      <c r="U17" s="422"/>
      <c r="V17" s="427"/>
      <c r="W17" s="97"/>
      <c r="X17" s="505"/>
      <c r="Y17" s="802"/>
      <c r="Z17" s="917"/>
      <c r="AJ17" s="98"/>
      <c r="AK17" s="389"/>
    </row>
    <row r="18" spans="1:39" ht="18.600000000000001" customHeight="1" x14ac:dyDescent="0.3">
      <c r="A18" s="424"/>
      <c r="B18" s="424"/>
      <c r="I18" s="918" t="str">
        <f>kombinace_2!$BY$14</f>
        <v>Horizontálně</v>
      </c>
      <c r="J18" s="918"/>
      <c r="K18" s="918"/>
      <c r="L18" s="918"/>
      <c r="M18" s="918"/>
      <c r="N18" s="918" t="str">
        <f>kombinace_2!$BY$15</f>
        <v>Vertikálně</v>
      </c>
      <c r="O18" s="918"/>
      <c r="P18" s="918"/>
      <c r="Q18" s="918"/>
      <c r="R18" s="918"/>
      <c r="S18" s="422">
        <f>IFERROR(VLOOKUP(I17,kombinace_2!$BY$13:$BZ$16,2,0),0)</f>
        <v>3</v>
      </c>
      <c r="T18" s="422"/>
      <c r="U18" s="422"/>
      <c r="V18" s="427"/>
      <c r="W18" s="97"/>
      <c r="Y18" s="424"/>
      <c r="Z18" s="917"/>
      <c r="AJ18" s="98"/>
      <c r="AK18" s="389"/>
      <c r="AM18" s="5"/>
    </row>
    <row r="19" spans="1:39" ht="15" customHeight="1" x14ac:dyDescent="0.3">
      <c r="A19" s="424" t="s">
        <v>2065</v>
      </c>
      <c r="B19" s="424">
        <f>IF(S18=1,I20*'Translate &amp; Prices'!C53,IF(S18=2,N20*'Translate &amp; Prices'!C53,IF(S18=3,(I20+N20)*'Translate &amp; Prices'!C53,IF(S18=0,0))))</f>
        <v>0</v>
      </c>
      <c r="C19" s="747" t="str">
        <f>('Translate &amp; Prices'!$B$523)&amp;" "&amp;"("&amp;'Translate &amp; Prices'!$B$154&amp;")"</f>
        <v>Dělící lišty (Počet kusů)</v>
      </c>
      <c r="D19" s="747"/>
      <c r="E19" s="747"/>
      <c r="F19" s="747"/>
      <c r="G19" s="747"/>
      <c r="H19" s="436"/>
      <c r="I19" s="914"/>
      <c r="J19" s="914"/>
      <c r="K19" s="914"/>
      <c r="L19" s="914"/>
      <c r="M19" s="914"/>
      <c r="N19" s="914"/>
      <c r="O19" s="914"/>
      <c r="P19" s="914"/>
      <c r="Q19" s="914"/>
      <c r="R19" s="914"/>
      <c r="S19" s="423"/>
      <c r="T19" s="422"/>
      <c r="U19" s="422"/>
      <c r="V19" s="427"/>
      <c r="W19" s="97"/>
      <c r="Y19" s="851" t="str">
        <f>('Translate &amp; Prices'!$B$528)&amp;" "&amp;I41&amp;" "&amp;"mm"</f>
        <v>Rozteč  mm</v>
      </c>
      <c r="Z19" s="917"/>
      <c r="AH19" s="799" t="str">
        <f>('Translate &amp; Prices'!$B$528)&amp;" "&amp;I41&amp;" "&amp;"mm"</f>
        <v>Rozteč  mm</v>
      </c>
      <c r="AJ19" s="419"/>
      <c r="AK19" s="389"/>
      <c r="AM19" s="859">
        <v>2100</v>
      </c>
    </row>
    <row r="20" spans="1:39" ht="18.600000000000001" customHeight="1" x14ac:dyDescent="0.3">
      <c r="A20" s="424"/>
      <c r="B20" s="424"/>
      <c r="I20" s="919">
        <f>(AD35/1000)*I19</f>
        <v>0</v>
      </c>
      <c r="J20" s="919"/>
      <c r="K20" s="919"/>
      <c r="L20" s="919"/>
      <c r="M20" s="919"/>
      <c r="N20" s="919">
        <f>(AM19/1000)*N19</f>
        <v>0</v>
      </c>
      <c r="O20" s="919"/>
      <c r="P20" s="919"/>
      <c r="Q20" s="919"/>
      <c r="R20" s="919"/>
      <c r="S20" s="422"/>
      <c r="T20" s="422"/>
      <c r="U20" s="422"/>
      <c r="V20" s="427"/>
      <c r="W20" s="416"/>
      <c r="X20" s="505"/>
      <c r="Y20" s="851"/>
      <c r="Z20" s="917"/>
      <c r="AH20" s="799"/>
      <c r="AJ20" s="419"/>
      <c r="AK20" s="389"/>
      <c r="AM20" s="859"/>
    </row>
    <row r="21" spans="1:39" ht="15" customHeight="1" x14ac:dyDescent="0.3">
      <c r="A21" s="424" t="s">
        <v>2435</v>
      </c>
      <c r="B21" s="424"/>
      <c r="C21" s="747" t="str">
        <f>'Translate &amp; Prices'!$B$238</f>
        <v>Typ kování</v>
      </c>
      <c r="D21" s="747"/>
      <c r="E21" s="747"/>
      <c r="F21" s="747"/>
      <c r="G21" s="747"/>
      <c r="H21" s="436"/>
      <c r="I21" s="889" t="s">
        <v>735</v>
      </c>
      <c r="J21" s="889"/>
      <c r="K21" s="889"/>
      <c r="L21" s="889"/>
      <c r="M21" s="889"/>
      <c r="N21" s="889"/>
      <c r="O21" s="889"/>
      <c r="P21" s="889"/>
      <c r="Q21" s="889"/>
      <c r="R21" s="889"/>
      <c r="S21" s="423"/>
      <c r="T21" s="422"/>
      <c r="U21" s="422"/>
      <c r="V21" s="427"/>
      <c r="W21" s="416"/>
      <c r="Y21" s="851"/>
      <c r="Z21" s="917"/>
      <c r="AH21" s="799"/>
      <c r="AJ21" s="419"/>
      <c r="AK21" s="389"/>
      <c r="AM21" s="859"/>
    </row>
    <row r="22" spans="1:39" ht="18.600000000000001" customHeight="1" x14ac:dyDescent="0.3">
      <c r="A22" s="424"/>
      <c r="B22" s="424"/>
      <c r="S22" s="422"/>
      <c r="T22" s="422"/>
      <c r="U22" s="422"/>
      <c r="V22" s="427"/>
      <c r="W22" s="416"/>
      <c r="Y22" s="851"/>
      <c r="AH22" s="799"/>
      <c r="AJ22" s="419"/>
      <c r="AK22" s="389"/>
      <c r="AM22" s="859"/>
    </row>
    <row r="23" spans="1:39" ht="15" customHeight="1" x14ac:dyDescent="0.3">
      <c r="A23" s="424" t="s">
        <v>2434</v>
      </c>
      <c r="B23" s="424"/>
      <c r="C23" s="747" t="str">
        <f>'Translate &amp; Prices'!$B$524</f>
        <v>Značka kování</v>
      </c>
      <c r="D23" s="747"/>
      <c r="E23" s="747"/>
      <c r="F23" s="747"/>
      <c r="G23" s="747"/>
      <c r="H23" s="436"/>
      <c r="I23" s="889" t="s">
        <v>1021</v>
      </c>
      <c r="J23" s="889"/>
      <c r="K23" s="889"/>
      <c r="L23" s="889"/>
      <c r="M23" s="889"/>
      <c r="N23" s="889"/>
      <c r="O23" s="889"/>
      <c r="P23" s="889"/>
      <c r="Q23" s="889"/>
      <c r="R23" s="889"/>
      <c r="S23" s="423"/>
      <c r="T23" s="422"/>
      <c r="U23" s="422"/>
      <c r="V23" s="427"/>
      <c r="W23" s="416"/>
      <c r="Y23" s="851"/>
      <c r="AH23" s="799"/>
      <c r="AJ23" s="419"/>
      <c r="AK23" s="389"/>
      <c r="AM23" s="859"/>
    </row>
    <row r="24" spans="1:39" ht="18.600000000000001" customHeight="1" x14ac:dyDescent="0.3">
      <c r="A24" s="424"/>
      <c r="B24" s="424"/>
      <c r="I24" s="913"/>
      <c r="J24" s="913"/>
      <c r="K24" s="913"/>
      <c r="L24" s="913"/>
      <c r="M24" s="913"/>
      <c r="N24" s="913"/>
      <c r="O24" s="913"/>
      <c r="P24" s="913"/>
      <c r="Q24" s="913"/>
      <c r="R24" s="913"/>
      <c r="S24" s="422"/>
      <c r="T24" s="422"/>
      <c r="U24" s="422"/>
      <c r="V24" s="426"/>
      <c r="W24" s="803">
        <v>0</v>
      </c>
      <c r="X24" s="803"/>
      <c r="Y24" s="851"/>
      <c r="AG24" s="912" t="str">
        <f>'Translate &amp; Prices'!$B$222</f>
        <v>Vzdálenost od kraje</v>
      </c>
      <c r="AH24" s="799"/>
      <c r="AI24" s="803">
        <v>0</v>
      </c>
      <c r="AJ24" s="803"/>
      <c r="AK24" s="415"/>
      <c r="AM24" s="805" t="str">
        <f>'Translate &amp; Prices'!$B$156</f>
        <v>Výška</v>
      </c>
    </row>
    <row r="25" spans="1:39" ht="15" customHeight="1" x14ac:dyDescent="0.3">
      <c r="A25" s="424" t="s">
        <v>735</v>
      </c>
      <c r="B25" s="424"/>
      <c r="C25" s="906" t="str">
        <f>IFERROR(IF(I21='Translate &amp; Prices'!B531,'Translate &amp; Prices'!$B$526,0),0)</f>
        <v>Naložení</v>
      </c>
      <c r="D25" s="906"/>
      <c r="E25" s="906"/>
      <c r="F25" s="906"/>
      <c r="G25" s="906"/>
      <c r="H25" s="435"/>
      <c r="I25" s="904" t="s">
        <v>125</v>
      </c>
      <c r="J25" s="904"/>
      <c r="K25" s="904"/>
      <c r="L25" s="904"/>
      <c r="M25" s="904"/>
      <c r="N25" s="904"/>
      <c r="O25" s="904"/>
      <c r="P25" s="904"/>
      <c r="Q25" s="904"/>
      <c r="R25" s="904"/>
      <c r="S25" s="424">
        <f>VLOOKUP(I31,kombinace_2!$BY:$BZ,2,0)</f>
        <v>1</v>
      </c>
      <c r="U25" s="422"/>
      <c r="V25" s="427"/>
      <c r="W25" s="97"/>
      <c r="Y25" s="851"/>
      <c r="AG25" s="912"/>
      <c r="AH25" s="799"/>
      <c r="AJ25" s="419"/>
      <c r="AK25" s="389"/>
      <c r="AM25" s="805"/>
    </row>
    <row r="26" spans="1:39" ht="18.600000000000001" customHeight="1" x14ac:dyDescent="0.3">
      <c r="A26" s="424"/>
      <c r="B26" s="424"/>
      <c r="S26" s="422"/>
      <c r="T26" s="422"/>
      <c r="U26" s="422"/>
      <c r="V26" s="427"/>
      <c r="W26" s="97"/>
      <c r="X26" s="505"/>
      <c r="Y26" s="851"/>
      <c r="AG26" s="912"/>
      <c r="AH26" s="799"/>
      <c r="AJ26" s="98"/>
      <c r="AK26" s="389"/>
      <c r="AM26" s="805"/>
    </row>
    <row r="27" spans="1:39" ht="15" customHeight="1" x14ac:dyDescent="0.3">
      <c r="A27" s="424" t="s">
        <v>2430</v>
      </c>
      <c r="B27" s="424"/>
      <c r="C27" s="747" t="str">
        <f>'Translate &amp; Prices'!$B$525</f>
        <v>Varianta kování</v>
      </c>
      <c r="D27" s="747"/>
      <c r="E27" s="747"/>
      <c r="F27" s="747"/>
      <c r="G27" s="747"/>
      <c r="H27" s="436"/>
      <c r="I27" s="889" t="s">
        <v>2652</v>
      </c>
      <c r="J27" s="889"/>
      <c r="K27" s="889"/>
      <c r="L27" s="889"/>
      <c r="M27" s="889"/>
      <c r="N27" s="889"/>
      <c r="O27" s="889"/>
      <c r="P27" s="889"/>
      <c r="Q27" s="889"/>
      <c r="R27" s="889"/>
      <c r="S27" s="423">
        <f>IFERROR(VLOOKUP(I27,kombinace_1!$CD:$CF,3,0),0)</f>
        <v>0</v>
      </c>
      <c r="T27" s="422"/>
      <c r="U27" s="422"/>
      <c r="V27" s="427"/>
      <c r="W27" s="97"/>
      <c r="X27" s="505"/>
      <c r="Y27" s="505"/>
      <c r="AG27" s="912"/>
      <c r="AH27" s="424"/>
      <c r="AJ27" s="98"/>
      <c r="AK27" s="389"/>
      <c r="AM27" s="805"/>
    </row>
    <row r="28" spans="1:39" ht="18.600000000000001" customHeight="1" x14ac:dyDescent="0.3">
      <c r="A28" s="424"/>
      <c r="B28" s="424"/>
      <c r="C28" s="907" t="str">
        <f>'Translate &amp; Prices'!$B$198</f>
        <v>Výběr pozice rámečku</v>
      </c>
      <c r="D28" s="907"/>
      <c r="E28" s="907"/>
      <c r="F28" s="907"/>
      <c r="G28" s="908"/>
      <c r="H28" s="908"/>
      <c r="I28" s="908"/>
      <c r="J28" s="908"/>
      <c r="K28" s="907" t="str">
        <f>'Translate &amp; Prices'!$B$212</f>
        <v>Provedení druhého dvířka</v>
      </c>
      <c r="L28" s="907"/>
      <c r="M28" s="907"/>
      <c r="N28" s="907"/>
      <c r="O28" s="908"/>
      <c r="P28" s="908"/>
      <c r="Q28" s="908"/>
      <c r="R28" s="908"/>
      <c r="S28" s="422"/>
      <c r="T28" s="422"/>
      <c r="U28" s="422"/>
      <c r="V28" s="427"/>
      <c r="W28" s="97"/>
      <c r="Y28" s="53"/>
      <c r="Z28" s="53"/>
      <c r="AA28" s="53"/>
      <c r="AG28" s="912"/>
      <c r="AH28" s="800">
        <v>0</v>
      </c>
      <c r="AJ28" s="98"/>
      <c r="AK28" s="389"/>
      <c r="AM28" s="805"/>
    </row>
    <row r="29" spans="1:39" ht="15" customHeight="1" x14ac:dyDescent="0.3">
      <c r="A29" s="424" t="s">
        <v>2431</v>
      </c>
      <c r="B29" s="424"/>
      <c r="C29" s="747">
        <f>IFERROR(IF(VLOOKUP(I27,kombinace_2!CD:CE,2,0)=1,'Translate &amp; Prices'!$B$527,0),0)</f>
        <v>0</v>
      </c>
      <c r="D29" s="747"/>
      <c r="E29" s="747"/>
      <c r="F29" s="747"/>
      <c r="G29" s="747"/>
      <c r="H29" s="436"/>
      <c r="I29" s="889"/>
      <c r="J29" s="889"/>
      <c r="K29" s="889"/>
      <c r="L29" s="889"/>
      <c r="M29" s="889"/>
      <c r="N29" s="889"/>
      <c r="O29" s="889"/>
      <c r="P29" s="889"/>
      <c r="Q29" s="889"/>
      <c r="R29" s="889"/>
      <c r="S29" s="423"/>
      <c r="T29" s="422"/>
      <c r="U29" s="422"/>
      <c r="V29" s="427"/>
      <c r="W29" s="97"/>
      <c r="X29" s="909" t="str">
        <f>'Translate &amp; Prices'!$B$222</f>
        <v>Vzdálenost od kraje</v>
      </c>
      <c r="Y29" s="909"/>
      <c r="Z29" s="909"/>
      <c r="AA29" s="909"/>
      <c r="AB29" s="909"/>
      <c r="AG29" s="912"/>
      <c r="AH29" s="800"/>
      <c r="AJ29" s="98"/>
      <c r="AK29" s="428"/>
      <c r="AM29" s="5"/>
    </row>
    <row r="30" spans="1:39" ht="18.600000000000001" customHeight="1" x14ac:dyDescent="0.3">
      <c r="A30" s="424"/>
      <c r="B30" s="424"/>
      <c r="S30" s="422"/>
      <c r="T30" s="422"/>
      <c r="U30" s="422"/>
      <c r="V30" s="427"/>
      <c r="W30" s="97"/>
      <c r="X30" s="910">
        <v>0</v>
      </c>
      <c r="Y30" s="910"/>
      <c r="Z30" s="424"/>
      <c r="AA30" s="911" t="str">
        <f>('Translate &amp; Prices'!$B$528)&amp;" "&amp;I41&amp;" "&amp;"mm"</f>
        <v>Rozteč  mm</v>
      </c>
      <c r="AB30" s="911"/>
      <c r="AC30" s="911"/>
      <c r="AD30" s="911"/>
      <c r="AE30" s="911"/>
      <c r="AF30" s="911"/>
      <c r="AG30" s="912"/>
      <c r="AH30" s="800"/>
      <c r="AJ30" s="98"/>
      <c r="AK30" s="428"/>
    </row>
    <row r="31" spans="1:39" ht="15" customHeight="1" x14ac:dyDescent="0.3">
      <c r="A31" s="424" t="s">
        <v>2432</v>
      </c>
      <c r="B31" s="424"/>
      <c r="C31" s="903" t="str">
        <f>IFERROR(IF(I21='Translate &amp; Prices'!B531,'Translate &amp; Prices'!$B$218,IF(VLOOKUP(I27,kombinace_1!CD:CE,2,0)=1,0)),0)</f>
        <v>Umístění závěsů</v>
      </c>
      <c r="D31" s="903"/>
      <c r="E31" s="903"/>
      <c r="F31" s="903"/>
      <c r="G31" s="903"/>
      <c r="H31" s="447"/>
      <c r="I31" s="904" t="s">
        <v>241</v>
      </c>
      <c r="J31" s="904"/>
      <c r="K31" s="904"/>
      <c r="L31" s="904"/>
      <c r="M31" s="904"/>
      <c r="N31" s="904"/>
      <c r="O31" s="904"/>
      <c r="P31" s="904"/>
      <c r="Q31" s="904"/>
      <c r="R31" s="904"/>
      <c r="S31" s="423">
        <f>VLOOKUP(I31,kombinace_2!$BY:$BZ,2,0)</f>
        <v>1</v>
      </c>
      <c r="T31" s="422"/>
      <c r="U31" s="422"/>
      <c r="V31" s="427"/>
      <c r="W31" s="97"/>
      <c r="X31" s="505"/>
      <c r="Y31" s="505"/>
      <c r="AE31" s="905">
        <v>0</v>
      </c>
      <c r="AJ31" s="98"/>
      <c r="AK31" s="389"/>
    </row>
    <row r="32" spans="1:39" ht="18.600000000000001" customHeight="1" x14ac:dyDescent="0.3">
      <c r="A32" s="424"/>
      <c r="B32" s="424"/>
      <c r="C32" s="907"/>
      <c r="D32" s="907"/>
      <c r="E32" s="907"/>
      <c r="F32" s="907"/>
      <c r="G32" s="908"/>
      <c r="H32" s="908"/>
      <c r="I32" s="908"/>
      <c r="J32" s="908"/>
      <c r="K32" s="907"/>
      <c r="L32" s="907"/>
      <c r="M32" s="907"/>
      <c r="N32" s="907"/>
      <c r="O32" s="908"/>
      <c r="P32" s="908"/>
      <c r="Q32" s="908"/>
      <c r="R32" s="908"/>
      <c r="S32" s="422" t="str">
        <f>CONCATENATE(S31,"_",I33)</f>
        <v>1_</v>
      </c>
      <c r="T32" s="422"/>
      <c r="U32" s="422"/>
      <c r="V32" s="394"/>
      <c r="W32" s="99"/>
      <c r="X32" s="100"/>
      <c r="Y32" s="100"/>
      <c r="Z32" s="100"/>
      <c r="AA32" s="100"/>
      <c r="AB32" s="100"/>
      <c r="AC32" s="420"/>
      <c r="AD32" s="421"/>
      <c r="AE32" s="905"/>
      <c r="AF32" s="100"/>
      <c r="AG32" s="100"/>
      <c r="AH32" s="100"/>
      <c r="AI32" s="100"/>
      <c r="AJ32" s="103"/>
      <c r="AK32" s="389"/>
    </row>
    <row r="33" spans="1:40" ht="15" customHeight="1" x14ac:dyDescent="0.3">
      <c r="A33" s="424" t="s">
        <v>2433</v>
      </c>
      <c r="B33" s="424"/>
      <c r="C33" s="906" t="str">
        <f>IFERROR(IF(I21='Translate &amp; Prices'!B531,'Translate &amp; Prices'!$B$203,IF(VLOOKUP(I27,kombinace_2!CD:CE,2,0)=1,'Translate &amp; Prices'!$B$203,)),0)</f>
        <v>Počet závěsu na 1 rámeček</v>
      </c>
      <c r="D33" s="906"/>
      <c r="E33" s="906"/>
      <c r="F33" s="906"/>
      <c r="G33" s="906"/>
      <c r="H33" s="447"/>
      <c r="I33" s="904"/>
      <c r="J33" s="904"/>
      <c r="K33" s="904"/>
      <c r="L33" s="904"/>
      <c r="M33" s="904"/>
      <c r="N33" s="904"/>
      <c r="O33" s="904"/>
      <c r="P33" s="904"/>
      <c r="Q33" s="904"/>
      <c r="R33" s="904"/>
      <c r="S33" s="424" t="e">
        <f>VLOOKUP(I43,kombinace_2!$BY:$BZ,2,0)</f>
        <v>#N/A</v>
      </c>
      <c r="T33" s="422"/>
      <c r="U33" s="422"/>
      <c r="V33" s="391"/>
      <c r="W33" s="392"/>
      <c r="X33" s="430"/>
      <c r="Y33" s="430"/>
      <c r="Z33" s="392"/>
      <c r="AA33" s="392"/>
      <c r="AB33" s="392"/>
      <c r="AC33" s="392"/>
      <c r="AD33" s="393"/>
      <c r="AE33" s="458"/>
      <c r="AF33" s="392"/>
      <c r="AG33" s="392"/>
      <c r="AH33" s="430"/>
      <c r="AI33" s="430"/>
      <c r="AJ33" s="392"/>
      <c r="AK33" s="390"/>
      <c r="AL33" s="5"/>
      <c r="AN33" s="178"/>
    </row>
    <row r="34" spans="1:40" ht="18.600000000000001" customHeight="1" x14ac:dyDescent="0.3">
      <c r="A34" s="424"/>
      <c r="B34" s="424"/>
      <c r="C34" s="920" t="str">
        <f>IFERROR('Translate &amp; Prices'!$B$222&amp;" "&amp;(VLOOKUP(I31,kombinace_1!$BY$32:$CA$35,2,0)),0)</f>
        <v>Vzdálenost od kraje (spodního)</v>
      </c>
      <c r="D34" s="920"/>
      <c r="E34" s="920"/>
      <c r="F34" s="920"/>
      <c r="G34" s="829">
        <v>100</v>
      </c>
      <c r="H34" s="829"/>
      <c r="I34" s="829"/>
      <c r="J34" s="829"/>
      <c r="K34" s="920" t="str">
        <f>IFERROR('Translate &amp; Prices'!$B$222&amp;" "&amp;(VLOOKUP(I31,kombinace_1!$BY$32:$CA$35,3,0)),0)</f>
        <v>Vzdálenost od kraje (horního)</v>
      </c>
      <c r="L34" s="920"/>
      <c r="M34" s="920"/>
      <c r="N34" s="920"/>
      <c r="O34" s="829">
        <v>100</v>
      </c>
      <c r="P34" s="829"/>
      <c r="Q34" s="829"/>
      <c r="R34" s="829"/>
      <c r="S34" s="422"/>
      <c r="T34" s="422"/>
      <c r="U34" s="422"/>
      <c r="V34" s="422" t="str">
        <f>VLOOKUP(I25,kombinace_2!$DN$7:$DO$18,2,0)</f>
        <v>Naložený</v>
      </c>
    </row>
    <row r="35" spans="1:40" ht="15" customHeight="1" x14ac:dyDescent="0.3">
      <c r="A35" s="424" t="s">
        <v>2437</v>
      </c>
      <c r="B35" s="424">
        <f>IF(kombinace_2!V1=2,((AM19/1000)*(AD35/1000))*'Translate &amp; Prices'!C77,0)</f>
        <v>0</v>
      </c>
      <c r="C35" s="747" t="str">
        <f>'Translate &amp; Prices'!$B$153</f>
        <v>Typ skla</v>
      </c>
      <c r="D35" s="747"/>
      <c r="E35" s="747"/>
      <c r="F35" s="747"/>
      <c r="G35" s="747"/>
      <c r="H35" s="436"/>
      <c r="I35" s="902" t="str">
        <f>'Translate &amp; Prices'!$B$85</f>
        <v>Bez úprav</v>
      </c>
      <c r="J35" s="902"/>
      <c r="K35" s="902"/>
      <c r="L35" s="902" t="str">
        <f>'Translate &amp; Prices'!$B$83</f>
        <v>Kalené</v>
      </c>
      <c r="M35" s="902"/>
      <c r="N35" s="902"/>
      <c r="O35" s="902" t="str">
        <f>'Translate &amp; Prices'!$B$84</f>
        <v>Folie</v>
      </c>
      <c r="P35" s="902"/>
      <c r="Q35" s="902"/>
      <c r="R35" s="411"/>
      <c r="S35" s="423"/>
      <c r="T35" s="422"/>
      <c r="U35" s="422"/>
      <c r="Z35" s="5"/>
      <c r="AA35" s="826" t="str">
        <f>'Translate &amp; Prices'!$B$155</f>
        <v xml:space="preserve">Šířka </v>
      </c>
      <c r="AB35" s="826"/>
      <c r="AC35" s="826"/>
      <c r="AD35" s="801">
        <v>1200</v>
      </c>
      <c r="AE35" s="801"/>
      <c r="AF35" s="801"/>
      <c r="AG35" s="5"/>
      <c r="AH35" s="5"/>
    </row>
    <row r="36" spans="1:40" s="396" customFormat="1" ht="18.600000000000001" customHeight="1" x14ac:dyDescent="0.35">
      <c r="A36" s="462"/>
      <c r="B36" s="462"/>
      <c r="C36" s="505"/>
      <c r="D36" s="178"/>
      <c r="E36" s="178"/>
      <c r="F36" s="178"/>
      <c r="G36" s="178"/>
      <c r="H36" s="178"/>
      <c r="I36" s="879" t="str">
        <f>"↥↥"&amp;"   "&amp;'Translate &amp; Prices'!$B$553&amp;" "&amp;C39&amp;"   "&amp;"↥↥"</f>
        <v>↥↥   Již neměnit po tom co vyberete Typ skla   ↥↥</v>
      </c>
      <c r="J36" s="879"/>
      <c r="K36" s="879"/>
      <c r="L36" s="879"/>
      <c r="M36" s="879"/>
      <c r="N36" s="879"/>
      <c r="O36" s="879"/>
      <c r="P36" s="879"/>
      <c r="Q36" s="879"/>
      <c r="R36" s="879"/>
      <c r="S36" s="443"/>
      <c r="T36" s="443"/>
      <c r="U36" s="443"/>
      <c r="Z36" s="397"/>
      <c r="AA36" s="397"/>
      <c r="AB36" s="397"/>
      <c r="AC36" s="397"/>
      <c r="AD36" s="269"/>
      <c r="AE36" s="398"/>
      <c r="AF36" s="397"/>
      <c r="AG36" s="397"/>
      <c r="AH36" s="397"/>
      <c r="AI36" s="397"/>
      <c r="AJ36" s="397"/>
      <c r="AK36" s="397"/>
      <c r="AL36" s="397"/>
      <c r="AM36" s="397"/>
    </row>
    <row r="37" spans="1:40" ht="15" customHeight="1" x14ac:dyDescent="0.3">
      <c r="A37" s="424"/>
      <c r="B37" s="424">
        <f>IFERROR(((VLOOKUP(I37,'Translate &amp; Prices'!B74:C76,2,0))*(AM19/1000)),0)</f>
        <v>0</v>
      </c>
      <c r="C37" s="747" t="str">
        <f>'Translate &amp; Prices'!$B$542</f>
        <v>Typ folie</v>
      </c>
      <c r="D37" s="747"/>
      <c r="E37" s="747"/>
      <c r="F37" s="747"/>
      <c r="G37" s="747"/>
      <c r="H37" s="436"/>
      <c r="I37" s="889"/>
      <c r="J37" s="889"/>
      <c r="K37" s="889"/>
      <c r="L37" s="889"/>
      <c r="M37" s="889"/>
      <c r="N37" s="889"/>
      <c r="O37" s="889"/>
      <c r="P37" s="889"/>
      <c r="Q37" s="889"/>
      <c r="R37" s="889"/>
      <c r="S37" s="423"/>
      <c r="T37" s="422"/>
      <c r="U37" s="422"/>
      <c r="V37" s="798" t="str">
        <f>'Translate &amp; Prices'!$B$552</f>
        <v>Upozornění</v>
      </c>
      <c r="W37" s="798"/>
      <c r="X37" s="798"/>
    </row>
    <row r="38" spans="1:40" s="396" customFormat="1" ht="18.600000000000001" customHeight="1" x14ac:dyDescent="0.35">
      <c r="A38" s="462"/>
      <c r="B38" s="462"/>
      <c r="C38" s="505"/>
      <c r="D38" s="178"/>
      <c r="E38" s="178"/>
      <c r="F38" s="178"/>
      <c r="G38" s="178"/>
      <c r="H38" s="178"/>
      <c r="I38" s="178"/>
      <c r="J38" s="178"/>
      <c r="K38" s="178"/>
      <c r="L38" s="178"/>
      <c r="M38" s="178"/>
      <c r="N38" s="178"/>
      <c r="O38" s="178"/>
      <c r="P38" s="178"/>
      <c r="Q38" s="178"/>
      <c r="R38" s="178"/>
      <c r="S38" s="443"/>
      <c r="T38" s="443"/>
      <c r="U38" s="422"/>
      <c r="V38" s="494"/>
      <c r="W38" s="892" t="str">
        <f>IF(AND(S18&gt;0,I33&gt;=2),'Translate &amp; Prices'!B283&amp;" "&amp;'Translate &amp; Prices'!B551&amp;" "&amp;'Translate &amp; Prices'!B555,IF(AND(S18&gt;0,I33&lt;2),'Translate &amp; Prices'!B283&amp;" "&amp;'Translate &amp; Prices'!B551,IF(AND(S18=0,I33&gt;=2),'Translate &amp; Prices'!B555,0)))</f>
        <v>Mezera mezi předěly musí být alespoň 100 mm. Pohled na předěly je jen ilustrativní a nezobrazuje zvolený počet ks. předělů horizontálně / vertikálně.</v>
      </c>
      <c r="X38" s="893"/>
      <c r="Y38" s="893"/>
      <c r="Z38" s="893"/>
      <c r="AA38" s="893"/>
      <c r="AB38" s="893"/>
      <c r="AC38" s="893"/>
      <c r="AD38" s="893"/>
      <c r="AE38" s="893"/>
      <c r="AF38" s="893"/>
      <c r="AG38" s="893"/>
      <c r="AH38" s="893"/>
      <c r="AI38" s="893"/>
      <c r="AJ38" s="893"/>
      <c r="AK38" s="894"/>
      <c r="AL38" s="397"/>
      <c r="AM38" s="397"/>
      <c r="AN38" s="397"/>
    </row>
    <row r="39" spans="1:40" ht="15" customHeight="1" x14ac:dyDescent="0.3">
      <c r="A39" s="424" t="s">
        <v>18</v>
      </c>
      <c r="B39" s="424">
        <f>IFERROR((VLOOKUP(I39,'Translate &amp; Prices'!B82:D146,2,0))*((AD35/1000)*(AM19/1000)),0)</f>
        <v>0</v>
      </c>
      <c r="C39" s="747" t="str">
        <f>'Translate &amp; Prices'!$B$153</f>
        <v>Typ skla</v>
      </c>
      <c r="D39" s="747"/>
      <c r="E39" s="747"/>
      <c r="F39" s="747"/>
      <c r="G39" s="747"/>
      <c r="H39" s="436"/>
      <c r="I39" s="901"/>
      <c r="J39" s="901"/>
      <c r="K39" s="901"/>
      <c r="L39" s="901"/>
      <c r="M39" s="901"/>
      <c r="N39" s="901"/>
      <c r="O39" s="901"/>
      <c r="P39" s="901"/>
      <c r="Q39" s="901"/>
      <c r="R39" s="901"/>
      <c r="S39" s="423"/>
      <c r="T39" s="422"/>
      <c r="U39" s="422"/>
      <c r="V39" s="495"/>
      <c r="W39" s="895"/>
      <c r="X39" s="896"/>
      <c r="Y39" s="896"/>
      <c r="Z39" s="896"/>
      <c r="AA39" s="896"/>
      <c r="AB39" s="896"/>
      <c r="AC39" s="896"/>
      <c r="AD39" s="896"/>
      <c r="AE39" s="896"/>
      <c r="AF39" s="896"/>
      <c r="AG39" s="896"/>
      <c r="AH39" s="896"/>
      <c r="AI39" s="896"/>
      <c r="AJ39" s="896"/>
      <c r="AK39" s="897"/>
    </row>
    <row r="40" spans="1:40" ht="18.600000000000001" customHeight="1" x14ac:dyDescent="0.3">
      <c r="A40" s="424"/>
      <c r="B40" s="424"/>
      <c r="S40" s="422"/>
      <c r="T40" s="422"/>
      <c r="U40" s="422"/>
      <c r="V40" s="495"/>
      <c r="W40" s="895"/>
      <c r="X40" s="896"/>
      <c r="Y40" s="896"/>
      <c r="Z40" s="896"/>
      <c r="AA40" s="896"/>
      <c r="AB40" s="896"/>
      <c r="AC40" s="896"/>
      <c r="AD40" s="896"/>
      <c r="AE40" s="896"/>
      <c r="AF40" s="896"/>
      <c r="AG40" s="896"/>
      <c r="AH40" s="896"/>
      <c r="AI40" s="896"/>
      <c r="AJ40" s="896"/>
      <c r="AK40" s="897"/>
    </row>
    <row r="41" spans="1:40" ht="15" customHeight="1" x14ac:dyDescent="0.3">
      <c r="A41" s="424" t="s">
        <v>2438</v>
      </c>
      <c r="B41" s="424"/>
      <c r="C41" s="747" t="str">
        <f>'Translate &amp; Prices'!$B$529</f>
        <v>Rozteč úchytky (mm)</v>
      </c>
      <c r="D41" s="747"/>
      <c r="E41" s="747"/>
      <c r="F41" s="747"/>
      <c r="G41" s="747"/>
      <c r="H41" s="436"/>
      <c r="I41" s="889"/>
      <c r="J41" s="889"/>
      <c r="K41" s="889"/>
      <c r="L41" s="889"/>
      <c r="M41" s="889"/>
      <c r="N41" s="889"/>
      <c r="O41" s="889"/>
      <c r="P41" s="889"/>
      <c r="Q41" s="889"/>
      <c r="R41" s="889"/>
      <c r="S41" s="423"/>
      <c r="T41" s="422"/>
      <c r="U41" s="422"/>
      <c r="V41" s="495"/>
      <c r="W41" s="898"/>
      <c r="X41" s="899"/>
      <c r="Y41" s="899"/>
      <c r="Z41" s="899"/>
      <c r="AA41" s="899"/>
      <c r="AB41" s="899"/>
      <c r="AC41" s="899"/>
      <c r="AD41" s="899"/>
      <c r="AE41" s="899"/>
      <c r="AF41" s="899"/>
      <c r="AG41" s="899"/>
      <c r="AH41" s="899"/>
      <c r="AI41" s="899"/>
      <c r="AJ41" s="899"/>
      <c r="AK41" s="900"/>
    </row>
    <row r="42" spans="1:40" ht="18.600000000000001" customHeight="1" x14ac:dyDescent="0.3">
      <c r="A42" s="424"/>
      <c r="B42" s="424"/>
      <c r="S42" s="422"/>
      <c r="T42" s="422"/>
      <c r="U42" s="422"/>
      <c r="V42" s="495"/>
      <c r="W42" s="495"/>
      <c r="X42" s="495"/>
      <c r="Y42" s="495"/>
      <c r="Z42" s="495"/>
      <c r="AA42" s="495"/>
      <c r="AB42" s="495"/>
      <c r="AC42" s="495"/>
      <c r="AD42" s="495"/>
      <c r="AE42" s="495"/>
      <c r="AF42" s="495"/>
      <c r="AG42" s="495"/>
      <c r="AH42" s="495"/>
      <c r="AI42" s="495"/>
      <c r="AJ42" s="495"/>
      <c r="AK42" s="495"/>
    </row>
    <row r="43" spans="1:40" ht="15" customHeight="1" x14ac:dyDescent="0.3">
      <c r="A43" s="424" t="s">
        <v>2439</v>
      </c>
      <c r="B43" s="424"/>
      <c r="C43" s="747" t="str">
        <f>'Translate &amp; Prices'!$B$530</f>
        <v>Umístění úchytky</v>
      </c>
      <c r="D43" s="747"/>
      <c r="E43" s="747"/>
      <c r="F43" s="747"/>
      <c r="G43" s="747"/>
      <c r="H43" s="436"/>
      <c r="I43" s="889"/>
      <c r="J43" s="889"/>
      <c r="K43" s="889"/>
      <c r="L43" s="889"/>
      <c r="M43" s="889"/>
      <c r="N43" s="889"/>
      <c r="O43" s="889"/>
      <c r="P43" s="889"/>
      <c r="Q43" s="889"/>
      <c r="R43" s="889"/>
      <c r="S43" s="423"/>
      <c r="T43" s="422"/>
      <c r="U43" s="422"/>
      <c r="V43" s="798" t="str">
        <f>'Translate &amp; Prices'!$B$157</f>
        <v>Poznámky</v>
      </c>
      <c r="W43" s="798"/>
      <c r="X43" s="798"/>
      <c r="Y43" s="493"/>
      <c r="Z43" s="493"/>
      <c r="AA43" s="493"/>
      <c r="AB43" s="493"/>
      <c r="AC43" s="493"/>
      <c r="AD43" s="493"/>
      <c r="AE43" s="493"/>
      <c r="AF43" s="493"/>
      <c r="AG43" s="493"/>
      <c r="AH43" s="493"/>
      <c r="AI43" s="493"/>
      <c r="AJ43" s="493"/>
      <c r="AK43" s="493"/>
    </row>
    <row r="44" spans="1:40" ht="18.600000000000001" customHeight="1" x14ac:dyDescent="0.3">
      <c r="A44" s="424"/>
      <c r="B44" s="424"/>
      <c r="C44" s="1"/>
      <c r="D44" s="1"/>
      <c r="E44" s="1"/>
      <c r="F44" s="1"/>
      <c r="G44" s="1"/>
      <c r="H44" s="1"/>
      <c r="I44" s="1"/>
      <c r="J44" s="1"/>
      <c r="K44" s="1"/>
      <c r="L44" s="1"/>
      <c r="M44" s="1"/>
      <c r="N44" s="1"/>
      <c r="O44" s="1"/>
      <c r="P44" s="1"/>
      <c r="Q44" s="1"/>
      <c r="R44" s="1"/>
      <c r="S44" s="423"/>
      <c r="U44" s="422"/>
      <c r="V44" s="493"/>
      <c r="W44" s="880"/>
      <c r="X44" s="881"/>
      <c r="Y44" s="881"/>
      <c r="Z44" s="881"/>
      <c r="AA44" s="881"/>
      <c r="AB44" s="881"/>
      <c r="AC44" s="881"/>
      <c r="AD44" s="881"/>
      <c r="AE44" s="881"/>
      <c r="AF44" s="881"/>
      <c r="AG44" s="881"/>
      <c r="AH44" s="881"/>
      <c r="AI44" s="881"/>
      <c r="AJ44" s="881"/>
      <c r="AK44" s="882"/>
    </row>
    <row r="45" spans="1:40" ht="15" customHeight="1" x14ac:dyDescent="0.3">
      <c r="A45" s="424" t="s">
        <v>2440</v>
      </c>
      <c r="B45" s="424">
        <f>I45</f>
        <v>1</v>
      </c>
      <c r="C45" s="747" t="str">
        <f>('Translate &amp; Prices'!$B$154)&amp;" "&amp;"-"&amp;" "&amp;('Translate &amp; Prices'!$B$149)&amp;" "&amp;" "&amp;2</f>
        <v>Počet kusů - Rámeček  2</v>
      </c>
      <c r="D45" s="747"/>
      <c r="E45" s="747"/>
      <c r="F45" s="747"/>
      <c r="G45" s="747"/>
      <c r="H45" s="436"/>
      <c r="I45" s="889">
        <v>1</v>
      </c>
      <c r="J45" s="889"/>
      <c r="K45" s="889"/>
      <c r="L45" s="889"/>
      <c r="M45" s="889"/>
      <c r="N45" s="889"/>
      <c r="O45" s="889"/>
      <c r="P45" s="889"/>
      <c r="Q45" s="889"/>
      <c r="R45" s="889"/>
      <c r="S45" s="444"/>
      <c r="V45" s="493"/>
      <c r="W45" s="883"/>
      <c r="X45" s="884"/>
      <c r="Y45" s="884"/>
      <c r="Z45" s="884"/>
      <c r="AA45" s="884"/>
      <c r="AB45" s="884"/>
      <c r="AC45" s="884"/>
      <c r="AD45" s="884"/>
      <c r="AE45" s="884"/>
      <c r="AF45" s="884"/>
      <c r="AG45" s="884"/>
      <c r="AH45" s="884"/>
      <c r="AI45" s="884"/>
      <c r="AJ45" s="884"/>
      <c r="AK45" s="885"/>
    </row>
    <row r="46" spans="1:40" ht="18.600000000000001" customHeight="1" x14ac:dyDescent="0.3">
      <c r="A46" s="424"/>
      <c r="B46" s="424"/>
      <c r="I46" s="890"/>
      <c r="J46" s="890"/>
      <c r="K46" s="891" t="str">
        <f>S46&amp;" "&amp;'Translate &amp; Prices'!$B$205</f>
        <v>&lt;----- Dodat včetně uvedeného kování</v>
      </c>
      <c r="L46" s="891"/>
      <c r="M46" s="891"/>
      <c r="N46" s="891"/>
      <c r="O46" s="891"/>
      <c r="P46" s="891"/>
      <c r="Q46" s="891"/>
      <c r="R46" s="891"/>
      <c r="S46" s="422" t="s">
        <v>2458</v>
      </c>
      <c r="W46" s="886"/>
      <c r="X46" s="887"/>
      <c r="Y46" s="887"/>
      <c r="Z46" s="887"/>
      <c r="AA46" s="887"/>
      <c r="AB46" s="887"/>
      <c r="AC46" s="887"/>
      <c r="AD46" s="887"/>
      <c r="AE46" s="887"/>
      <c r="AF46" s="887"/>
      <c r="AG46" s="887"/>
      <c r="AH46" s="887"/>
      <c r="AI46" s="887"/>
      <c r="AJ46" s="887"/>
      <c r="AK46" s="888"/>
    </row>
    <row r="47" spans="1:40" ht="21.6" thickBot="1" x14ac:dyDescent="0.4">
      <c r="A47" s="424"/>
      <c r="B47" s="424"/>
      <c r="C47" s="874" t="str">
        <f>'Translate &amp; Prices'!$B$158</f>
        <v>Cena rámečků celkem</v>
      </c>
      <c r="D47" s="874"/>
      <c r="E47" s="874"/>
      <c r="F47" s="874"/>
      <c r="G47" s="874"/>
      <c r="H47" s="874"/>
      <c r="I47" s="874"/>
      <c r="J47" s="874"/>
      <c r="K47" s="874"/>
      <c r="L47" s="399"/>
      <c r="M47" s="875">
        <f>((B13+B15+B17+B19+B35+B37+B39)*B45)*(1-Zakaznik!K23)</f>
        <v>1644.7989600000001</v>
      </c>
      <c r="N47" s="875"/>
      <c r="O47" s="875"/>
      <c r="P47" s="875"/>
      <c r="Q47" s="875"/>
      <c r="R47" s="875"/>
      <c r="AH47" s="1"/>
      <c r="AI47" s="1"/>
      <c r="AJ47" s="1"/>
      <c r="AK47" s="1"/>
      <c r="AL47" s="1"/>
      <c r="AM47" s="1"/>
    </row>
    <row r="48" spans="1:40" ht="15" thickTop="1" x14ac:dyDescent="0.3">
      <c r="A48" s="422"/>
      <c r="B48" s="463"/>
      <c r="C48" s="876" t="str">
        <f>'Translate &amp; Prices'!$B$151</f>
        <v>Uvedené ceny jsou bez DPH a nezahrnují cenu požadovaného kování!</v>
      </c>
      <c r="D48" s="876"/>
      <c r="E48" s="876"/>
      <c r="F48" s="876"/>
      <c r="G48" s="876"/>
      <c r="H48" s="876"/>
      <c r="I48" s="876"/>
      <c r="J48" s="876"/>
      <c r="K48" s="876"/>
      <c r="L48" s="876"/>
      <c r="M48" s="876"/>
      <c r="N48" s="876"/>
      <c r="O48" s="876"/>
      <c r="P48" s="876"/>
      <c r="Q48" s="876"/>
      <c r="R48" s="876"/>
      <c r="V48" s="1"/>
      <c r="W48" s="1"/>
      <c r="X48" s="1"/>
      <c r="Y48" s="1"/>
      <c r="Z48" s="1"/>
      <c r="AA48" s="1"/>
      <c r="AF48" s="877" t="str">
        <f>'Translate &amp; Prices'!$B$547</f>
        <v>Souhrn</v>
      </c>
      <c r="AG48" s="878"/>
      <c r="AH48" s="878"/>
      <c r="AI48" s="878"/>
      <c r="AJ48" s="878"/>
      <c r="AK48" s="878"/>
      <c r="AL48" s="1"/>
      <c r="AM48" s="1"/>
    </row>
    <row r="49" spans="1:37" x14ac:dyDescent="0.3">
      <c r="A49" s="422"/>
      <c r="B49" s="463"/>
      <c r="V49" s="1"/>
      <c r="W49" s="1"/>
      <c r="X49" s="1"/>
      <c r="Y49" s="1"/>
      <c r="Z49" s="1"/>
      <c r="AA49" s="1"/>
      <c r="AF49" s="877"/>
      <c r="AG49" s="878"/>
      <c r="AH49" s="878"/>
      <c r="AI49" s="878"/>
      <c r="AJ49" s="878"/>
      <c r="AK49" s="878"/>
    </row>
    <row r="50" spans="1:37" hidden="1" x14ac:dyDescent="0.3"/>
    <row r="51" spans="1:37" hidden="1" x14ac:dyDescent="0.3"/>
    <row r="52" spans="1:37" hidden="1" x14ac:dyDescent="0.3"/>
    <row r="53" spans="1:37" hidden="1" x14ac:dyDescent="0.3"/>
    <row r="54" spans="1:37" hidden="1" x14ac:dyDescent="0.3"/>
    <row r="55" spans="1:37" hidden="1" x14ac:dyDescent="0.3"/>
    <row r="56" spans="1:37" hidden="1" x14ac:dyDescent="0.3"/>
    <row r="57" spans="1:37" hidden="1" x14ac:dyDescent="0.3"/>
    <row r="58" spans="1:37" hidden="1" x14ac:dyDescent="0.3"/>
    <row r="59" spans="1:37" hidden="1" x14ac:dyDescent="0.3"/>
    <row r="60" spans="1:37" hidden="1" x14ac:dyDescent="0.3"/>
    <row r="61" spans="1:37" hidden="1" x14ac:dyDescent="0.3"/>
    <row r="62" spans="1:37" hidden="1" x14ac:dyDescent="0.3"/>
    <row r="63" spans="1:37" hidden="1" x14ac:dyDescent="0.3"/>
    <row r="64" spans="1:3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x14ac:dyDescent="0.3"/>
    <row r="139" hidden="1" x14ac:dyDescent="0.3"/>
  </sheetData>
  <sheetProtection selectLockedCells="1"/>
  <mergeCells count="94">
    <mergeCell ref="C34:F34"/>
    <mergeCell ref="G34:J34"/>
    <mergeCell ref="K34:N34"/>
    <mergeCell ref="O34:R34"/>
    <mergeCell ref="AK2:AN3"/>
    <mergeCell ref="P4:AC5"/>
    <mergeCell ref="P8:Q8"/>
    <mergeCell ref="R8:T8"/>
    <mergeCell ref="V8:X8"/>
    <mergeCell ref="Z8:AB8"/>
    <mergeCell ref="AD8:AF8"/>
    <mergeCell ref="AH8:AJ8"/>
    <mergeCell ref="AL8:AN8"/>
    <mergeCell ref="AE12:AE13"/>
    <mergeCell ref="C13:G13"/>
    <mergeCell ref="I13:R13"/>
    <mergeCell ref="X13:AB13"/>
    <mergeCell ref="X14:Y14"/>
    <mergeCell ref="AA14:AF14"/>
    <mergeCell ref="C15:G15"/>
    <mergeCell ref="I15:R15"/>
    <mergeCell ref="Y15:Y17"/>
    <mergeCell ref="Z15:Z21"/>
    <mergeCell ref="C17:G17"/>
    <mergeCell ref="I17:R17"/>
    <mergeCell ref="I18:M18"/>
    <mergeCell ref="N18:R18"/>
    <mergeCell ref="C19:G19"/>
    <mergeCell ref="I19:M19"/>
    <mergeCell ref="I20:M20"/>
    <mergeCell ref="N20:R20"/>
    <mergeCell ref="C21:G21"/>
    <mergeCell ref="AI24:AJ24"/>
    <mergeCell ref="AM24:AM28"/>
    <mergeCell ref="W24:X24"/>
    <mergeCell ref="N19:R19"/>
    <mergeCell ref="Y19:Y26"/>
    <mergeCell ref="AH19:AH26"/>
    <mergeCell ref="AM19:AM23"/>
    <mergeCell ref="I21:R21"/>
    <mergeCell ref="C23:G23"/>
    <mergeCell ref="I23:R23"/>
    <mergeCell ref="I24:R24"/>
    <mergeCell ref="C25:G25"/>
    <mergeCell ref="I25:R25"/>
    <mergeCell ref="C27:G27"/>
    <mergeCell ref="I27:R27"/>
    <mergeCell ref="AH28:AH30"/>
    <mergeCell ref="C29:G29"/>
    <mergeCell ref="I29:R29"/>
    <mergeCell ref="X29:AB29"/>
    <mergeCell ref="X30:Y30"/>
    <mergeCell ref="AA30:AF30"/>
    <mergeCell ref="AG24:AG30"/>
    <mergeCell ref="C28:F28"/>
    <mergeCell ref="G28:J28"/>
    <mergeCell ref="K28:N28"/>
    <mergeCell ref="O28:R28"/>
    <mergeCell ref="C31:G31"/>
    <mergeCell ref="I31:R31"/>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28:R28">
    <cfRule type="expression" dxfId="184" priority="9">
      <formula>$S$27=0</formula>
    </cfRule>
  </conditionalFormatting>
  <conditionalFormatting sqref="AI19">
    <cfRule type="expression" dxfId="183" priority="46">
      <formula>$S$33=2</formula>
    </cfRule>
  </conditionalFormatting>
  <conditionalFormatting sqref="R8:T8">
    <cfRule type="cellIs" dxfId="182" priority="22" operator="equal">
      <formula>$P$4</formula>
    </cfRule>
  </conditionalFormatting>
  <conditionalFormatting sqref="C32:R32">
    <cfRule type="expression" dxfId="181" priority="8">
      <formula>$S$27=0</formula>
    </cfRule>
  </conditionalFormatting>
  <conditionalFormatting sqref="Y19:Y26">
    <cfRule type="expression" dxfId="180" priority="63">
      <formula>$S$33=1</formula>
    </cfRule>
  </conditionalFormatting>
  <conditionalFormatting sqref="Y15:Y17">
    <cfRule type="expression" dxfId="179" priority="62">
      <formula>$S$33=1</formula>
    </cfRule>
  </conditionalFormatting>
  <conditionalFormatting sqref="AH19:AH26">
    <cfRule type="expression" dxfId="178" priority="61">
      <formula>$S$33=2</formula>
    </cfRule>
  </conditionalFormatting>
  <conditionalFormatting sqref="AH28:AH30">
    <cfRule type="expression" dxfId="177" priority="60">
      <formula>$S$33=2</formula>
    </cfRule>
  </conditionalFormatting>
  <conditionalFormatting sqref="AA14:AF14">
    <cfRule type="expression" dxfId="176" priority="59">
      <formula>$S$33=3</formula>
    </cfRule>
  </conditionalFormatting>
  <conditionalFormatting sqref="X14:Y14">
    <cfRule type="expression" dxfId="175" priority="58">
      <formula>$S$33=3</formula>
    </cfRule>
  </conditionalFormatting>
  <conditionalFormatting sqref="AA30:AF30">
    <cfRule type="expression" dxfId="174" priority="57">
      <formula>$S$33=4</formula>
    </cfRule>
  </conditionalFormatting>
  <conditionalFormatting sqref="X30:Y30">
    <cfRule type="expression" dxfId="173" priority="56">
      <formula>$S$33=4</formula>
    </cfRule>
  </conditionalFormatting>
  <conditionalFormatting sqref="V14:V15 V29:V30">
    <cfRule type="expression" dxfId="172" priority="55">
      <formula>$S$25=1</formula>
    </cfRule>
  </conditionalFormatting>
  <conditionalFormatting sqref="AK14:AK15 AK29:AK30">
    <cfRule type="expression" dxfId="171" priority="54">
      <formula>$S$25=2</formula>
    </cfRule>
  </conditionalFormatting>
  <conditionalFormatting sqref="X11:Y11 AH11:AI11">
    <cfRule type="expression" dxfId="170" priority="53">
      <formula>$S$25=3</formula>
    </cfRule>
  </conditionalFormatting>
  <conditionalFormatting sqref="X33:Y33 AH33:AI33">
    <cfRule type="expression" dxfId="169" priority="52">
      <formula>$S$25=4</formula>
    </cfRule>
  </conditionalFormatting>
  <conditionalFormatting sqref="X29:AB29">
    <cfRule type="expression" dxfId="168" priority="51">
      <formula>$S$33=4</formula>
    </cfRule>
  </conditionalFormatting>
  <conditionalFormatting sqref="Z15:Z21">
    <cfRule type="expression" dxfId="167" priority="50">
      <formula>$S$33=1</formula>
    </cfRule>
  </conditionalFormatting>
  <conditionalFormatting sqref="AG24:AG30">
    <cfRule type="expression" dxfId="166" priority="49">
      <formula>$S$33=2</formula>
    </cfRule>
  </conditionalFormatting>
  <conditionalFormatting sqref="X13:AB13">
    <cfRule type="expression" dxfId="165" priority="48">
      <formula>$S$33=3</formula>
    </cfRule>
  </conditionalFormatting>
  <conditionalFormatting sqref="X19 X25">
    <cfRule type="expression" dxfId="164" priority="45">
      <formula>$S$33=1</formula>
    </cfRule>
  </conditionalFormatting>
  <conditionalFormatting sqref="AI25">
    <cfRule type="expression" dxfId="163" priority="47">
      <formula>$S$33=2</formula>
    </cfRule>
  </conditionalFormatting>
  <conditionalFormatting sqref="AE15 AA15">
    <cfRule type="expression" dxfId="162" priority="44">
      <formula>$S$33=3</formula>
    </cfRule>
  </conditionalFormatting>
  <conditionalFormatting sqref="AA31">
    <cfRule type="expression" dxfId="161" priority="43">
      <formula>$S$33=4</formula>
    </cfRule>
  </conditionalFormatting>
  <conditionalFormatting sqref="V21:V22">
    <cfRule type="expression" dxfId="160" priority="42">
      <formula>$S$32="1_3"</formula>
    </cfRule>
  </conditionalFormatting>
  <conditionalFormatting sqref="AK21:AK22">
    <cfRule type="expression" dxfId="159" priority="41">
      <formula>$S$32="2_3"</formula>
    </cfRule>
  </conditionalFormatting>
  <conditionalFormatting sqref="AC11:AD11">
    <cfRule type="expression" dxfId="158" priority="40">
      <formula>$S$32="3_3"</formula>
    </cfRule>
  </conditionalFormatting>
  <conditionalFormatting sqref="AC33:AD33">
    <cfRule type="expression" dxfId="157" priority="39">
      <formula>$S$32="4_3"</formula>
    </cfRule>
  </conditionalFormatting>
  <conditionalFormatting sqref="I18:M18">
    <cfRule type="expression" dxfId="156" priority="38">
      <formula>$S$18=1</formula>
    </cfRule>
  </conditionalFormatting>
  <conditionalFormatting sqref="N18:R18">
    <cfRule type="expression" dxfId="155" priority="37">
      <formula>$S$18=2</formula>
    </cfRule>
  </conditionalFormatting>
  <conditionalFormatting sqref="I18:R18">
    <cfRule type="expression" dxfId="154" priority="36">
      <formula>$S$18=3</formula>
    </cfRule>
  </conditionalFormatting>
  <conditionalFormatting sqref="N19:R19">
    <cfRule type="expression" dxfId="153" priority="35">
      <formula>$S$18=1</formula>
    </cfRule>
  </conditionalFormatting>
  <conditionalFormatting sqref="I19:M19">
    <cfRule type="expression" dxfId="152" priority="34">
      <formula>$S$18=2</formula>
    </cfRule>
  </conditionalFormatting>
  <conditionalFormatting sqref="C19:R19">
    <cfRule type="expression" dxfId="151" priority="33">
      <formula>$S$18=0</formula>
    </cfRule>
  </conditionalFormatting>
  <conditionalFormatting sqref="C17:R17">
    <cfRule type="expression" dxfId="150" priority="32">
      <formula>$C$17=0</formula>
    </cfRule>
  </conditionalFormatting>
  <conditionalFormatting sqref="C29:R29">
    <cfRule type="expression" dxfId="149" priority="31">
      <formula>$C$29=0</formula>
    </cfRule>
  </conditionalFormatting>
  <conditionalFormatting sqref="C25:R25">
    <cfRule type="expression" dxfId="148" priority="30">
      <formula>$C$25=0</formula>
    </cfRule>
  </conditionalFormatting>
  <conditionalFormatting sqref="AC12:AC13 AC15:AC29 AC31:AC32">
    <cfRule type="expression" dxfId="147" priority="29">
      <formula>$S$18=2</formula>
    </cfRule>
  </conditionalFormatting>
  <conditionalFormatting sqref="W22:X22 Z22:AG22 AI22:AJ22">
    <cfRule type="expression" dxfId="146" priority="28">
      <formula>$S$18=1</formula>
    </cfRule>
  </conditionalFormatting>
  <conditionalFormatting sqref="AC31:AC32 AC23:AC29 AC15:AC21 AC12:AC13">
    <cfRule type="expression" dxfId="145" priority="27">
      <formula>$S$18=3</formula>
    </cfRule>
  </conditionalFormatting>
  <conditionalFormatting sqref="W22:X22 Z22:AB22 AD22:AG22 AI22:AJ22">
    <cfRule type="expression" dxfId="144" priority="26">
      <formula>$S$18=3</formula>
    </cfRule>
  </conditionalFormatting>
  <conditionalFormatting sqref="H31:R31">
    <cfRule type="expression" dxfId="143" priority="25">
      <formula>$C$31=0</formula>
    </cfRule>
  </conditionalFormatting>
  <conditionalFormatting sqref="C33:R33">
    <cfRule type="expression" dxfId="142" priority="24">
      <formula>$C$33=0</formula>
    </cfRule>
  </conditionalFormatting>
  <conditionalFormatting sqref="V8:X8 Z8:AB8 AD8:AF8 AH8:AJ8 AL8:AN8">
    <cfRule type="cellIs" dxfId="141" priority="23" operator="equal">
      <formula>$P$4</formula>
    </cfRule>
  </conditionalFormatting>
  <conditionalFormatting sqref="W24:X24">
    <cfRule type="expression" dxfId="140" priority="21">
      <formula>$S$33=1</formula>
    </cfRule>
  </conditionalFormatting>
  <conditionalFormatting sqref="AI24:AJ24">
    <cfRule type="expression" dxfId="139" priority="20">
      <formula>$S$33=2</formula>
    </cfRule>
  </conditionalFormatting>
  <conditionalFormatting sqref="AE12:AE13">
    <cfRule type="expression" dxfId="138" priority="19">
      <formula>$S$33=3</formula>
    </cfRule>
  </conditionalFormatting>
  <conditionalFormatting sqref="AE31:AE32">
    <cfRule type="expression" dxfId="137" priority="18">
      <formula>$S$33=4</formula>
    </cfRule>
  </conditionalFormatting>
  <conditionalFormatting sqref="V42:AK42 W38 V45 V43 Y43:AK43 V44:W44">
    <cfRule type="cellIs" dxfId="136" priority="17" operator="equal">
      <formula>0</formula>
    </cfRule>
  </conditionalFormatting>
  <conditionalFormatting sqref="V37">
    <cfRule type="cellIs" dxfId="135" priority="11" operator="equal">
      <formula>0</formula>
    </cfRule>
  </conditionalFormatting>
  <conditionalFormatting sqref="I36">
    <cfRule type="expression" dxfId="134" priority="10">
      <formula>$I$39&gt;0</formula>
    </cfRule>
  </conditionalFormatting>
  <conditionalFormatting sqref="C31:G31">
    <cfRule type="expression" dxfId="133" priority="5">
      <formula>$C$31=0</formula>
    </cfRule>
  </conditionalFormatting>
  <conditionalFormatting sqref="C34:R34">
    <cfRule type="expression" dxfId="132" priority="1">
      <formula>$C$34=0</formula>
    </cfRule>
    <cfRule type="expression" dxfId="131" priority="2">
      <formula>$C$33=0</formula>
    </cfRule>
  </conditionalFormatting>
  <dataValidations count="7">
    <dataValidation type="whole" allowBlank="1" showInputMessage="1" showErrorMessage="1" sqref="I19:M19" xr:uid="{4A41B9F8-DB11-4496-BC04-13A249253C62}">
      <formula1>1</formula1>
      <formula2>(AM19/100)-1</formula2>
    </dataValidation>
    <dataValidation type="whole" allowBlank="1" showInputMessage="1" showErrorMessage="1" sqref="N19:R19" xr:uid="{1B74CAD1-DCD1-4DFA-89E0-A691FF89D080}">
      <formula1>1</formula1>
      <formula2>(AD35/100)-1</formula2>
    </dataValidation>
    <dataValidation type="list" allowBlank="1" showInputMessage="1" showErrorMessage="1" sqref="I29:R29" xr:uid="{572FA9E4-1115-4E70-982C-85731504FFEC}">
      <formula1>INDIRECT(CONCATENATE("_",T15,"_",I27))</formula1>
    </dataValidation>
    <dataValidation type="list" allowBlank="1" showInputMessage="1" showErrorMessage="1" sqref="I43:R43" xr:uid="{111E5FC9-A26F-40B5-A9DC-2CC66DB3F5A7}">
      <formula1>_umisteni_zavesu</formula1>
    </dataValidation>
    <dataValidation type="whole" allowBlank="1" showErrorMessage="1" errorTitle="MAX 2500" error="MAXIMUM 1300 mm x 2500 mm" sqref="AM19:AM23" xr:uid="{0176A174-62E5-4B35-9D94-846B3CC63CF2}">
      <formula1>100</formula1>
      <formula2>2150</formula2>
    </dataValidation>
    <dataValidation type="whole" allowBlank="1" showErrorMessage="1" errorTitle="MAX 1300 mm" error="MAXIMUM 1300 mm x 2500 mm" sqref="AD35:AF35" xr:uid="{7ECA3129-525C-4391-A1D9-187D347EC5F8}">
      <formula1>100</formula1>
      <formula2>1300</formula2>
    </dataValidation>
    <dataValidation type="whole" allowBlank="1" showInputMessage="1" showErrorMessage="1" errorTitle="Minimum 80 mm" sqref="G34:J34 O34:R34" xr:uid="{44EBC4F0-9690-4C15-854F-DE9942366BC3}">
      <formula1>80</formula1>
      <formula2>1300</formula2>
    </dataValidation>
  </dataValidations>
  <hyperlinks>
    <hyperlink ref="AK2:AN3" location="Hlavní!A1" display="Hlavní!A1" xr:uid="{68E621CF-913B-4CD8-9438-82FD6BD9FDDD}"/>
    <hyperlink ref="V8:X8" location="Ram_2!A1" display="Ram_2!A1" xr:uid="{6F6E335C-8016-46E2-A88C-B4F0CCE21E8A}"/>
    <hyperlink ref="Z8:AB8" location="Ram_3!A1" display="Ram_3!A1" xr:uid="{8A9352A4-BF23-41E4-B5E8-F268B6BA598A}"/>
    <hyperlink ref="AD8:AF8" location="Ram_4!A1" display="Ram_4!A1" xr:uid="{7652A51E-7086-471E-9D9B-AFD727028595}"/>
    <hyperlink ref="AH8:AJ8" location="Ram_5!A1" display="Ram_5!A1" xr:uid="{953D4F93-7B41-4ABC-AF2F-AF016D35965D}"/>
    <hyperlink ref="AL8:AN8" location="Ram_6!A1" display="Ram_6!A1" xr:uid="{15648331-6545-478D-A0C0-F5CDC9A9706C}"/>
    <hyperlink ref="R8:T8" location="Ram_1!A1" display="Ram_1!A1" xr:uid="{0867119A-8347-441A-833D-280F1DD5B4E5}"/>
    <hyperlink ref="AF48:AK49" location="_souhrn!A1" display="Souhrn" xr:uid="{553E9BD2-4550-460D-B50C-AEFD91A104AF}"/>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967">
              <controlPr locked="0" defaultSize="0" autoFill="0" autoLine="0" autoPict="0">
                <anchor moveWithCells="1">
                  <from>
                    <xdr:col>26</xdr:col>
                    <xdr:colOff>685800</xdr:colOff>
                    <xdr:row>0</xdr:row>
                    <xdr:rowOff>0</xdr:rowOff>
                  </from>
                  <to>
                    <xdr:col>27</xdr:col>
                    <xdr:colOff>0</xdr:colOff>
                    <xdr:row>0</xdr:row>
                    <xdr:rowOff>175260</xdr:rowOff>
                  </to>
                </anchor>
              </controlPr>
            </control>
          </mc:Choice>
        </mc:AlternateContent>
        <mc:AlternateContent xmlns:mc="http://schemas.openxmlformats.org/markup-compatibility/2006">
          <mc:Choice Requires="x14">
            <control shapeId="244738" r:id="rId5" name="Option Button 2">
              <controlPr defaultSize="0" autoFill="0" autoLine="0" autoPict="0">
                <anchor moveWithCells="1">
                  <from>
                    <xdr:col>8</xdr:col>
                    <xdr:colOff>114300</xdr:colOff>
                    <xdr:row>33</xdr:row>
                    <xdr:rowOff>160020</xdr:rowOff>
                  </from>
                  <to>
                    <xdr:col>9</xdr:col>
                    <xdr:colOff>411480</xdr:colOff>
                    <xdr:row>35</xdr:row>
                    <xdr:rowOff>53340</xdr:rowOff>
                  </to>
                </anchor>
              </controlPr>
            </control>
          </mc:Choice>
        </mc:AlternateContent>
        <mc:AlternateContent xmlns:mc="http://schemas.openxmlformats.org/markup-compatibility/2006">
          <mc:Choice Requires="x14">
            <control shapeId="244739" r:id="rId6" name="Option Button 3">
              <controlPr defaultSize="0" autoFill="0" autoLine="0" autoPict="0">
                <anchor moveWithCells="1">
                  <from>
                    <xdr:col>11</xdr:col>
                    <xdr:colOff>114300</xdr:colOff>
                    <xdr:row>33</xdr:row>
                    <xdr:rowOff>160020</xdr:rowOff>
                  </from>
                  <to>
                    <xdr:col>12</xdr:col>
                    <xdr:colOff>411480</xdr:colOff>
                    <xdr:row>35</xdr:row>
                    <xdr:rowOff>53340</xdr:rowOff>
                  </to>
                </anchor>
              </controlPr>
            </control>
          </mc:Choice>
        </mc:AlternateContent>
        <mc:AlternateContent xmlns:mc="http://schemas.openxmlformats.org/markup-compatibility/2006">
          <mc:Choice Requires="x14">
            <control shapeId="244740" r:id="rId7" name="Option Button 4">
              <controlPr defaultSize="0" autoFill="0" autoLine="0" autoPict="0">
                <anchor moveWithCells="1">
                  <from>
                    <xdr:col>14</xdr:col>
                    <xdr:colOff>114300</xdr:colOff>
                    <xdr:row>33</xdr:row>
                    <xdr:rowOff>160020</xdr:rowOff>
                  </from>
                  <to>
                    <xdr:col>16</xdr:col>
                    <xdr:colOff>99060</xdr:colOff>
                    <xdr:row>35</xdr:row>
                    <xdr:rowOff>53340</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8</xdr:col>
                    <xdr:colOff>190500</xdr:colOff>
                    <xdr:row>11</xdr:row>
                    <xdr:rowOff>205740</xdr:rowOff>
                  </from>
                  <to>
                    <xdr:col>9</xdr:col>
                    <xdr:colOff>480060</xdr:colOff>
                    <xdr:row>13</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ADF8863D-3114-436E-A37C-43AE42AF3F29}">
            <xm:f>kombinace_2!$V$1&lt;3</xm:f>
            <x14:dxf>
              <font>
                <color theme="0"/>
              </font>
              <fill>
                <patternFill>
                  <bgColor theme="0"/>
                </patternFill>
              </fill>
              <border>
                <bottom/>
                <vertical/>
                <horizontal/>
              </border>
            </x14:dxf>
          </x14:cfRule>
          <xm:sqref>C37:R37</xm:sqref>
        </x14:conditionalFormatting>
        <x14:conditionalFormatting xmlns:xm="http://schemas.microsoft.com/office/excel/2006/main">
          <x14:cfRule type="expression" priority="12" id="{D23E4B28-359A-4DC6-BB1A-9B06BC942893}">
            <xm:f>'Translate &amp; Prices'!$D$1=4</xm:f>
            <x14:dxf>
              <numFmt numFmtId="173" formatCode="#,##0.00\ [$Ft-40E]"/>
            </x14:dxf>
          </x14:cfRule>
          <x14:cfRule type="expression" priority="13" id="{FC702377-3580-45C8-B53D-026C024E551A}">
            <xm:f>'Translate &amp; Prices'!$D$1=3</xm:f>
            <x14:dxf>
              <numFmt numFmtId="172" formatCode="#,##0.00\ [$zł-415]"/>
            </x14:dxf>
          </x14:cfRule>
          <x14:cfRule type="expression" priority="14" id="{C47A476D-81EE-47A0-BC46-3DD0F522CBD4}">
            <xm:f>'Translate &amp; Prices'!$D$1=2</xm:f>
            <x14:dxf>
              <numFmt numFmtId="171" formatCode="#,##0.00\ [$€-1]"/>
            </x14:dxf>
          </x14:cfRule>
          <x14:cfRule type="expression" priority="15" id="{4DFEA026-6058-49B1-A3CE-E6105F57DE85}">
            <xm:f>'Translate &amp; Prices'!$D$1=1</xm:f>
            <x14:dxf>
              <numFmt numFmtId="170" formatCode="#,##0.00\ &quot;Kč&quot;"/>
            </x14:dxf>
          </x14:cfRule>
          <xm:sqref>M47:R47</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813DD2F1-BB5D-40C4-8F13-1C732073F446}">
          <x14:formula1>
            <xm:f>'Translate &amp; Prices'!$B$536:$B$537</xm:f>
          </x14:formula1>
          <xm:sqref>I46:J46</xm:sqref>
        </x14:dataValidation>
        <x14:dataValidation type="list" allowBlank="1" showInputMessage="1" showErrorMessage="1" xr:uid="{C3A7B338-7C31-42BA-85BB-3BC05A27AE67}">
          <x14:formula1>
            <xm:f>kombinace_2!$X$3:$X$5</xm:f>
          </x14:formula1>
          <xm:sqref>I37:R37</xm:sqref>
        </x14:dataValidation>
        <x14:dataValidation type="list" allowBlank="1" showInputMessage="1" showErrorMessage="1" xr:uid="{CB4A4778-8879-4180-938D-38D814B5E930}">
          <x14:formula1>
            <xm:f>kombinace_2!$BY$13:$BY$16</xm:f>
          </x14:formula1>
          <xm:sqref>I17:R17</xm:sqref>
        </x14:dataValidation>
        <x14:dataValidation type="list" allowBlank="1" showInputMessage="1" showErrorMessage="1" xr:uid="{3C460799-8AEF-4F7E-8AD0-F2AACB89E6C2}">
          <x14:formula1>
            <xm:f>kombinace_2!$BQ$2:$BR$2</xm:f>
          </x14:formula1>
          <xm:sqref>I21:R21</xm:sqref>
        </x14:dataValidation>
        <x14:dataValidation type="list" allowBlank="1" showInputMessage="1" showErrorMessage="1" xr:uid="{DD4A738A-C1CB-4B76-BBB9-B0748669D0C6}">
          <x14:formula1>
            <xm:f>IF($I$21=kombinace_2!$DP$2,_znacka_zavesy,_znacka_vyklopy)</xm:f>
          </x14:formula1>
          <xm:sqref>I23:R23</xm:sqref>
        </x14:dataValidation>
        <x14:dataValidation type="list" allowBlank="1" showInputMessage="1" showErrorMessage="1" xr:uid="{25CFFA89-89EC-40F0-B08E-0341C72D812C}">
          <x14:formula1>
            <xm:f>kombinace_2!$DN$2:$DN$4</xm:f>
          </x14:formula1>
          <xm:sqref>I25:R25</xm:sqref>
        </x14:dataValidation>
        <x14:dataValidation type="list" allowBlank="1" showInputMessage="1" showErrorMessage="1" xr:uid="{371383F4-936D-4D61-A1C8-7B53DB48B69A}">
          <x14:formula1>
            <xm:f>kombinace_1!$CA$3:$CA$14</xm:f>
          </x14:formula1>
          <xm:sqref>I41:R41</xm:sqref>
        </x14:dataValidation>
        <x14:dataValidation type="list" allowBlank="1" showInputMessage="1" showErrorMessage="1" xr:uid="{F3901DF7-F51E-477F-A5C9-F68A397F44B9}">
          <x14:formula1>
            <xm:f>'Translate &amp; Prices'!$B$213:$B$217</xm:f>
          </x14:formula1>
          <xm:sqref>O28:R28</xm:sqref>
        </x14:dataValidation>
        <x14:dataValidation type="list" allowBlank="1" showInputMessage="1" showErrorMessage="1" xr:uid="{1B18AE91-58EC-4817-827C-E7A5516EC80F}">
          <x14:formula1>
            <xm:f>'Translate &amp; Prices'!$B$165:$B$166</xm:f>
          </x14:formula1>
          <xm:sqref>G28:J28</xm:sqref>
        </x14:dataValidation>
        <x14:dataValidation type="list" allowBlank="1" showInputMessage="1" showErrorMessage="1" xr:uid="{9D83023C-93D1-416B-BA17-6D296B5F3311}">
          <x14:formula1>
            <xm:f>IF(S17=2,INDIRECT(CONCATENATE("_",T15,"_",I23,"_",V34)),IF(S17=3,INDIRECT(VLOOKUP(I23,kombinace_1!$AA:$AB,2,0))))</xm:f>
          </x14:formula1>
          <xm:sqref>I27</xm:sqref>
        </x14:dataValidation>
        <x14:dataValidation type="list" allowBlank="1" showInputMessage="1" showErrorMessage="1" xr:uid="{676B0B28-1F71-4844-9CD7-BFBCB406DAD9}">
          <x14:formula1>
            <xm:f>IF(T17=2,INDIRECT(CONCATENATE("_",U15,"_",J23,"_",U25)),IF(T17=3,INDIRECT(VLOOKUP(J23,kombinace_1!$AA:$AB,2,0))))</xm:f>
          </x14:formula1>
          <xm:sqref>J27:R27</xm:sqref>
        </x14:dataValidation>
        <x14:dataValidation type="list" allowBlank="1" showInputMessage="1" showErrorMessage="1" xr:uid="{4EE5CF02-E24D-4791-B145-52FDAC4E64CB}">
          <x14:formula1>
            <xm:f>IF(OR(I21='Translate &amp; Prices'!B532,I15=(_varna_panty_svisle)),_umisteni_zavesu_vyklop,_umisteni_zavesu)</xm:f>
          </x14:formula1>
          <xm:sqref>I31:R31</xm:sqref>
        </x14:dataValidation>
        <x14:dataValidation type="list" allowBlank="1" showInputMessage="1" showErrorMessage="1" xr:uid="{B5E83CC4-7DA2-4965-BEE3-68E6B329FDBF}">
          <x14:formula1>
            <xm:f>IF(kombinace_2!H1=TRUE,_kombinovane_profily,_vše_profily)</xm:f>
          </x14:formula1>
          <xm:sqref>I15:R15</xm:sqref>
        </x14:dataValidation>
        <x14:dataValidation type="list" allowBlank="1" showInputMessage="1" showErrorMessage="1" xr:uid="{5433B0A3-68F5-4FA1-8EC4-2A4B69AD9D9A}">
          <x14:formula1>
            <xm:f>IF(AM19&lt;2100,kombinace_1!BY8:BY10,kombinace_1!BY9:BY12)</xm:f>
          </x14:formula1>
          <xm:sqref>I33:R33</xm:sqref>
        </x14:dataValidation>
        <x14:dataValidation type="list" allowBlank="1" showInputMessage="1" showErrorMessage="1" xr:uid="{0197DA3A-0BB6-4C15-97EA-9EDACC241EE1}">
          <x14:formula1>
            <xm:f>IF(OR(I15=kombinace_2!A15,I15=kombinace_2!A16,I15=kombinace_2!A17),INDIRECT(kombinace_1!BY37),INDIRECT(kombinace_2!S1))</xm:f>
          </x14:formula1>
          <xm:sqref>I39:R39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1435-181A-4410-92E2-485B0AE4AFDF}">
  <sheetPr codeName="List8"/>
  <dimension ref="A1:AL56"/>
  <sheetViews>
    <sheetView showGridLines="0" showRowColHeaders="0" zoomScale="80" zoomScaleNormal="80" workbookViewId="0">
      <selection activeCell="K13" sqref="K13:P13"/>
    </sheetView>
  </sheetViews>
  <sheetFormatPr defaultColWidth="0" defaultRowHeight="14.4" zeroHeight="1" x14ac:dyDescent="0.3"/>
  <cols>
    <col min="1" max="3" width="8.88671875" style="1" customWidth="1"/>
    <col min="4" max="4" width="6.6640625" style="1" customWidth="1"/>
    <col min="5" max="16" width="8.88671875" style="1" customWidth="1"/>
    <col min="17" max="17" width="6.6640625" style="1" customWidth="1"/>
    <col min="18" max="20" width="8.88671875" style="1" customWidth="1"/>
    <col min="21" max="38" width="0" style="1" hidden="1" customWidth="1"/>
    <col min="39" max="16384" width="8.88671875" style="1" hidden="1"/>
  </cols>
  <sheetData>
    <row r="1" spans="1:23" x14ac:dyDescent="0.3">
      <c r="A1" s="439"/>
      <c r="B1" s="439"/>
      <c r="C1" s="439"/>
      <c r="D1" s="439"/>
      <c r="E1" s="439"/>
      <c r="F1" s="439"/>
      <c r="G1" s="439"/>
      <c r="H1" s="439"/>
      <c r="I1" s="439"/>
      <c r="J1" s="439"/>
      <c r="K1" s="439"/>
      <c r="L1" s="439"/>
      <c r="M1" s="439"/>
      <c r="N1" s="439"/>
      <c r="O1" s="439"/>
      <c r="P1" s="4"/>
      <c r="Q1" s="4"/>
      <c r="R1" s="4"/>
      <c r="S1" s="4"/>
      <c r="T1" s="4"/>
    </row>
    <row r="2" spans="1:23" x14ac:dyDescent="0.3">
      <c r="A2" s="440"/>
      <c r="B2" s="440"/>
      <c r="C2" s="440"/>
      <c r="D2" s="440"/>
      <c r="E2" s="440"/>
      <c r="F2" s="440"/>
      <c r="G2" s="440"/>
      <c r="H2" s="440"/>
      <c r="I2" s="440"/>
      <c r="J2" s="440"/>
      <c r="K2" s="440"/>
      <c r="L2" s="440"/>
      <c r="M2" s="440"/>
      <c r="N2" s="440"/>
      <c r="O2" s="440"/>
      <c r="P2" s="378"/>
      <c r="Q2" s="745" t="str">
        <f>'Translate &amp; Prices'!$B$520</f>
        <v>Úvod</v>
      </c>
      <c r="R2" s="746"/>
      <c r="S2" s="746"/>
      <c r="T2" s="746"/>
    </row>
    <row r="3" spans="1:23" x14ac:dyDescent="0.3">
      <c r="A3" s="440"/>
      <c r="B3" s="440"/>
      <c r="C3" s="440"/>
      <c r="D3" s="440"/>
      <c r="E3" s="440"/>
      <c r="F3" s="440"/>
      <c r="G3" s="440"/>
      <c r="H3" s="440"/>
      <c r="I3" s="440"/>
      <c r="J3" s="440"/>
      <c r="K3" s="440"/>
      <c r="L3" s="440"/>
      <c r="M3" s="440"/>
      <c r="N3" s="440"/>
      <c r="O3" s="440"/>
      <c r="P3" s="378"/>
      <c r="Q3" s="745"/>
      <c r="R3" s="746"/>
      <c r="S3" s="746"/>
      <c r="T3" s="746"/>
    </row>
    <row r="4" spans="1:23" x14ac:dyDescent="0.3">
      <c r="A4" s="439"/>
      <c r="B4" s="439"/>
      <c r="C4" s="439"/>
      <c r="D4" s="439"/>
      <c r="E4" s="439"/>
      <c r="F4" s="439"/>
      <c r="G4" s="439"/>
      <c r="H4" s="439"/>
      <c r="I4" s="439"/>
      <c r="J4" s="178"/>
      <c r="K4" s="178"/>
      <c r="L4" s="178"/>
      <c r="M4" s="178"/>
      <c r="N4" s="178"/>
      <c r="O4" s="178"/>
      <c r="P4" s="4"/>
      <c r="Q4" s="4"/>
      <c r="R4" s="4"/>
      <c r="S4" s="4"/>
      <c r="T4" s="4"/>
    </row>
    <row r="5" spans="1:23" x14ac:dyDescent="0.3">
      <c r="A5" s="439"/>
      <c r="B5" s="439"/>
      <c r="C5" s="439"/>
      <c r="D5" s="439"/>
      <c r="E5" s="439"/>
      <c r="F5" s="439"/>
      <c r="G5" s="439"/>
      <c r="H5" s="439"/>
      <c r="I5" s="439"/>
      <c r="J5" s="178"/>
      <c r="K5" s="754" t="str">
        <f>'Translate &amp; Prices'!$B$282</f>
        <v>Vždy používejte aktuální verzi formuláře, který je dostupný na našich stánkách.</v>
      </c>
      <c r="L5" s="754"/>
      <c r="M5" s="754"/>
      <c r="N5" s="754"/>
      <c r="O5" s="754"/>
      <c r="P5" s="754"/>
      <c r="Q5" s="754"/>
      <c r="R5" s="754"/>
      <c r="S5" s="754"/>
      <c r="T5" s="4"/>
    </row>
    <row r="6" spans="1:23" ht="14.4" customHeight="1" x14ac:dyDescent="0.3">
      <c r="A6" s="178"/>
      <c r="B6" s="4"/>
      <c r="C6" s="4"/>
      <c r="D6" s="178"/>
      <c r="E6" s="178"/>
      <c r="F6" s="178"/>
      <c r="G6" s="178"/>
      <c r="H6" s="178"/>
      <c r="I6" s="755" t="str">
        <f>'Translate &amp; Prices'!$B$226</f>
        <v xml:space="preserve">Při vyplňování formuláře postupujte vždy shora dolů. Provedete li zpětně změnu, překontrolujte zda jsou následující položky správně. </v>
      </c>
      <c r="J6" s="755"/>
      <c r="K6" s="755"/>
      <c r="L6" s="755"/>
      <c r="M6" s="755"/>
      <c r="N6" s="755"/>
      <c r="O6" s="755"/>
      <c r="P6" s="755"/>
      <c r="Q6" s="755"/>
      <c r="R6" s="755"/>
      <c r="S6" s="755"/>
      <c r="T6" s="755"/>
      <c r="U6" s="755"/>
      <c r="V6" s="755"/>
      <c r="W6" s="755"/>
    </row>
    <row r="7" spans="1:23" x14ac:dyDescent="0.3">
      <c r="A7" s="178"/>
      <c r="B7" s="4"/>
      <c r="C7" s="4"/>
      <c r="D7" s="178"/>
      <c r="E7" s="178"/>
      <c r="F7" s="178"/>
      <c r="G7" s="178"/>
      <c r="H7" s="178"/>
      <c r="I7" s="178"/>
      <c r="J7" s="178"/>
      <c r="K7" s="178"/>
      <c r="L7" s="178"/>
      <c r="M7" s="178"/>
      <c r="N7" s="178"/>
      <c r="O7" s="178"/>
      <c r="P7" s="4"/>
      <c r="Q7" s="4"/>
      <c r="R7" s="4"/>
      <c r="S7" s="4"/>
      <c r="T7" s="4"/>
    </row>
    <row r="8" spans="1:23" ht="10.8" customHeight="1" x14ac:dyDescent="0.3">
      <c r="A8" s="178"/>
      <c r="B8" s="4"/>
      <c r="C8" s="4"/>
      <c r="D8" s="178"/>
      <c r="E8" s="504" t="str">
        <f>'Translate &amp; Prices'!B286</f>
        <v xml:space="preserve">Vyplňte prosím vaše kontaktní údaje a poté klikněte na požadované políčko níže. </v>
      </c>
      <c r="F8" s="178"/>
      <c r="G8" s="178"/>
      <c r="H8" s="178"/>
      <c r="I8" s="178"/>
      <c r="J8" s="178"/>
      <c r="K8" s="178"/>
      <c r="L8" s="178"/>
      <c r="M8" s="178"/>
      <c r="N8" s="178"/>
      <c r="O8" s="178"/>
      <c r="P8" s="4"/>
      <c r="Q8" s="4"/>
      <c r="R8" s="4"/>
      <c r="S8" s="4"/>
      <c r="T8" s="4"/>
    </row>
    <row r="9" spans="1:23" ht="10.8" customHeight="1" x14ac:dyDescent="0.3">
      <c r="A9" s="178"/>
      <c r="B9" s="4"/>
      <c r="C9" s="4"/>
      <c r="D9" s="178"/>
      <c r="E9" s="504" t="str">
        <f>'Translate &amp; Prices'!B287</f>
        <v>Vyplněním kontaktních údajů vyjadřujete současně souhlas, že jste se seznámil s informacemi uvedenými níže!</v>
      </c>
      <c r="F9" s="178"/>
      <c r="G9" s="178"/>
      <c r="H9" s="178"/>
      <c r="I9" s="178"/>
      <c r="J9" s="178"/>
      <c r="K9" s="178"/>
      <c r="L9" s="178"/>
      <c r="M9" s="178"/>
      <c r="N9" s="178"/>
      <c r="O9" s="178"/>
      <c r="P9" s="4"/>
      <c r="Q9" s="4"/>
      <c r="R9" s="4"/>
      <c r="S9" s="4"/>
      <c r="T9" s="4"/>
    </row>
    <row r="10" spans="1:23" ht="6.6" customHeight="1" x14ac:dyDescent="0.3">
      <c r="A10" s="178"/>
      <c r="B10" s="4"/>
      <c r="C10" s="4"/>
      <c r="D10" s="178"/>
      <c r="F10" s="178"/>
      <c r="G10" s="178"/>
      <c r="H10" s="178"/>
      <c r="I10" s="178"/>
      <c r="J10" s="178"/>
      <c r="K10" s="178"/>
      <c r="L10" s="178"/>
      <c r="M10" s="178"/>
      <c r="N10" s="178"/>
      <c r="O10" s="178"/>
      <c r="P10" s="4"/>
      <c r="Q10" s="4"/>
      <c r="R10" s="4"/>
      <c r="S10" s="4"/>
      <c r="T10" s="4"/>
    </row>
    <row r="11" spans="1:23" x14ac:dyDescent="0.3">
      <c r="A11" s="178"/>
      <c r="B11" s="4"/>
      <c r="C11" s="4"/>
      <c r="D11" s="178"/>
      <c r="E11" s="752"/>
      <c r="F11" s="752"/>
      <c r="G11" s="752"/>
      <c r="H11" s="752"/>
      <c r="I11" s="752"/>
      <c r="J11" s="425"/>
      <c r="K11" s="753"/>
      <c r="L11" s="753"/>
      <c r="M11" s="753"/>
      <c r="N11" s="753"/>
      <c r="O11" s="753"/>
      <c r="P11" s="753"/>
      <c r="Q11" s="4"/>
      <c r="R11" s="4"/>
      <c r="S11" s="4"/>
      <c r="T11" s="4"/>
    </row>
    <row r="12" spans="1:23" x14ac:dyDescent="0.3">
      <c r="A12" s="178"/>
      <c r="B12" s="4"/>
      <c r="E12" s="4"/>
      <c r="F12" s="178"/>
      <c r="G12" s="178"/>
      <c r="H12" s="178"/>
      <c r="I12" s="178"/>
      <c r="J12" s="178"/>
      <c r="K12" s="178"/>
      <c r="L12" s="178"/>
      <c r="M12" s="178"/>
      <c r="N12" s="178"/>
      <c r="O12" s="178"/>
      <c r="P12" s="178"/>
      <c r="Q12" s="4"/>
      <c r="R12" s="4"/>
      <c r="S12" s="4"/>
    </row>
    <row r="13" spans="1:23" x14ac:dyDescent="0.3">
      <c r="A13" s="178"/>
      <c r="B13" s="4"/>
      <c r="E13" s="747" t="str">
        <f>'Translate &amp; Prices'!$B$229</f>
        <v>Zákazník</v>
      </c>
      <c r="F13" s="747"/>
      <c r="G13" s="747"/>
      <c r="H13" s="747"/>
      <c r="I13" s="747"/>
      <c r="J13" s="436"/>
      <c r="K13" s="751"/>
      <c r="L13" s="751"/>
      <c r="M13" s="751"/>
      <c r="N13" s="751"/>
      <c r="O13" s="751"/>
      <c r="P13" s="751"/>
      <c r="Q13" s="4"/>
      <c r="R13" s="4"/>
      <c r="S13" s="4"/>
    </row>
    <row r="14" spans="1:23" x14ac:dyDescent="0.3">
      <c r="A14" s="178"/>
      <c r="B14" s="4"/>
      <c r="E14" s="4"/>
      <c r="F14" s="178"/>
      <c r="G14" s="178"/>
      <c r="H14" s="178"/>
      <c r="I14" s="178"/>
      <c r="J14" s="178"/>
      <c r="K14" s="178"/>
      <c r="L14" s="178"/>
      <c r="M14" s="178"/>
      <c r="N14" s="178"/>
      <c r="O14" s="178"/>
      <c r="P14" s="178"/>
      <c r="Q14" s="4"/>
      <c r="R14" s="4"/>
      <c r="S14" s="4"/>
    </row>
    <row r="15" spans="1:23" x14ac:dyDescent="0.3">
      <c r="A15" s="178"/>
      <c r="B15" s="4"/>
      <c r="E15" s="747" t="str">
        <f>'Translate &amp; Prices'!$B$233</f>
        <v>IČ:</v>
      </c>
      <c r="F15" s="747"/>
      <c r="G15" s="747"/>
      <c r="H15" s="747"/>
      <c r="I15" s="747"/>
      <c r="J15" s="436"/>
      <c r="K15" s="751"/>
      <c r="L15" s="751"/>
      <c r="M15" s="751"/>
      <c r="N15" s="751"/>
      <c r="O15" s="751"/>
      <c r="P15" s="751"/>
      <c r="Q15" s="4"/>
      <c r="R15" s="4"/>
      <c r="S15" s="4"/>
    </row>
    <row r="16" spans="1:23" x14ac:dyDescent="0.3">
      <c r="A16" s="178"/>
      <c r="B16" s="4"/>
      <c r="E16" s="4"/>
      <c r="F16" s="178"/>
      <c r="G16" s="178"/>
      <c r="H16" s="178"/>
      <c r="I16" s="178"/>
      <c r="J16" s="178"/>
      <c r="K16" s="178"/>
      <c r="L16" s="178"/>
      <c r="M16" s="178"/>
      <c r="N16" s="178"/>
      <c r="O16" s="178"/>
      <c r="P16" s="178"/>
      <c r="Q16" s="4"/>
      <c r="R16" s="4"/>
      <c r="S16" s="4"/>
    </row>
    <row r="17" spans="1:21" x14ac:dyDescent="0.3">
      <c r="A17" s="178"/>
      <c r="B17" s="4"/>
      <c r="E17" s="747" t="str">
        <f>'Translate &amp; Prices'!$B$230</f>
        <v>Kontaktní tel.</v>
      </c>
      <c r="F17" s="747"/>
      <c r="G17" s="747"/>
      <c r="H17" s="747"/>
      <c r="I17" s="747"/>
      <c r="J17" s="436"/>
      <c r="K17" s="751"/>
      <c r="L17" s="751"/>
      <c r="M17" s="751"/>
      <c r="N17" s="751"/>
      <c r="O17" s="751"/>
      <c r="P17" s="751"/>
      <c r="Q17" s="4"/>
      <c r="R17" s="4"/>
      <c r="S17" s="4"/>
    </row>
    <row r="18" spans="1:21" x14ac:dyDescent="0.3">
      <c r="A18" s="178"/>
      <c r="B18" s="4"/>
      <c r="E18" s="4"/>
      <c r="F18" s="178"/>
      <c r="G18" s="178"/>
      <c r="H18" s="178"/>
      <c r="I18" s="178"/>
      <c r="J18" s="178"/>
      <c r="K18" s="178"/>
      <c r="L18" s="178"/>
      <c r="M18" s="178"/>
      <c r="N18" s="178"/>
      <c r="O18" s="178"/>
      <c r="P18" s="178"/>
      <c r="Q18" s="4"/>
      <c r="R18" s="4"/>
      <c r="S18" s="4"/>
    </row>
    <row r="19" spans="1:21" x14ac:dyDescent="0.3">
      <c r="A19" s="178"/>
      <c r="B19" s="4"/>
      <c r="E19" s="747" t="str">
        <f>'Translate &amp; Prices'!$B$231</f>
        <v>Kontaktní e-mail</v>
      </c>
      <c r="F19" s="747"/>
      <c r="G19" s="747"/>
      <c r="H19" s="747"/>
      <c r="I19" s="747"/>
      <c r="J19" s="436"/>
      <c r="K19" s="751"/>
      <c r="L19" s="751"/>
      <c r="M19" s="751"/>
      <c r="N19" s="751"/>
      <c r="O19" s="751"/>
      <c r="P19" s="751"/>
      <c r="Q19" s="4"/>
      <c r="R19" s="4"/>
    </row>
    <row r="20" spans="1:21" x14ac:dyDescent="0.3">
      <c r="A20" s="178"/>
      <c r="B20" s="4"/>
      <c r="E20" s="4"/>
      <c r="F20" s="178"/>
      <c r="G20" s="178"/>
      <c r="H20" s="178"/>
      <c r="I20" s="178"/>
      <c r="J20" s="178"/>
      <c r="K20" s="178"/>
      <c r="L20" s="178"/>
      <c r="M20" s="178"/>
      <c r="N20" s="178"/>
      <c r="O20" s="178"/>
      <c r="P20" s="178"/>
      <c r="Q20" s="4"/>
      <c r="R20" s="4"/>
    </row>
    <row r="21" spans="1:21" x14ac:dyDescent="0.3">
      <c r="A21" s="178"/>
      <c r="B21" s="4"/>
      <c r="E21" s="747" t="str">
        <f>'Translate &amp; Prices'!$B$232</f>
        <v>Adresa provozovny</v>
      </c>
      <c r="F21" s="747"/>
      <c r="G21" s="747"/>
      <c r="H21" s="747"/>
      <c r="I21" s="747"/>
      <c r="J21" s="436"/>
      <c r="K21" s="751"/>
      <c r="L21" s="751"/>
      <c r="M21" s="751"/>
      <c r="N21" s="751"/>
      <c r="O21" s="751"/>
      <c r="P21" s="751"/>
      <c r="Q21" s="4"/>
      <c r="R21" s="4"/>
      <c r="S21" s="4"/>
    </row>
    <row r="22" spans="1:21" x14ac:dyDescent="0.3">
      <c r="A22" s="178"/>
      <c r="B22" s="4"/>
      <c r="E22" s="4"/>
      <c r="F22" s="178"/>
      <c r="G22" s="178"/>
      <c r="H22" s="178"/>
      <c r="I22" s="178"/>
      <c r="J22" s="178"/>
      <c r="K22" s="178"/>
      <c r="L22" s="178"/>
      <c r="M22" s="178"/>
      <c r="N22" s="178"/>
      <c r="O22" s="178"/>
      <c r="P22" s="178"/>
      <c r="Q22" s="4"/>
      <c r="R22" s="4"/>
    </row>
    <row r="23" spans="1:21" x14ac:dyDescent="0.3">
      <c r="A23" s="178"/>
      <c r="B23" s="4"/>
      <c r="E23" s="747" t="str">
        <f>'Translate &amp; Prices'!$B$234</f>
        <v>Sleva na rámečky</v>
      </c>
      <c r="F23" s="747"/>
      <c r="G23" s="747"/>
      <c r="H23" s="747"/>
      <c r="I23" s="747"/>
      <c r="J23" s="436"/>
      <c r="K23" s="748"/>
      <c r="L23" s="748"/>
      <c r="M23" s="748"/>
      <c r="N23" s="748"/>
      <c r="O23" s="748"/>
      <c r="P23" s="748"/>
      <c r="Q23" s="4"/>
      <c r="R23" s="4"/>
      <c r="S23" s="4"/>
    </row>
    <row r="24" spans="1:21" ht="21" customHeight="1" x14ac:dyDescent="0.3">
      <c r="A24" s="178"/>
      <c r="O24" s="178"/>
      <c r="P24" s="4"/>
      <c r="Q24" s="4"/>
    </row>
    <row r="25" spans="1:21" x14ac:dyDescent="0.3">
      <c r="A25" s="178"/>
      <c r="D25" s="178"/>
      <c r="E25" s="178"/>
      <c r="F25" s="178"/>
      <c r="G25" s="178"/>
      <c r="H25" s="178"/>
      <c r="I25" s="178"/>
      <c r="J25" s="178"/>
      <c r="K25" s="178"/>
      <c r="L25" s="178"/>
      <c r="M25" s="178"/>
      <c r="N25" s="178"/>
      <c r="O25" s="178"/>
      <c r="P25" s="4"/>
      <c r="Q25" s="4"/>
    </row>
    <row r="26" spans="1:21" x14ac:dyDescent="0.3">
      <c r="E26" s="750" t="str">
        <f>'Translate &amp; Prices'!$B$294&amp;" "&amp;'Translate &amp; Prices'!$B$295</f>
        <v>Vyplněnou objednávku zašlete na adresu  objednavky@demos-trade.com</v>
      </c>
      <c r="F26" s="750"/>
      <c r="G26" s="750"/>
      <c r="H26" s="750"/>
      <c r="I26" s="750"/>
      <c r="J26" s="750"/>
      <c r="K26" s="750"/>
      <c r="L26" s="750"/>
      <c r="M26" s="750"/>
      <c r="N26" s="750"/>
      <c r="O26" s="750"/>
      <c r="P26" s="750"/>
      <c r="Q26" s="474"/>
      <c r="R26" s="474"/>
      <c r="S26" s="474"/>
      <c r="T26" s="474"/>
      <c r="U26" s="474"/>
    </row>
    <row r="27" spans="1:21" ht="14.4" customHeight="1" x14ac:dyDescent="0.3">
      <c r="E27" s="749" t="str">
        <f>'Translate &amp; Prices'!$B$151</f>
        <v>Uvedené ceny jsou bez DPH a nezahrnují cenu požadovaného kování!</v>
      </c>
      <c r="F27" s="749"/>
      <c r="G27" s="749"/>
      <c r="H27" s="749"/>
      <c r="I27" s="749"/>
      <c r="J27" s="749"/>
      <c r="K27" s="749"/>
      <c r="L27" s="749"/>
      <c r="M27" s="749"/>
      <c r="N27" s="749"/>
      <c r="O27" s="749"/>
      <c r="P27" s="749"/>
      <c r="Q27" s="474"/>
      <c r="R27" s="474"/>
      <c r="S27" s="474"/>
      <c r="T27" s="474"/>
      <c r="U27" s="474"/>
    </row>
    <row r="28" spans="1:21" x14ac:dyDescent="0.3">
      <c r="E28" s="749" t="str">
        <f>'Translate &amp; Prices'!$B$281</f>
        <v xml:space="preserve">Pro připevnění kování do ALU rámečku, je nutné používat vruty pro toto určené (např. kód 13681). </v>
      </c>
      <c r="F28" s="749"/>
      <c r="G28" s="749"/>
      <c r="H28" s="749"/>
      <c r="I28" s="749"/>
      <c r="J28" s="749"/>
      <c r="K28" s="749"/>
      <c r="L28" s="749"/>
      <c r="M28" s="749"/>
      <c r="N28" s="749"/>
      <c r="O28" s="749"/>
      <c r="P28" s="749"/>
    </row>
    <row r="29" spans="1:21" x14ac:dyDescent="0.3">
      <c r="E29" s="749" t="str">
        <f>'Translate &amp; Prices'!$B$307</f>
        <v>K nadrozměrným rámečkům (nad rozměr 1200 x 800 mm), může být účtován příplatek za speciální balení a dopravu (více informací na zákaznickém centru).</v>
      </c>
      <c r="F29" s="749"/>
      <c r="G29" s="749"/>
      <c r="H29" s="749"/>
      <c r="I29" s="749"/>
      <c r="J29" s="749"/>
      <c r="K29" s="749"/>
      <c r="L29" s="749"/>
      <c r="M29" s="749"/>
      <c r="N29" s="749"/>
      <c r="O29" s="749"/>
      <c r="P29" s="749"/>
    </row>
    <row r="30" spans="1:21" x14ac:dyDescent="0.3">
      <c r="E30" s="749" t="str">
        <f>'Translate &amp; Prices'!$B$311</f>
        <v>Pokud je úchytka připevněna skrz sklo, je nutné vždy použít distanční podložku (např. 144516, 191970, C0315)</v>
      </c>
      <c r="F30" s="749"/>
      <c r="G30" s="749"/>
      <c r="H30" s="749"/>
      <c r="I30" s="749"/>
      <c r="J30" s="749"/>
      <c r="K30" s="749"/>
      <c r="L30" s="749"/>
      <c r="M30" s="749"/>
      <c r="N30" s="749"/>
      <c r="O30" s="749"/>
      <c r="P30" s="749"/>
    </row>
    <row r="31" spans="1:21" x14ac:dyDescent="0.3">
      <c r="E31" s="749" t="str">
        <f>'Translate &amp; Prices'!$B$277</f>
        <v>Standardní průměr otvorů pro úchytky je ve skle 7 mm a v rámečku 5 mm (distanční podložky jsou součástí balení).</v>
      </c>
      <c r="F31" s="749"/>
      <c r="G31" s="749"/>
      <c r="H31" s="749"/>
      <c r="I31" s="749"/>
      <c r="J31" s="749"/>
      <c r="K31" s="749"/>
      <c r="L31" s="749"/>
      <c r="M31" s="749"/>
      <c r="N31" s="749"/>
      <c r="O31" s="749"/>
      <c r="P31" s="749"/>
    </row>
    <row r="32" spans="1:21" x14ac:dyDescent="0.3">
      <c r="E32" s="749" t="str">
        <f>'Translate &amp; Prices'!$B$291</f>
        <v>Maximální doporučený rozměr rámečku je 2000 x 600 mm (v případě rámečků s nalepeným sklem 1800 x 600 mm)</v>
      </c>
      <c r="F32" s="749"/>
      <c r="G32" s="749"/>
      <c r="H32" s="749"/>
      <c r="I32" s="749"/>
      <c r="J32" s="749"/>
      <c r="K32" s="749"/>
      <c r="L32" s="749"/>
      <c r="M32" s="749"/>
      <c r="N32" s="749"/>
      <c r="O32" s="749"/>
      <c r="P32" s="749"/>
    </row>
    <row r="33" spans="2:19" x14ac:dyDescent="0.3">
      <c r="E33" s="749" t="str">
        <f>'Translate &amp; Prices'!$B$280</f>
        <v>Reklamace spojené s poškozením nelze uplatnit, pokud byl rámeček již namontován.</v>
      </c>
      <c r="F33" s="749"/>
      <c r="G33" s="749"/>
      <c r="H33" s="749"/>
      <c r="I33" s="749"/>
      <c r="J33" s="749"/>
      <c r="K33" s="749"/>
      <c r="L33" s="749"/>
      <c r="M33" s="749"/>
      <c r="N33" s="749"/>
      <c r="O33" s="749"/>
      <c r="P33" s="749"/>
    </row>
    <row r="34" spans="2:19" x14ac:dyDescent="0.3"/>
    <row r="35" spans="2:19" x14ac:dyDescent="0.3">
      <c r="B35" s="745" t="str">
        <f>"&lt;"&amp;" "&amp;'Translate &amp; Prices'!$B$554</f>
        <v>&lt; Zpět</v>
      </c>
      <c r="C35" s="746"/>
      <c r="E35" s="749" t="str">
        <f>'Translate &amp; Prices'!$B$284</f>
        <v xml:space="preserve">Objednávka může obsahovat i více typů (rozměrů) rámečků najednou, přičemž se taková objednávka bere jako platná. Proto doporučujeme před odeslání zkontrolovat formulář, zda obsahuje pouze vámi požadované rámečky.     </v>
      </c>
      <c r="F35" s="749"/>
      <c r="G35" s="749"/>
      <c r="H35" s="749"/>
      <c r="I35" s="749"/>
      <c r="J35" s="749"/>
      <c r="K35" s="749"/>
      <c r="L35" s="749"/>
      <c r="M35" s="749"/>
      <c r="N35" s="749"/>
      <c r="O35" s="749"/>
      <c r="P35" s="749"/>
      <c r="R35" s="745" t="str">
        <f>'Translate &amp; Prices'!$B$546&amp;" "&amp;"&gt;"</f>
        <v>Dále &gt;</v>
      </c>
      <c r="S35" s="746"/>
    </row>
    <row r="36" spans="2:19" x14ac:dyDescent="0.3">
      <c r="B36" s="745"/>
      <c r="C36" s="746"/>
      <c r="E36" s="749"/>
      <c r="F36" s="749"/>
      <c r="G36" s="749"/>
      <c r="H36" s="749"/>
      <c r="I36" s="749"/>
      <c r="J36" s="749"/>
      <c r="K36" s="749"/>
      <c r="L36" s="749"/>
      <c r="M36" s="749"/>
      <c r="N36" s="749"/>
      <c r="O36" s="749"/>
      <c r="P36" s="749"/>
      <c r="R36" s="745"/>
      <c r="S36" s="746"/>
    </row>
    <row r="37" spans="2:19" x14ac:dyDescent="0.3"/>
    <row r="38" spans="2:19" x14ac:dyDescent="0.3"/>
    <row r="39" spans="2:19" hidden="1" x14ac:dyDescent="0.3"/>
    <row r="40" spans="2:19" hidden="1" x14ac:dyDescent="0.3"/>
    <row r="41" spans="2:19" hidden="1" x14ac:dyDescent="0.3"/>
    <row r="42" spans="2:19" hidden="1" x14ac:dyDescent="0.3"/>
    <row r="43" spans="2:19" hidden="1" x14ac:dyDescent="0.3"/>
    <row r="44" spans="2:19" hidden="1" x14ac:dyDescent="0.3"/>
    <row r="45" spans="2:19" hidden="1" x14ac:dyDescent="0.3"/>
    <row r="46" spans="2:19" hidden="1" x14ac:dyDescent="0.3"/>
    <row r="47" spans="2:19" hidden="1" x14ac:dyDescent="0.3"/>
    <row r="48" spans="2:19"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sheetData>
  <sheetProtection algorithmName="SHA-512" hashValue="RQ28+IDKDsEsRYEqxbCinv8TklNzzU15fYnEcG62dYS7vKS5HKQxRoBtHhOcfv6qwLTSQ9EgVq3VTnGGO8dWkQ==" saltValue="hMxGLe1JKlQP7Bdip4xdcA==" spinCount="100000" sheet="1" objects="1" scenarios="1" selectLockedCells="1"/>
  <mergeCells count="28">
    <mergeCell ref="K21:P21"/>
    <mergeCell ref="R35:S36"/>
    <mergeCell ref="Q2:T3"/>
    <mergeCell ref="E11:I11"/>
    <mergeCell ref="K11:P11"/>
    <mergeCell ref="E17:I17"/>
    <mergeCell ref="E15:I15"/>
    <mergeCell ref="E13:I13"/>
    <mergeCell ref="K13:P13"/>
    <mergeCell ref="K5:S5"/>
    <mergeCell ref="K15:P15"/>
    <mergeCell ref="K17:P17"/>
    <mergeCell ref="E21:I21"/>
    <mergeCell ref="I6:W6"/>
    <mergeCell ref="E19:I19"/>
    <mergeCell ref="K19:P19"/>
    <mergeCell ref="B35:C36"/>
    <mergeCell ref="E23:I23"/>
    <mergeCell ref="K23:P23"/>
    <mergeCell ref="E35:P36"/>
    <mergeCell ref="E26:P26"/>
    <mergeCell ref="E27:P27"/>
    <mergeCell ref="E28:P28"/>
    <mergeCell ref="E30:P30"/>
    <mergeCell ref="E31:P31"/>
    <mergeCell ref="E32:P32"/>
    <mergeCell ref="E29:P29"/>
    <mergeCell ref="E33:P33"/>
  </mergeCells>
  <hyperlinks>
    <hyperlink ref="Q2:T3" location="Hlavní!A1" display="Hlavní!A1" xr:uid="{05FE4F49-0FA2-4DC3-A302-090CC745A89F}"/>
    <hyperlink ref="R35:S36" location="Ram_1!A1" display="Ram_1!A1" xr:uid="{8E517791-91A2-4423-A3D5-2F04F749C455}"/>
    <hyperlink ref="B35:C36" location="Hlavní!A1" display="Hlavní!A1" xr:uid="{BADF3562-2D94-4121-A76C-D851296518B1}"/>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175260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EA285-D107-4425-99CE-CC71F11FADCE}">
  <sheetPr codeName="List23">
    <tabColor rgb="FF00B0F0"/>
  </sheetPr>
  <dimension ref="A1:XFD101"/>
  <sheetViews>
    <sheetView showGridLines="0" showRowColHeaders="0" zoomScale="80" zoomScaleNormal="80" workbookViewId="0">
      <selection activeCell="E26" sqref="E26:G26"/>
    </sheetView>
  </sheetViews>
  <sheetFormatPr defaultColWidth="0" defaultRowHeight="14.4" customHeight="1" zeroHeight="1" x14ac:dyDescent="0.3"/>
  <cols>
    <col min="1" max="1" width="4.44140625" style="178" customWidth="1"/>
    <col min="2" max="2" width="4.44140625" style="4" customWidth="1"/>
    <col min="3" max="3" width="12.33203125" style="4" customWidth="1"/>
    <col min="4" max="7" width="7" style="178" customWidth="1"/>
    <col min="8" max="8" width="5.44140625" style="178" customWidth="1"/>
    <col min="9" max="11" width="7.21875" style="178" customWidth="1"/>
    <col min="12" max="12" width="5.21875" style="178" customWidth="1"/>
    <col min="13" max="14" width="7.21875" style="178" customWidth="1"/>
    <col min="15" max="17" width="5.88671875" style="178" customWidth="1"/>
    <col min="18" max="18" width="4.33203125" style="178" customWidth="1"/>
    <col min="19" max="20" width="5.33203125" style="178" customWidth="1"/>
    <col min="21" max="21" width="5.44140625" style="178" customWidth="1"/>
    <col min="22" max="22" width="3.33203125" style="178" customWidth="1"/>
    <col min="23" max="25" width="5.33203125" style="178" customWidth="1"/>
    <col min="26" max="26" width="5.33203125" style="4" customWidth="1"/>
    <col min="27" max="28" width="5.44140625" style="4" customWidth="1"/>
    <col min="29" max="29" width="5.33203125" style="4" customWidth="1"/>
    <col min="30" max="30" width="5.33203125" style="257" customWidth="1"/>
    <col min="31" max="31" width="5.33203125" style="199" customWidth="1"/>
    <col min="32" max="32" width="5.44140625" style="4" customWidth="1"/>
    <col min="33" max="36" width="5.33203125" style="4" customWidth="1"/>
    <col min="37" max="37" width="3.33203125" style="4" customWidth="1"/>
    <col min="38" max="38" width="3.77734375" style="4" hidden="1" customWidth="1"/>
    <col min="39" max="40" width="5.33203125" style="4" hidden="1" customWidth="1"/>
    <col min="41" max="41" width="2.88671875" style="4" hidden="1" customWidth="1"/>
    <col min="42" max="46" width="8.88671875" style="4" hidden="1" customWidth="1"/>
    <col min="47" max="48" width="8.88671875" style="255" hidden="1" customWidth="1"/>
    <col min="49" max="55" width="8.88671875" style="178" hidden="1" customWidth="1"/>
    <col min="56" max="16384" width="8.88671875" style="1" hidden="1"/>
  </cols>
  <sheetData>
    <row r="1" spans="1:37" ht="8.4" customHeight="1" x14ac:dyDescent="0.3">
      <c r="A1" s="439"/>
      <c r="B1" s="439"/>
      <c r="C1" s="439"/>
      <c r="D1" s="439"/>
      <c r="E1" s="439"/>
      <c r="F1" s="439"/>
      <c r="G1" s="439"/>
      <c r="H1" s="439"/>
      <c r="I1" s="439"/>
      <c r="J1" s="439"/>
      <c r="K1" s="439"/>
      <c r="L1" s="439"/>
      <c r="M1" s="439"/>
      <c r="N1" s="439"/>
      <c r="O1" s="439"/>
      <c r="P1" s="439"/>
      <c r="Q1" s="439"/>
      <c r="R1" s="439"/>
      <c r="S1" s="439"/>
      <c r="T1" s="439"/>
      <c r="U1" s="439"/>
    </row>
    <row r="2" spans="1:37" ht="11.4" customHeight="1" x14ac:dyDescent="0.3">
      <c r="A2" s="440"/>
      <c r="B2" s="440"/>
      <c r="C2" s="440"/>
      <c r="D2" s="440"/>
      <c r="E2" s="440"/>
      <c r="F2" s="440"/>
      <c r="G2" s="440"/>
      <c r="H2" s="440"/>
      <c r="I2" s="440"/>
      <c r="J2" s="440"/>
      <c r="K2" s="440"/>
      <c r="L2" s="440"/>
      <c r="M2" s="440"/>
      <c r="N2" s="440"/>
      <c r="O2" s="440"/>
      <c r="P2" s="932" t="str">
        <f>'Translate &amp; Prices'!$B$258</f>
        <v>Posuvné rámečky</v>
      </c>
      <c r="Q2" s="932"/>
      <c r="R2" s="932"/>
      <c r="S2" s="932"/>
      <c r="T2" s="932"/>
      <c r="U2" s="932"/>
      <c r="V2" s="932"/>
      <c r="W2" s="932"/>
      <c r="X2" s="932"/>
      <c r="Y2" s="932"/>
      <c r="Z2" s="932"/>
      <c r="AA2" s="932"/>
      <c r="AB2" s="932"/>
      <c r="AC2" s="378"/>
      <c r="AD2" s="379"/>
      <c r="AE2" s="380"/>
      <c r="AF2" s="378"/>
      <c r="AG2" s="378"/>
      <c r="AH2" s="745" t="str">
        <f>'Translate &amp; Prices'!$B$520</f>
        <v>Úvod</v>
      </c>
      <c r="AI2" s="746"/>
      <c r="AJ2" s="746"/>
      <c r="AK2" s="746"/>
    </row>
    <row r="3" spans="1:37" ht="11.4" customHeight="1" x14ac:dyDescent="0.3">
      <c r="A3" s="440"/>
      <c r="B3" s="440"/>
      <c r="C3" s="440"/>
      <c r="D3" s="440"/>
      <c r="E3" s="440"/>
      <c r="F3" s="440"/>
      <c r="G3" s="440"/>
      <c r="H3" s="440"/>
      <c r="I3" s="440"/>
      <c r="J3" s="440"/>
      <c r="K3" s="440"/>
      <c r="L3" s="440"/>
      <c r="M3" s="440"/>
      <c r="N3" s="440"/>
      <c r="O3" s="440"/>
      <c r="P3" s="932"/>
      <c r="Q3" s="932"/>
      <c r="R3" s="932"/>
      <c r="S3" s="932"/>
      <c r="T3" s="932"/>
      <c r="U3" s="932"/>
      <c r="V3" s="932"/>
      <c r="W3" s="932"/>
      <c r="X3" s="932"/>
      <c r="Y3" s="932"/>
      <c r="Z3" s="932"/>
      <c r="AA3" s="932"/>
      <c r="AB3" s="932"/>
      <c r="AC3" s="378"/>
      <c r="AD3" s="379"/>
      <c r="AE3" s="380"/>
      <c r="AF3" s="378"/>
      <c r="AG3" s="378"/>
      <c r="AH3" s="745"/>
      <c r="AI3" s="746"/>
      <c r="AJ3" s="746"/>
      <c r="AK3" s="746"/>
    </row>
    <row r="4" spans="1:37" ht="6.6" customHeight="1" x14ac:dyDescent="0.3">
      <c r="A4" s="439"/>
      <c r="B4" s="439"/>
      <c r="C4" s="439"/>
      <c r="D4" s="439"/>
      <c r="E4" s="439"/>
      <c r="F4" s="439"/>
      <c r="G4" s="439"/>
      <c r="P4" s="927"/>
      <c r="Q4" s="927"/>
      <c r="R4" s="927"/>
      <c r="S4" s="927"/>
      <c r="T4" s="927"/>
      <c r="U4" s="927"/>
      <c r="V4" s="927"/>
      <c r="W4" s="927"/>
      <c r="X4" s="927"/>
      <c r="Y4" s="927"/>
      <c r="Z4" s="927"/>
      <c r="AA4" s="927"/>
      <c r="AB4" s="927"/>
      <c r="AC4" s="927"/>
    </row>
    <row r="5" spans="1:37" ht="15" customHeight="1" x14ac:dyDescent="0.3">
      <c r="A5" s="439"/>
      <c r="B5" s="439"/>
      <c r="C5" s="439"/>
      <c r="D5" s="439"/>
      <c r="E5" s="439"/>
      <c r="F5" s="439"/>
      <c r="G5" s="439"/>
      <c r="P5" s="927"/>
      <c r="Q5" s="927"/>
      <c r="R5" s="927"/>
      <c r="S5" s="927"/>
      <c r="T5" s="927"/>
      <c r="U5" s="927"/>
      <c r="V5" s="927"/>
      <c r="W5" s="927"/>
      <c r="X5" s="927"/>
      <c r="Y5" s="927"/>
      <c r="Z5" s="927"/>
      <c r="AA5" s="927"/>
      <c r="AB5" s="927"/>
      <c r="AC5" s="927"/>
    </row>
    <row r="6" spans="1:37" ht="14.4" customHeight="1" x14ac:dyDescent="0.3"/>
    <row r="7" spans="1:37" ht="14.4" customHeight="1" x14ac:dyDescent="0.3">
      <c r="S7" s="931" t="str">
        <f>'Translate &amp; Prices'!$B$255</f>
        <v>Zde jsou uvedeny standardní přesahy dvířek</v>
      </c>
      <c r="T7" s="931"/>
      <c r="U7" s="931"/>
      <c r="V7" s="931"/>
      <c r="W7" s="931"/>
      <c r="X7" s="931"/>
      <c r="Y7" s="931"/>
      <c r="Z7" s="931"/>
      <c r="AA7" s="931"/>
    </row>
    <row r="8" spans="1:37" ht="7.2" customHeight="1" x14ac:dyDescent="0.3"/>
    <row r="9" spans="1:37" x14ac:dyDescent="0.3">
      <c r="C9" s="928" t="str">
        <f>'Translate &amp; Prices'!$B$236</f>
        <v>Číslo objednávky</v>
      </c>
      <c r="D9" s="928"/>
      <c r="E9" s="928"/>
      <c r="F9" s="928"/>
      <c r="G9" s="928"/>
      <c r="H9" s="436"/>
      <c r="I9" s="751"/>
      <c r="J9" s="751"/>
      <c r="K9" s="751"/>
      <c r="L9" s="751"/>
      <c r="M9" s="751"/>
      <c r="N9" s="751"/>
      <c r="S9" s="929" t="s">
        <v>41</v>
      </c>
      <c r="T9" s="929"/>
      <c r="U9" s="437"/>
      <c r="V9" s="930">
        <v>20</v>
      </c>
      <c r="W9" s="930"/>
      <c r="Y9" s="929" t="s">
        <v>715</v>
      </c>
      <c r="Z9" s="929"/>
      <c r="AA9" s="437"/>
      <c r="AB9" s="930">
        <v>48</v>
      </c>
      <c r="AC9" s="930"/>
    </row>
    <row r="10" spans="1:37" ht="6.6" customHeight="1" x14ac:dyDescent="0.3">
      <c r="C10" s="491"/>
      <c r="D10" s="492"/>
      <c r="E10" s="492"/>
      <c r="F10" s="492"/>
      <c r="G10" s="492"/>
      <c r="S10" s="1"/>
      <c r="T10" s="1"/>
      <c r="U10" s="1"/>
      <c r="W10" s="1"/>
      <c r="Y10" s="1"/>
      <c r="Z10" s="1"/>
      <c r="AA10" s="1"/>
      <c r="AB10" s="178"/>
      <c r="AC10" s="1"/>
    </row>
    <row r="11" spans="1:37" x14ac:dyDescent="0.3">
      <c r="C11" s="928" t="str">
        <f>'Translate &amp; Prices'!$B$229</f>
        <v>Zákazník</v>
      </c>
      <c r="D11" s="928"/>
      <c r="E11" s="928"/>
      <c r="F11" s="928"/>
      <c r="G11" s="928"/>
      <c r="H11" s="436"/>
      <c r="I11" s="751"/>
      <c r="J11" s="751"/>
      <c r="K11" s="751"/>
      <c r="L11" s="751"/>
      <c r="M11" s="751"/>
      <c r="N11" s="751"/>
      <c r="S11" s="929" t="s">
        <v>692</v>
      </c>
      <c r="T11" s="929"/>
      <c r="U11" s="437"/>
      <c r="V11" s="930">
        <v>20</v>
      </c>
      <c r="W11" s="930"/>
      <c r="Y11" s="929" t="s">
        <v>712</v>
      </c>
      <c r="Z11" s="929"/>
      <c r="AA11" s="437"/>
      <c r="AB11" s="930">
        <v>48</v>
      </c>
      <c r="AC11" s="930"/>
    </row>
    <row r="12" spans="1:37" ht="6.6" customHeight="1" x14ac:dyDescent="0.3">
      <c r="C12" s="491"/>
      <c r="D12" s="492"/>
      <c r="E12" s="492"/>
      <c r="F12" s="492"/>
      <c r="G12" s="492"/>
      <c r="S12" s="1"/>
      <c r="T12" s="1"/>
      <c r="U12" s="1"/>
      <c r="W12" s="1"/>
      <c r="Y12" s="1"/>
      <c r="Z12" s="1"/>
      <c r="AA12" s="1"/>
      <c r="AB12" s="178"/>
      <c r="AC12" s="1"/>
    </row>
    <row r="13" spans="1:37" x14ac:dyDescent="0.3">
      <c r="C13" s="928" t="str">
        <f>'Translate &amp; Prices'!$B$233</f>
        <v>IČ:</v>
      </c>
      <c r="D13" s="928"/>
      <c r="E13" s="928"/>
      <c r="F13" s="928"/>
      <c r="G13" s="928"/>
      <c r="H13" s="436"/>
      <c r="I13" s="751"/>
      <c r="J13" s="751"/>
      <c r="K13" s="751"/>
      <c r="L13" s="751"/>
      <c r="M13" s="751"/>
      <c r="N13" s="751"/>
      <c r="S13" s="929" t="s">
        <v>713</v>
      </c>
      <c r="T13" s="929"/>
      <c r="U13" s="437"/>
      <c r="V13" s="930">
        <v>48</v>
      </c>
      <c r="W13" s="930"/>
      <c r="Y13" s="929" t="s">
        <v>710</v>
      </c>
      <c r="Z13" s="929"/>
      <c r="AA13" s="437"/>
      <c r="AB13" s="930">
        <v>40</v>
      </c>
      <c r="AC13" s="930"/>
    </row>
    <row r="14" spans="1:37" ht="6.6" customHeight="1" x14ac:dyDescent="0.3">
      <c r="C14" s="491"/>
      <c r="D14" s="492"/>
      <c r="E14" s="492"/>
      <c r="F14" s="492"/>
      <c r="G14" s="492"/>
      <c r="S14" s="1"/>
      <c r="T14" s="1"/>
      <c r="U14" s="1"/>
      <c r="W14" s="1"/>
      <c r="Y14" s="1"/>
      <c r="Z14" s="1"/>
      <c r="AA14" s="1"/>
      <c r="AB14" s="178"/>
      <c r="AC14" s="1"/>
    </row>
    <row r="15" spans="1:37" x14ac:dyDescent="0.3">
      <c r="C15" s="928" t="str">
        <f>'Translate &amp; Prices'!$B$230</f>
        <v>Kontaktní tel.</v>
      </c>
      <c r="D15" s="928"/>
      <c r="E15" s="928"/>
      <c r="F15" s="928"/>
      <c r="G15" s="928"/>
      <c r="H15" s="436"/>
      <c r="I15" s="751"/>
      <c r="J15" s="751"/>
      <c r="K15" s="751"/>
      <c r="L15" s="751"/>
      <c r="M15" s="751"/>
      <c r="N15" s="751"/>
      <c r="S15" s="929" t="s">
        <v>685</v>
      </c>
      <c r="T15" s="929"/>
      <c r="U15" s="437"/>
      <c r="V15" s="930">
        <v>45</v>
      </c>
      <c r="W15" s="930"/>
      <c r="Y15" s="929" t="s">
        <v>709</v>
      </c>
      <c r="Z15" s="929"/>
      <c r="AA15" s="437"/>
      <c r="AB15" s="930">
        <v>40</v>
      </c>
      <c r="AC15" s="930"/>
    </row>
    <row r="16" spans="1:37" ht="6.6" customHeight="1" x14ac:dyDescent="0.3">
      <c r="C16" s="491"/>
      <c r="D16" s="492"/>
      <c r="E16" s="492"/>
      <c r="F16" s="492"/>
      <c r="G16" s="492"/>
      <c r="S16" s="1"/>
      <c r="T16" s="1"/>
      <c r="U16" s="1"/>
      <c r="W16" s="1"/>
      <c r="Y16" s="1"/>
      <c r="Z16" s="1"/>
      <c r="AA16" s="1"/>
      <c r="AB16" s="178"/>
      <c r="AC16" s="1"/>
    </row>
    <row r="17" spans="1:55" x14ac:dyDescent="0.3">
      <c r="C17" s="928" t="str">
        <f>'Translate &amp; Prices'!$B$231</f>
        <v>Kontaktní e-mail</v>
      </c>
      <c r="D17" s="928"/>
      <c r="E17" s="928"/>
      <c r="F17" s="928"/>
      <c r="G17" s="928"/>
      <c r="H17" s="436"/>
      <c r="I17" s="751"/>
      <c r="J17" s="751"/>
      <c r="K17" s="751"/>
      <c r="L17" s="751"/>
      <c r="M17" s="751"/>
      <c r="N17" s="751"/>
      <c r="S17" s="929" t="s">
        <v>714</v>
      </c>
      <c r="T17" s="929"/>
      <c r="U17" s="437"/>
      <c r="V17" s="930">
        <v>20</v>
      </c>
      <c r="W17" s="930"/>
      <c r="Y17" s="929" t="s">
        <v>716</v>
      </c>
      <c r="Z17" s="929"/>
      <c r="AA17" s="437"/>
      <c r="AB17" s="930">
        <v>40</v>
      </c>
      <c r="AC17" s="930"/>
    </row>
    <row r="18" spans="1:55" ht="6.6" customHeight="1" x14ac:dyDescent="0.3">
      <c r="C18" s="491"/>
      <c r="D18" s="492"/>
      <c r="E18" s="492"/>
      <c r="F18" s="492"/>
      <c r="G18" s="492"/>
      <c r="S18" s="1"/>
      <c r="T18" s="1"/>
      <c r="U18" s="1"/>
      <c r="W18" s="1"/>
      <c r="Z18" s="178"/>
    </row>
    <row r="19" spans="1:55" ht="14.4" customHeight="1" x14ac:dyDescent="0.3">
      <c r="C19" s="928" t="str">
        <f>'Translate &amp; Prices'!$B$232</f>
        <v>Adresa provozovny</v>
      </c>
      <c r="D19" s="928"/>
      <c r="E19" s="928"/>
      <c r="F19" s="928"/>
      <c r="G19" s="928"/>
      <c r="H19" s="436"/>
      <c r="I19" s="751"/>
      <c r="J19" s="751"/>
      <c r="K19" s="751"/>
      <c r="L19" s="751"/>
      <c r="M19" s="751"/>
      <c r="N19" s="751"/>
      <c r="S19" s="929" t="s">
        <v>706</v>
      </c>
      <c r="T19" s="929"/>
      <c r="U19" s="437"/>
      <c r="V19" s="930" t="s">
        <v>412</v>
      </c>
      <c r="W19" s="930"/>
      <c r="Z19" s="178"/>
      <c r="AB19" s="1"/>
    </row>
    <row r="20" spans="1:55" s="489" customFormat="1" ht="14.4" customHeight="1" x14ac:dyDescent="0.3">
      <c r="A20" s="425"/>
      <c r="B20" s="425"/>
      <c r="C20" s="483"/>
      <c r="D20" s="483"/>
      <c r="E20" s="483"/>
      <c r="F20" s="483"/>
      <c r="G20" s="483"/>
      <c r="H20" s="425"/>
      <c r="I20" s="484"/>
      <c r="J20" s="484"/>
      <c r="K20" s="484"/>
      <c r="L20" s="484"/>
      <c r="M20" s="484"/>
      <c r="N20" s="484"/>
      <c r="O20" s="425"/>
      <c r="P20" s="425"/>
      <c r="Q20" s="425"/>
      <c r="R20" s="548"/>
      <c r="S20" s="485"/>
      <c r="T20" s="485"/>
      <c r="U20" s="425"/>
      <c r="V20" s="486"/>
      <c r="W20" s="486"/>
      <c r="X20" s="425"/>
      <c r="Y20" s="425"/>
      <c r="Z20" s="425"/>
      <c r="AA20" s="425"/>
      <c r="AC20" s="425"/>
      <c r="AD20" s="487"/>
      <c r="AE20" s="488"/>
      <c r="AF20" s="425"/>
      <c r="AG20" s="425"/>
      <c r="AH20" s="425"/>
      <c r="AI20" s="425"/>
      <c r="AJ20" s="425"/>
      <c r="AK20" s="425"/>
      <c r="AL20" s="425"/>
      <c r="AM20" s="425"/>
      <c r="AN20" s="425"/>
      <c r="AO20" s="425"/>
      <c r="AP20" s="425"/>
      <c r="AQ20" s="425"/>
      <c r="AR20" s="425"/>
      <c r="AS20" s="425"/>
      <c r="AT20" s="425"/>
      <c r="AU20" s="490"/>
      <c r="AV20" s="490"/>
      <c r="AW20" s="425"/>
      <c r="AX20" s="425"/>
      <c r="AY20" s="425"/>
      <c r="AZ20" s="425"/>
      <c r="BA20" s="425"/>
      <c r="BB20" s="425"/>
      <c r="BC20" s="425"/>
    </row>
    <row r="21" spans="1:55" ht="14.4" customHeight="1" x14ac:dyDescent="0.3">
      <c r="R21" s="547"/>
      <c r="S21" s="1"/>
      <c r="T21" s="1"/>
      <c r="U21" s="1"/>
      <c r="V21" s="1"/>
      <c r="W21" s="1"/>
      <c r="X21" s="1"/>
      <c r="Y21" s="1"/>
      <c r="Z21" s="1"/>
      <c r="AA21" s="1"/>
      <c r="AB21" s="1"/>
    </row>
    <row r="22" spans="1:55" ht="14.4" customHeight="1" x14ac:dyDescent="0.3">
      <c r="R22" s="547"/>
      <c r="S22" s="944" t="str">
        <f>'Translate &amp; Prices'!$B$205</f>
        <v>Dodat včetně uvedeného kování</v>
      </c>
      <c r="T22" s="944"/>
      <c r="U22" s="944"/>
      <c r="V22" s="944"/>
      <c r="W22" s="944"/>
      <c r="X22" s="944"/>
      <c r="Y22" s="944"/>
      <c r="Z22" s="944"/>
      <c r="AA22" s="944"/>
      <c r="AB22" s="944"/>
      <c r="AC22" s="939" t="str">
        <f>'Translate &amp; Prices'!$B$306</f>
        <v>Množství (ks)</v>
      </c>
      <c r="AD22" s="939"/>
      <c r="AE22" s="939"/>
      <c r="AF22" s="425"/>
      <c r="AG22" s="939" t="str">
        <f>'Translate &amp; Prices'!$B$305</f>
        <v>Jiný požadavek (ks)</v>
      </c>
      <c r="AH22" s="939"/>
      <c r="AI22" s="939"/>
      <c r="AJ22" s="939"/>
      <c r="AQ22" s="547" t="b">
        <v>1</v>
      </c>
    </row>
    <row r="23" spans="1:55" ht="6" customHeight="1" thickBot="1" x14ac:dyDescent="0.35">
      <c r="R23" s="422">
        <f>IF(AQ22=TRUE,1,0)</f>
        <v>1</v>
      </c>
    </row>
    <row r="24" spans="1:55" ht="14.4" customHeight="1" x14ac:dyDescent="0.3">
      <c r="D24" s="1"/>
      <c r="E24" s="936" t="str">
        <f>"1."&amp;" "&amp;'Translate &amp; Prices'!$B$149</f>
        <v>1. Rámeček</v>
      </c>
      <c r="F24" s="937"/>
      <c r="G24" s="938"/>
      <c r="H24" s="1"/>
      <c r="I24" s="936" t="str">
        <f>"2."&amp;" "&amp;'Translate &amp; Prices'!$B$149</f>
        <v>2. Rámeček</v>
      </c>
      <c r="J24" s="937"/>
      <c r="K24" s="938"/>
      <c r="L24" s="1"/>
      <c r="M24" s="936" t="str">
        <f>"3."&amp;" "&amp;'Translate &amp; Prices'!$B$149</f>
        <v>3. Rámeček</v>
      </c>
      <c r="N24" s="937"/>
      <c r="O24" s="938"/>
      <c r="R24" s="547"/>
      <c r="S24" s="943" t="str">
        <f>'Translate &amp; Prices'!$B$297</f>
        <v>Sada kování na úzký rámeček H27AL (88630)</v>
      </c>
      <c r="T24" s="943"/>
      <c r="U24" s="943"/>
      <c r="V24" s="943"/>
      <c r="W24" s="943"/>
      <c r="X24" s="943"/>
      <c r="Y24" s="943"/>
      <c r="Z24" s="943"/>
      <c r="AA24" s="943"/>
      <c r="AB24" s="437"/>
      <c r="AC24" s="945">
        <f>IFERROR(IF(O42&gt;=1,IF(R23=1,IF(AK25&gt;=1,AG24,O42),0),0),0)</f>
        <v>0</v>
      </c>
      <c r="AD24" s="945"/>
      <c r="AE24" s="945"/>
      <c r="AF24" s="467" t="s">
        <v>2460</v>
      </c>
      <c r="AG24" s="904"/>
      <c r="AH24" s="904"/>
      <c r="AI24" s="904"/>
      <c r="AJ24" s="904"/>
      <c r="AK24" s="425"/>
    </row>
    <row r="25" spans="1:55" ht="14.4" customHeight="1" x14ac:dyDescent="0.3">
      <c r="E25" s="451"/>
      <c r="F25" s="4"/>
      <c r="G25" s="452"/>
      <c r="H25" s="1"/>
      <c r="I25" s="451"/>
      <c r="J25" s="4"/>
      <c r="K25" s="452"/>
      <c r="L25" s="1"/>
      <c r="M25" s="451"/>
      <c r="N25" s="4"/>
      <c r="O25" s="456"/>
      <c r="R25" s="547"/>
      <c r="S25" s="491"/>
      <c r="T25" s="491"/>
      <c r="U25" s="491"/>
      <c r="V25" s="491"/>
      <c r="W25" s="491"/>
      <c r="X25" s="491"/>
      <c r="Y25" s="491"/>
      <c r="Z25" s="491"/>
      <c r="AA25" s="491"/>
      <c r="AD25" s="4"/>
      <c r="AK25" s="424">
        <f>AG24</f>
        <v>0</v>
      </c>
    </row>
    <row r="26" spans="1:55" ht="14.4" customHeight="1" x14ac:dyDescent="0.3">
      <c r="B26" s="903" t="str">
        <f>'Translate &amp; Prices'!$B$156</f>
        <v>Výška</v>
      </c>
      <c r="C26" s="903"/>
      <c r="D26" s="437"/>
      <c r="E26" s="933"/>
      <c r="F26" s="934"/>
      <c r="G26" s="935"/>
      <c r="H26" s="437"/>
      <c r="I26" s="933"/>
      <c r="J26" s="934"/>
      <c r="K26" s="935"/>
      <c r="L26" s="437"/>
      <c r="M26" s="933"/>
      <c r="N26" s="934"/>
      <c r="O26" s="935"/>
      <c r="R26" s="547"/>
      <c r="S26" s="943" t="str">
        <f>'Translate &amp; Prices'!$B$298</f>
        <v>Sada kování na široký rámeček H37AL (88631)</v>
      </c>
      <c r="T26" s="943"/>
      <c r="U26" s="943"/>
      <c r="V26" s="943"/>
      <c r="W26" s="943"/>
      <c r="X26" s="943"/>
      <c r="Y26" s="943"/>
      <c r="Z26" s="943"/>
      <c r="AA26" s="943"/>
      <c r="AB26" s="437"/>
      <c r="AC26" s="945">
        <f>IFERROR(IF(O41&gt;=1,IF(R23=1,IF(AK27&gt;=1,AG26,O41),0),0),0)</f>
        <v>0</v>
      </c>
      <c r="AD26" s="945"/>
      <c r="AE26" s="945"/>
      <c r="AF26" s="467" t="s">
        <v>2460</v>
      </c>
      <c r="AG26" s="904"/>
      <c r="AH26" s="904"/>
      <c r="AI26" s="904"/>
      <c r="AJ26" s="904"/>
      <c r="AK26" s="424"/>
    </row>
    <row r="27" spans="1:55" ht="14.4" customHeight="1" x14ac:dyDescent="0.3">
      <c r="B27" s="302"/>
      <c r="C27" s="302"/>
      <c r="E27" s="451"/>
      <c r="F27" s="4"/>
      <c r="G27" s="452"/>
      <c r="H27" s="1"/>
      <c r="I27" s="451"/>
      <c r="J27" s="4"/>
      <c r="K27" s="452"/>
      <c r="L27" s="1"/>
      <c r="M27" s="451"/>
      <c r="N27" s="4"/>
      <c r="O27" s="456"/>
      <c r="S27" s="491"/>
      <c r="T27" s="491"/>
      <c r="U27" s="491"/>
      <c r="V27" s="491"/>
      <c r="W27" s="491"/>
      <c r="X27" s="491"/>
      <c r="Y27" s="491"/>
      <c r="Z27" s="491"/>
      <c r="AA27" s="491"/>
      <c r="AD27" s="4"/>
      <c r="AK27" s="424">
        <f>AG26</f>
        <v>0</v>
      </c>
    </row>
    <row r="28" spans="1:55" ht="14.4" customHeight="1" x14ac:dyDescent="0.3">
      <c r="B28" s="903" t="str">
        <f>'Translate &amp; Prices'!$B$155</f>
        <v xml:space="preserve">Šířka </v>
      </c>
      <c r="C28" s="903"/>
      <c r="D28" s="437"/>
      <c r="E28" s="933"/>
      <c r="F28" s="934"/>
      <c r="G28" s="935"/>
      <c r="H28" s="437"/>
      <c r="I28" s="933"/>
      <c r="J28" s="934"/>
      <c r="K28" s="935"/>
      <c r="L28" s="437"/>
      <c r="M28" s="933"/>
      <c r="N28" s="934"/>
      <c r="O28" s="935"/>
      <c r="S28" s="943" t="str">
        <f>'Translate &amp; Prices'!$B$301</f>
        <v>Horní vedení délka 2 m (87313)</v>
      </c>
      <c r="T28" s="943"/>
      <c r="U28" s="943"/>
      <c r="V28" s="943"/>
      <c r="W28" s="943"/>
      <c r="X28" s="943"/>
      <c r="Y28" s="943"/>
      <c r="Z28" s="943"/>
      <c r="AA28" s="943"/>
      <c r="AB28" s="437"/>
      <c r="AC28" s="945">
        <f>IF($R$23=1,IF(AG28&gt;0,AG28,AK29),AK29)</f>
        <v>0</v>
      </c>
      <c r="AD28" s="945">
        <f>IF('Posuvné rámečky'!$M$23=1,IF(AI28=0,'Posuvné rámečky'!M26,0),0)</f>
        <v>0</v>
      </c>
      <c r="AE28" s="945"/>
      <c r="AF28" s="467" t="s">
        <v>2460</v>
      </c>
      <c r="AG28" s="904"/>
      <c r="AH28" s="904"/>
      <c r="AI28" s="904"/>
      <c r="AJ28" s="904"/>
      <c r="AK28" s="424"/>
    </row>
    <row r="29" spans="1:55" ht="14.4" customHeight="1" x14ac:dyDescent="0.3">
      <c r="B29" s="302"/>
      <c r="C29" s="302"/>
      <c r="E29" s="451"/>
      <c r="F29" s="4"/>
      <c r="G29" s="452"/>
      <c r="H29" s="1"/>
      <c r="I29" s="451"/>
      <c r="J29" s="4"/>
      <c r="K29" s="452"/>
      <c r="L29" s="1"/>
      <c r="M29" s="451"/>
      <c r="N29" s="4"/>
      <c r="O29" s="456"/>
      <c r="S29" s="491"/>
      <c r="T29" s="491"/>
      <c r="U29" s="491"/>
      <c r="V29" s="491"/>
      <c r="W29" s="491"/>
      <c r="X29" s="491"/>
      <c r="Y29" s="491"/>
      <c r="Z29" s="491"/>
      <c r="AA29" s="491"/>
      <c r="AD29" s="4"/>
      <c r="AK29" s="424">
        <f>SUM(AC43,AE43)</f>
        <v>0</v>
      </c>
    </row>
    <row r="30" spans="1:55" x14ac:dyDescent="0.3">
      <c r="B30" s="903" t="str">
        <f>'Translate &amp; Prices'!$B$154</f>
        <v>Počet kusů</v>
      </c>
      <c r="C30" s="903"/>
      <c r="D30" s="437"/>
      <c r="E30" s="933"/>
      <c r="F30" s="934"/>
      <c r="G30" s="935"/>
      <c r="H30" s="437"/>
      <c r="I30" s="933"/>
      <c r="J30" s="934"/>
      <c r="K30" s="935"/>
      <c r="L30" s="437"/>
      <c r="M30" s="933"/>
      <c r="N30" s="934"/>
      <c r="O30" s="935"/>
      <c r="S30" s="943" t="str">
        <f>'Translate &amp; Prices'!$B$302</f>
        <v>Spodní vedení délka 2 m (87315)</v>
      </c>
      <c r="T30" s="943"/>
      <c r="U30" s="943"/>
      <c r="V30" s="943"/>
      <c r="W30" s="943"/>
      <c r="X30" s="943"/>
      <c r="Y30" s="943"/>
      <c r="Z30" s="943"/>
      <c r="AA30" s="943"/>
      <c r="AB30" s="437"/>
      <c r="AC30" s="945">
        <f>IF($R$23=1,IF(AG30&gt;0,AG30,AK31),AK31)</f>
        <v>0</v>
      </c>
      <c r="AD30" s="945">
        <f>IF('Posuvné rámečky'!$M$23=1,IF(AI30=0,'Posuvné rámečky'!M27,0),0)</f>
        <v>0</v>
      </c>
      <c r="AE30" s="945"/>
      <c r="AF30" s="467" t="s">
        <v>2460</v>
      </c>
      <c r="AG30" s="904"/>
      <c r="AH30" s="904"/>
      <c r="AI30" s="904"/>
      <c r="AJ30" s="904"/>
      <c r="AK30" s="424"/>
    </row>
    <row r="31" spans="1:55" ht="14.4" customHeight="1" x14ac:dyDescent="0.3">
      <c r="B31" s="302"/>
      <c r="C31" s="302"/>
      <c r="E31" s="451"/>
      <c r="F31" s="4"/>
      <c r="G31" s="452"/>
      <c r="H31" s="1"/>
      <c r="I31" s="451"/>
      <c r="J31" s="4"/>
      <c r="K31" s="452"/>
      <c r="L31" s="1"/>
      <c r="M31" s="451"/>
      <c r="N31" s="4"/>
      <c r="O31" s="456"/>
      <c r="S31" s="491"/>
      <c r="T31" s="491"/>
      <c r="U31" s="491"/>
      <c r="V31" s="491"/>
      <c r="W31" s="491"/>
      <c r="X31" s="491"/>
      <c r="Y31" s="491"/>
      <c r="Z31" s="491"/>
      <c r="AA31" s="491"/>
      <c r="AD31" s="4"/>
      <c r="AK31" s="424">
        <f>SUM(AC43,AE43)</f>
        <v>0</v>
      </c>
    </row>
    <row r="32" spans="1:55" ht="14.4" customHeight="1" x14ac:dyDescent="0.3">
      <c r="B32" s="903" t="str">
        <f>'Translate &amp; Prices'!$B$157</f>
        <v>Poznámky</v>
      </c>
      <c r="C32" s="903"/>
      <c r="D32" s="437"/>
      <c r="E32" s="940"/>
      <c r="F32" s="941"/>
      <c r="G32" s="942"/>
      <c r="H32" s="437"/>
      <c r="I32" s="940"/>
      <c r="J32" s="941"/>
      <c r="K32" s="942"/>
      <c r="L32" s="437"/>
      <c r="M32" s="940"/>
      <c r="N32" s="941"/>
      <c r="O32" s="942"/>
      <c r="S32" s="943" t="str">
        <f>'Translate &amp; Prices'!$B$303</f>
        <v>Horní vedení délka 3 m (87312)</v>
      </c>
      <c r="T32" s="943"/>
      <c r="U32" s="943"/>
      <c r="V32" s="943"/>
      <c r="W32" s="943"/>
      <c r="X32" s="943"/>
      <c r="Y32" s="943"/>
      <c r="Z32" s="943"/>
      <c r="AA32" s="943"/>
      <c r="AB32" s="437"/>
      <c r="AC32" s="945">
        <f>IF($R$23=1,IF(AG32&gt;0,AG32,AK33),AK33)</f>
        <v>0</v>
      </c>
      <c r="AD32" s="945">
        <f>IF('Posuvné rámečky'!$M$23=1,IF(AI32=0,'Posuvné rámečky'!M28,0),0)</f>
        <v>0</v>
      </c>
      <c r="AE32" s="945"/>
      <c r="AF32" s="467" t="s">
        <v>2460</v>
      </c>
      <c r="AG32" s="904"/>
      <c r="AH32" s="904"/>
      <c r="AI32" s="904"/>
      <c r="AJ32" s="904"/>
      <c r="AK32" s="424"/>
    </row>
    <row r="33" spans="2:37" ht="14.4" customHeight="1" x14ac:dyDescent="0.3">
      <c r="B33" s="302"/>
      <c r="C33" s="302"/>
      <c r="E33" s="933"/>
      <c r="F33" s="934"/>
      <c r="G33" s="935"/>
      <c r="H33" s="1"/>
      <c r="I33" s="933"/>
      <c r="J33" s="934"/>
      <c r="K33" s="935"/>
      <c r="L33" s="1"/>
      <c r="M33" s="933"/>
      <c r="N33" s="934"/>
      <c r="O33" s="935"/>
      <c r="S33" s="491"/>
      <c r="T33" s="491"/>
      <c r="U33" s="491"/>
      <c r="V33" s="491"/>
      <c r="W33" s="491"/>
      <c r="X33" s="491"/>
      <c r="Y33" s="491"/>
      <c r="Z33" s="491"/>
      <c r="AA33" s="491"/>
      <c r="AD33" s="4"/>
      <c r="AK33" s="424">
        <f>SUM(AD43,AF43)</f>
        <v>0</v>
      </c>
    </row>
    <row r="34" spans="2:37" ht="14.4" customHeight="1" x14ac:dyDescent="0.3">
      <c r="B34" s="302"/>
      <c r="C34" s="302"/>
      <c r="E34" s="451"/>
      <c r="F34" s="4"/>
      <c r="G34" s="452"/>
      <c r="I34" s="451"/>
      <c r="J34" s="4"/>
      <c r="K34" s="452"/>
      <c r="M34" s="451"/>
      <c r="N34" s="4"/>
      <c r="O34" s="452"/>
      <c r="S34" s="943" t="str">
        <f>'Translate &amp; Prices'!$B$304</f>
        <v>Spodní vedení délka 3 m (87314)</v>
      </c>
      <c r="T34" s="943"/>
      <c r="U34" s="943"/>
      <c r="V34" s="943"/>
      <c r="W34" s="943"/>
      <c r="X34" s="943"/>
      <c r="Y34" s="943"/>
      <c r="Z34" s="943"/>
      <c r="AA34" s="943"/>
      <c r="AB34" s="437"/>
      <c r="AC34" s="945">
        <f>IF($R$23=1,IF(AG34&gt;0,AG34,AK35),AK35)</f>
        <v>0</v>
      </c>
      <c r="AD34" s="945">
        <f>IF('Posuvné rámečky'!$M$23=1,IF(AI34=0,'Posuvné rámečky'!M29,0),0)</f>
        <v>0</v>
      </c>
      <c r="AE34" s="945"/>
      <c r="AF34" s="467" t="s">
        <v>2460</v>
      </c>
      <c r="AG34" s="904"/>
      <c r="AH34" s="904"/>
      <c r="AI34" s="904"/>
      <c r="AJ34" s="904"/>
      <c r="AK34" s="424"/>
    </row>
    <row r="35" spans="2:37" ht="14.4" customHeight="1" x14ac:dyDescent="0.3">
      <c r="B35" s="903" t="str">
        <f>'Translate &amp; Prices'!$B$152</f>
        <v>Typ profilu</v>
      </c>
      <c r="C35" s="903"/>
      <c r="D35" s="437"/>
      <c r="E35" s="933"/>
      <c r="F35" s="934"/>
      <c r="G35" s="935"/>
      <c r="H35" s="437"/>
      <c r="I35" s="933"/>
      <c r="J35" s="934"/>
      <c r="K35" s="935"/>
      <c r="L35" s="437"/>
      <c r="M35" s="933"/>
      <c r="N35" s="934"/>
      <c r="O35" s="935"/>
      <c r="S35" s="1"/>
      <c r="T35" s="1"/>
      <c r="U35" s="1"/>
      <c r="V35" s="1"/>
      <c r="W35" s="1"/>
      <c r="X35" s="1"/>
      <c r="Y35" s="1"/>
      <c r="Z35" s="1"/>
      <c r="AA35" s="1"/>
      <c r="AB35" s="1"/>
      <c r="AC35" s="1"/>
      <c r="AD35" s="1"/>
      <c r="AE35" s="1"/>
      <c r="AF35" s="1"/>
      <c r="AG35" s="1"/>
      <c r="AH35" s="1"/>
      <c r="AI35" s="1"/>
      <c r="AJ35" s="1"/>
      <c r="AK35" s="424">
        <f>SUM(AD43,AF43)</f>
        <v>0</v>
      </c>
    </row>
    <row r="36" spans="2:37" ht="14.4" customHeight="1" x14ac:dyDescent="0.3">
      <c r="B36" s="302"/>
      <c r="C36" s="302"/>
      <c r="E36" s="451"/>
      <c r="F36" s="4"/>
      <c r="G36" s="452"/>
      <c r="H36" s="1"/>
      <c r="I36" s="451"/>
      <c r="J36" s="4"/>
      <c r="K36" s="452"/>
      <c r="L36" s="1"/>
      <c r="M36" s="451"/>
      <c r="N36" s="4"/>
      <c r="O36" s="456"/>
      <c r="S36" s="4"/>
      <c r="T36" s="4"/>
      <c r="U36" s="4"/>
      <c r="V36" s="4"/>
      <c r="W36" s="4"/>
      <c r="X36" s="4"/>
      <c r="Y36" s="4"/>
      <c r="AD36" s="4"/>
    </row>
    <row r="37" spans="2:37" ht="14.4" customHeight="1" x14ac:dyDescent="0.3">
      <c r="B37" s="903" t="str">
        <f>'Translate &amp; Prices'!$B$153</f>
        <v>Typ skla</v>
      </c>
      <c r="C37" s="903"/>
      <c r="D37" s="437"/>
      <c r="E37" s="933"/>
      <c r="F37" s="934"/>
      <c r="G37" s="935"/>
      <c r="H37" s="437"/>
      <c r="I37" s="933"/>
      <c r="J37" s="934"/>
      <c r="K37" s="935"/>
      <c r="L37" s="437"/>
      <c r="M37" s="933"/>
      <c r="N37" s="934"/>
      <c r="O37" s="935"/>
      <c r="AD37" s="466"/>
      <c r="AE37" s="5"/>
    </row>
    <row r="38" spans="2:37" ht="14.4" customHeight="1" thickBot="1" x14ac:dyDescent="0.35">
      <c r="E38" s="453"/>
      <c r="F38" s="454"/>
      <c r="G38" s="455"/>
      <c r="H38" s="1"/>
      <c r="I38" s="453"/>
      <c r="J38" s="454"/>
      <c r="K38" s="455"/>
      <c r="L38" s="1"/>
      <c r="M38" s="453"/>
      <c r="N38" s="454"/>
      <c r="O38" s="457"/>
      <c r="AD38" s="466"/>
      <c r="AE38" s="5"/>
    </row>
    <row r="39" spans="2:37" ht="15" hidden="1" customHeight="1" thickBot="1" x14ac:dyDescent="0.35">
      <c r="D39" s="444" t="s">
        <v>2459</v>
      </c>
      <c r="E39" s="444" t="e">
        <f>VLOOKUP(E35,kombinace_posuv!$A:$C,3,0)</f>
        <v>#N/A</v>
      </c>
      <c r="F39" s="425">
        <v>1</v>
      </c>
      <c r="G39" s="425" t="e">
        <f>CONCATENATE(D39,E39,F39)</f>
        <v>#N/A</v>
      </c>
      <c r="H39" s="444" t="s">
        <v>2459</v>
      </c>
      <c r="I39" s="444" t="e">
        <f>VLOOKUP(I35,kombinace_posuv!$A:$C,3,0)</f>
        <v>#N/A</v>
      </c>
      <c r="J39" s="425">
        <v>1</v>
      </c>
      <c r="K39" s="425" t="e">
        <f>CONCATENATE(H39,I39,J39)</f>
        <v>#N/A</v>
      </c>
      <c r="L39" s="444" t="s">
        <v>2459</v>
      </c>
      <c r="M39" s="444" t="e">
        <f>VLOOKUP(M35,kombinace_posuv!$A:$C,3,0)</f>
        <v>#N/A</v>
      </c>
      <c r="N39" s="425">
        <v>1</v>
      </c>
      <c r="O39" s="425" t="e">
        <f>CONCATENATE(L39,M39,N39)</f>
        <v>#N/A</v>
      </c>
      <c r="V39" s="444"/>
      <c r="W39" s="444"/>
      <c r="X39" s="1"/>
      <c r="Y39" s="1"/>
      <c r="Z39" s="1"/>
      <c r="AA39" s="1"/>
      <c r="AB39" s="425"/>
      <c r="AC39" s="469" t="s">
        <v>846</v>
      </c>
      <c r="AD39" s="469" t="s">
        <v>847</v>
      </c>
      <c r="AE39" s="469" t="s">
        <v>848</v>
      </c>
      <c r="AF39" s="469" t="s">
        <v>849</v>
      </c>
      <c r="AG39" s="468"/>
      <c r="AH39" s="468"/>
    </row>
    <row r="40" spans="2:37" ht="14.4" hidden="1" customHeight="1" thickBot="1" x14ac:dyDescent="0.35">
      <c r="C40" s="470" t="s">
        <v>843</v>
      </c>
      <c r="D40" s="471"/>
      <c r="E40" s="472" t="e">
        <f>VLOOKUP(E35,kombinace_posuv!$A:$B,2,0)</f>
        <v>#N/A</v>
      </c>
      <c r="F40" s="472"/>
      <c r="G40" s="472"/>
      <c r="H40" s="472"/>
      <c r="I40" s="472" t="e">
        <f>VLOOKUP(I35,kombinace_posuv!$A:$B,2,0)</f>
        <v>#N/A</v>
      </c>
      <c r="J40" s="472"/>
      <c r="K40" s="472"/>
      <c r="L40" s="472"/>
      <c r="M40" s="472" t="e">
        <f>VLOOKUP(M35,kombinace_posuv!$A:$B,2,0)</f>
        <v>#N/A</v>
      </c>
      <c r="N40" s="472"/>
      <c r="O40" s="473"/>
      <c r="V40" s="444"/>
      <c r="W40" s="444"/>
      <c r="X40" s="1"/>
      <c r="Y40" s="1"/>
      <c r="Z40" s="1"/>
      <c r="AA40" s="1"/>
      <c r="AB40" s="425"/>
      <c r="AC40" s="444">
        <f>IF(E28=0,0,IF((E28*2)&lt;=2000,1,0))</f>
        <v>0</v>
      </c>
      <c r="AD40" s="444">
        <f>IF(E28=0,0,IF((E28*2)&lt;=2000,0,IF((E28*2)&gt;2000,IF((E28*2)&lt;=3000,1,0))))</f>
        <v>0</v>
      </c>
      <c r="AE40" s="444">
        <f>2*(IF(E28=0,0,IF(E28&lt;1501,0,IF(E28&gt;2000,0,IF(E28&lt;=2000,1,0)))))</f>
        <v>0</v>
      </c>
      <c r="AF40" s="444">
        <f>2*(IF(E28=0,0,IF(E28&lt;2001,0,IF(E28&gt;3000,0,IF(E28&lt;=3000,1,0)))))</f>
        <v>0</v>
      </c>
      <c r="AG40" s="425"/>
      <c r="AH40" s="425"/>
    </row>
    <row r="41" spans="2:37" ht="14.4" hidden="1" customHeight="1" x14ac:dyDescent="0.3">
      <c r="C41" s="4" t="s">
        <v>2461</v>
      </c>
      <c r="D41" s="4"/>
      <c r="E41" s="4" t="e">
        <f>IF(E40=2,E30,0)</f>
        <v>#N/A</v>
      </c>
      <c r="F41" s="4"/>
      <c r="G41" s="4"/>
      <c r="H41" s="4"/>
      <c r="I41" s="4">
        <f>IFERROR(IF(I40=2,I30,0),0)</f>
        <v>0</v>
      </c>
      <c r="J41" s="4"/>
      <c r="K41" s="4"/>
      <c r="L41" s="4"/>
      <c r="M41" s="4">
        <f>IFERROR(IF(M40=2,M30,0),0)</f>
        <v>0</v>
      </c>
      <c r="N41" s="4"/>
      <c r="O41" s="61" t="e">
        <f>SUM(E41,I41,M41)</f>
        <v>#N/A</v>
      </c>
      <c r="V41" s="444"/>
      <c r="W41" s="444"/>
      <c r="X41" s="444"/>
      <c r="Y41" s="444"/>
      <c r="Z41" s="425"/>
      <c r="AA41" s="425"/>
      <c r="AB41" s="425"/>
      <c r="AC41" s="444">
        <f>IF(I28=0,0,IF((I28*2)&lt;=2000,1,0))</f>
        <v>0</v>
      </c>
      <c r="AD41" s="444">
        <f>IF(I28=0,0,IF((I28*2)&lt;=2000,0,IF((I28*2)&gt;2000,IF((I28*2)&lt;=3000,1,0))))</f>
        <v>0</v>
      </c>
      <c r="AE41" s="444">
        <f>2*(IF(I28=0,0,IF(I28&lt;1501,0,IF(I28&gt;2000,0,IF(I28&lt;=2000,1,0)))))</f>
        <v>0</v>
      </c>
      <c r="AF41" s="444">
        <f>2*(IF(I28=0,0,IF(I28&lt;2001,0,IF(I28&gt;3000,0,IF(I28&lt;=3000,1,0)))))</f>
        <v>0</v>
      </c>
      <c r="AG41" s="425"/>
      <c r="AH41" s="425"/>
    </row>
    <row r="42" spans="2:37" ht="14.4" hidden="1" customHeight="1" thickBot="1" x14ac:dyDescent="0.35">
      <c r="C42" s="4" t="s">
        <v>2462</v>
      </c>
      <c r="E42" s="178" t="e">
        <f>IF(E40=1,E30,0)</f>
        <v>#N/A</v>
      </c>
      <c r="I42" s="178">
        <f>IFERROR(IF(I40=1,I30,0),0)</f>
        <v>0</v>
      </c>
      <c r="M42" s="178">
        <f>IFERROR(IF(M40=1,M30,0),0)</f>
        <v>0</v>
      </c>
      <c r="O42" s="66" t="e">
        <f>SUM(E42,I42,M42)</f>
        <v>#N/A</v>
      </c>
      <c r="W42" s="444"/>
      <c r="X42" s="444"/>
      <c r="Y42" s="444"/>
      <c r="Z42" s="425"/>
      <c r="AA42" s="425"/>
      <c r="AB42" s="425"/>
      <c r="AC42" s="444">
        <f>IF(M28=0,0,IF((M28*2)&lt;=2000,1,0))</f>
        <v>0</v>
      </c>
      <c r="AD42" s="444">
        <f>IF(M28=0,0,IF((M28*2)&lt;=2000,0,IF((M28*2)&gt;2000,IF((M28*2)&lt;=3000,1,0))))</f>
        <v>0</v>
      </c>
      <c r="AE42" s="444">
        <f>2*(IF(M28=0,0,IF(M28&lt;1501,0,IF(M28&gt;2000,0,IF(M28&lt;=2000,1,0)))))</f>
        <v>0</v>
      </c>
      <c r="AF42" s="444">
        <f>2*(IF(M28=0,0,IF(M28&lt;2001,0,IF(M28&gt;3000,0,IF(M28&lt;=3000,1,0)))))</f>
        <v>0</v>
      </c>
      <c r="AG42" s="425"/>
      <c r="AH42" s="425"/>
    </row>
    <row r="43" spans="2:37" ht="14.4" hidden="1" customHeight="1" x14ac:dyDescent="0.3">
      <c r="W43" s="444"/>
      <c r="X43" s="444"/>
      <c r="Y43" s="444"/>
      <c r="Z43" s="425"/>
      <c r="AA43" s="425"/>
      <c r="AB43" s="425"/>
      <c r="AC43" s="444">
        <f>SUM(AC40:AC42)</f>
        <v>0</v>
      </c>
      <c r="AD43" s="444">
        <f>SUM(AD40:AD42)</f>
        <v>0</v>
      </c>
      <c r="AE43" s="444">
        <f>SUM(AE40:AE42)</f>
        <v>0</v>
      </c>
      <c r="AF43" s="444">
        <f>SUM(AF40:AF42)</f>
        <v>0</v>
      </c>
      <c r="AG43" s="425"/>
      <c r="AH43" s="425"/>
    </row>
    <row r="44" spans="2:37" ht="14.4" hidden="1" customHeight="1" x14ac:dyDescent="0.3">
      <c r="W44" s="444"/>
      <c r="X44" s="444"/>
      <c r="Y44" s="444"/>
      <c r="Z44" s="425"/>
      <c r="AA44" s="425"/>
      <c r="AB44" s="425"/>
      <c r="AC44" s="444"/>
      <c r="AD44" s="444"/>
      <c r="AE44" s="444"/>
      <c r="AF44" s="444"/>
      <c r="AG44" s="425"/>
      <c r="AH44" s="425"/>
    </row>
    <row r="45" spans="2:37" ht="14.4" customHeight="1" x14ac:dyDescent="0.3"/>
    <row r="46" spans="2:37" ht="14.4" customHeight="1" x14ac:dyDescent="0.3">
      <c r="O46" s="481"/>
      <c r="P46" s="481"/>
      <c r="Q46" s="481"/>
      <c r="R46" s="481"/>
      <c r="S46" s="481"/>
      <c r="T46" s="481"/>
      <c r="U46" s="481"/>
      <c r="V46" s="482"/>
    </row>
    <row r="47" spans="2:37" ht="14.4" customHeight="1" x14ac:dyDescent="0.3">
      <c r="K47" s="926" t="str">
        <f>'Translate &amp; Prices'!$B$300</f>
        <v>Standardně jsou rámečky připraveny pro posuvné kování H27AL (nosnost 25 kg na rámeček) a H37AL (nosnost 35 kg na rámeček).</v>
      </c>
      <c r="L47" s="926"/>
      <c r="M47" s="926"/>
      <c r="N47" s="926"/>
      <c r="O47" s="926"/>
      <c r="P47" s="926"/>
      <c r="Q47" s="926"/>
      <c r="R47" s="926"/>
      <c r="S47" s="926"/>
      <c r="T47" s="926"/>
      <c r="U47" s="926"/>
      <c r="V47" s="926"/>
      <c r="W47" s="926"/>
      <c r="X47" s="926"/>
      <c r="Y47" s="926"/>
      <c r="Z47" s="926"/>
      <c r="AA47" s="926"/>
      <c r="AB47" s="926"/>
      <c r="AC47" s="926"/>
      <c r="AD47" s="926"/>
      <c r="AE47" s="926"/>
      <c r="AF47" s="926"/>
      <c r="AG47" s="926"/>
      <c r="AH47" s="926"/>
      <c r="AI47" s="926"/>
    </row>
    <row r="48" spans="2:37" ht="14.4" customHeight="1" x14ac:dyDescent="0.3">
      <c r="K48" s="926" t="str">
        <f>'Translate &amp; Prices'!$B$299</f>
        <v>Výška rámečku je standardně o 6 mm menší, než uvedená vnitřní výška skříňky.</v>
      </c>
      <c r="L48" s="926"/>
      <c r="M48" s="926"/>
      <c r="N48" s="926"/>
      <c r="O48" s="926"/>
      <c r="P48" s="926"/>
      <c r="Q48" s="926"/>
      <c r="R48" s="926"/>
      <c r="S48" s="926"/>
      <c r="T48" s="926"/>
      <c r="U48" s="926"/>
      <c r="V48" s="926"/>
      <c r="W48" s="926"/>
      <c r="X48" s="926"/>
      <c r="Y48" s="926"/>
      <c r="Z48" s="926"/>
      <c r="AA48" s="926"/>
      <c r="AB48" s="926"/>
      <c r="AC48" s="926"/>
      <c r="AD48" s="926"/>
      <c r="AE48" s="926"/>
      <c r="AF48" s="926"/>
      <c r="AG48" s="926"/>
      <c r="AH48" s="926"/>
      <c r="AI48" s="926"/>
    </row>
    <row r="49" spans="11:35 16384:16384" ht="14.4" customHeight="1" x14ac:dyDescent="0.3">
      <c r="K49" s="926" t="str">
        <f>'Translate &amp; Prices'!$B$310</f>
        <v>Cena za posuvné rámečky je shodná jako cena za běžné rámečky.</v>
      </c>
      <c r="L49" s="926"/>
      <c r="M49" s="926"/>
      <c r="N49" s="926"/>
      <c r="O49" s="926"/>
      <c r="P49" s="926"/>
      <c r="Q49" s="926"/>
      <c r="R49" s="926"/>
      <c r="S49" s="926"/>
      <c r="T49" s="926"/>
      <c r="U49" s="926"/>
      <c r="V49" s="926"/>
      <c r="W49" s="926"/>
      <c r="X49" s="926"/>
      <c r="Y49" s="926"/>
      <c r="Z49" s="926"/>
      <c r="AA49" s="926"/>
      <c r="AB49" s="926"/>
      <c r="AC49" s="926"/>
      <c r="AD49" s="926"/>
      <c r="AE49" s="926"/>
      <c r="AF49" s="926"/>
      <c r="AG49" s="926"/>
      <c r="AH49" s="926"/>
      <c r="AI49" s="926"/>
    </row>
    <row r="50" spans="11:35 16384:16384" ht="14.4" customHeight="1" x14ac:dyDescent="0.3">
      <c r="XFD50" s="422" t="b">
        <v>0</v>
      </c>
    </row>
    <row r="51" spans="11:35 16384:16384" ht="14.4" hidden="1" customHeight="1" x14ac:dyDescent="0.3"/>
    <row r="52" spans="11:35 16384:16384" ht="14.4" hidden="1" customHeight="1" x14ac:dyDescent="0.3"/>
    <row r="53" spans="11:35 16384:16384" ht="14.4" hidden="1" customHeight="1" x14ac:dyDescent="0.3"/>
    <row r="54" spans="11:35 16384:16384" ht="14.4" hidden="1" customHeight="1" x14ac:dyDescent="0.3"/>
    <row r="55" spans="11:35 16384:16384" ht="14.4" hidden="1" customHeight="1" x14ac:dyDescent="0.3"/>
    <row r="56" spans="11:35 16384:16384" ht="14.4" hidden="1" customHeight="1" x14ac:dyDescent="0.3"/>
    <row r="57" spans="11:35 16384:16384" ht="14.4" hidden="1" customHeight="1" x14ac:dyDescent="0.3"/>
    <row r="58" spans="11:35 16384:16384" ht="14.4" hidden="1" customHeight="1" x14ac:dyDescent="0.3"/>
    <row r="59" spans="11:35 16384:16384" ht="14.4" hidden="1" customHeight="1" x14ac:dyDescent="0.3"/>
    <row r="60" spans="11:35 16384:16384" ht="14.4" hidden="1" customHeight="1" x14ac:dyDescent="0.3"/>
    <row r="61" spans="11:35 16384:16384" ht="14.4" hidden="1" customHeight="1" x14ac:dyDescent="0.3"/>
    <row r="62" spans="11:35 16384:16384" ht="14.4" hidden="1" customHeight="1" x14ac:dyDescent="0.3"/>
    <row r="63" spans="11:35 16384:16384" ht="14.4" hidden="1" customHeight="1" x14ac:dyDescent="0.3"/>
    <row r="64" spans="11:35 16384:1638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row r="74" ht="14.4" hidden="1" customHeight="1" x14ac:dyDescent="0.3"/>
    <row r="75" ht="14.4" hidden="1" customHeight="1" x14ac:dyDescent="0.3"/>
    <row r="76" ht="14.4" hidden="1" customHeight="1" x14ac:dyDescent="0.3"/>
    <row r="77" ht="14.4" hidden="1" customHeight="1" x14ac:dyDescent="0.3"/>
    <row r="78" ht="14.4" hidden="1" customHeight="1" x14ac:dyDescent="0.3"/>
    <row r="79" ht="14.4" hidden="1" customHeight="1" x14ac:dyDescent="0.3"/>
    <row r="80" ht="14.4" hidden="1" customHeight="1" x14ac:dyDescent="0.3"/>
    <row r="81" ht="14.4" hidden="1" customHeight="1" x14ac:dyDescent="0.3"/>
    <row r="82" ht="14.4" hidden="1" customHeight="1" x14ac:dyDescent="0.3"/>
    <row r="83" ht="14.4" hidden="1" customHeight="1" x14ac:dyDescent="0.3"/>
    <row r="84" ht="14.4" hidden="1" customHeight="1" x14ac:dyDescent="0.3"/>
    <row r="85" ht="14.4" hidden="1" customHeight="1" x14ac:dyDescent="0.3"/>
    <row r="86" ht="14.4" hidden="1" customHeight="1" x14ac:dyDescent="0.3"/>
    <row r="87" ht="14.4" hidden="1" customHeight="1" x14ac:dyDescent="0.3"/>
    <row r="88" ht="14.4" hidden="1" customHeight="1" x14ac:dyDescent="0.3"/>
    <row r="89" ht="14.4" hidden="1" customHeight="1" x14ac:dyDescent="0.3"/>
    <row r="90" ht="14.4" hidden="1" customHeight="1" x14ac:dyDescent="0.3"/>
    <row r="91" ht="14.4" hidden="1" customHeight="1" x14ac:dyDescent="0.3"/>
    <row r="92" ht="14.4" hidden="1" customHeight="1" x14ac:dyDescent="0.3"/>
    <row r="93" ht="14.4" hidden="1" customHeight="1" x14ac:dyDescent="0.3"/>
    <row r="94" ht="14.4" hidden="1" customHeight="1" x14ac:dyDescent="0.3"/>
    <row r="95" ht="14.4" hidden="1" customHeight="1" x14ac:dyDescent="0.3"/>
    <row r="96" ht="14.4" hidden="1" customHeight="1" x14ac:dyDescent="0.3"/>
    <row r="97" ht="14.4" hidden="1" customHeight="1" x14ac:dyDescent="0.3"/>
    <row r="98" ht="14.4" hidden="1" customHeight="1" x14ac:dyDescent="0.3"/>
    <row r="99" ht="14.4" hidden="1" customHeight="1" x14ac:dyDescent="0.3"/>
    <row r="100" ht="14.4" hidden="1" customHeight="1" x14ac:dyDescent="0.3"/>
    <row r="101" ht="14.4" hidden="1" customHeight="1" x14ac:dyDescent="0.3"/>
  </sheetData>
  <sheetProtection algorithmName="SHA-512" hashValue="UTo/S1BLXqcUNyjkBqSd0HqcYRf2jDp3YZRcmqVjyO3XI1HUhRTStQ9qW+TbsyH2JYuwuDODfhKuObn/WP7GtA==" saltValue="+T96KOw1zSQRy5kAIiZAEg==" spinCount="100000" sheet="1" objects="1" scenarios="1" selectLockedCells="1"/>
  <mergeCells count="89">
    <mergeCell ref="K48:AI48"/>
    <mergeCell ref="M35:O35"/>
    <mergeCell ref="E37:G37"/>
    <mergeCell ref="I37:K37"/>
    <mergeCell ref="M37:O37"/>
    <mergeCell ref="E30:G30"/>
    <mergeCell ref="AC28:AE28"/>
    <mergeCell ref="E35:G35"/>
    <mergeCell ref="I35:K35"/>
    <mergeCell ref="K47:AI47"/>
    <mergeCell ref="AG34:AJ34"/>
    <mergeCell ref="S30:AA30"/>
    <mergeCell ref="AC30:AE30"/>
    <mergeCell ref="AG30:AJ30"/>
    <mergeCell ref="S32:AA32"/>
    <mergeCell ref="AC32:AE32"/>
    <mergeCell ref="AG32:AJ32"/>
    <mergeCell ref="S34:AA34"/>
    <mergeCell ref="AC34:AE34"/>
    <mergeCell ref="AC22:AE22"/>
    <mergeCell ref="M26:O26"/>
    <mergeCell ref="E28:G28"/>
    <mergeCell ref="I28:K28"/>
    <mergeCell ref="M28:O28"/>
    <mergeCell ref="S22:AB22"/>
    <mergeCell ref="S24:AA24"/>
    <mergeCell ref="AC24:AE24"/>
    <mergeCell ref="S26:AA26"/>
    <mergeCell ref="AC26:AE26"/>
    <mergeCell ref="AG22:AJ22"/>
    <mergeCell ref="AG24:AJ24"/>
    <mergeCell ref="B37:C37"/>
    <mergeCell ref="B32:C32"/>
    <mergeCell ref="B35:C35"/>
    <mergeCell ref="E32:G33"/>
    <mergeCell ref="I32:K33"/>
    <mergeCell ref="M32:O33"/>
    <mergeCell ref="B28:C28"/>
    <mergeCell ref="B30:C30"/>
    <mergeCell ref="I30:K30"/>
    <mergeCell ref="M30:O30"/>
    <mergeCell ref="B26:C26"/>
    <mergeCell ref="AG26:AJ26"/>
    <mergeCell ref="S28:AA28"/>
    <mergeCell ref="AG28:AJ28"/>
    <mergeCell ref="Y17:Z17"/>
    <mergeCell ref="AB17:AC17"/>
    <mergeCell ref="Y9:Z9"/>
    <mergeCell ref="AB9:AC9"/>
    <mergeCell ref="Y11:Z11"/>
    <mergeCell ref="AB11:AC11"/>
    <mergeCell ref="Y13:Z13"/>
    <mergeCell ref="AB13:AC13"/>
    <mergeCell ref="Y15:Z15"/>
    <mergeCell ref="AB15:AC15"/>
    <mergeCell ref="S19:T19"/>
    <mergeCell ref="V19:W19"/>
    <mergeCell ref="V11:W11"/>
    <mergeCell ref="S13:T13"/>
    <mergeCell ref="V13:W13"/>
    <mergeCell ref="S15:T15"/>
    <mergeCell ref="V15:W15"/>
    <mergeCell ref="S17:T17"/>
    <mergeCell ref="V17:W17"/>
    <mergeCell ref="C19:G19"/>
    <mergeCell ref="E26:G26"/>
    <mergeCell ref="I26:K26"/>
    <mergeCell ref="I15:N15"/>
    <mergeCell ref="I17:N17"/>
    <mergeCell ref="I19:N19"/>
    <mergeCell ref="M24:O24"/>
    <mergeCell ref="I24:K24"/>
    <mergeCell ref="E24:G24"/>
    <mergeCell ref="K49:AI49"/>
    <mergeCell ref="AH2:AK3"/>
    <mergeCell ref="P4:AC5"/>
    <mergeCell ref="C9:G9"/>
    <mergeCell ref="C11:G11"/>
    <mergeCell ref="C13:G13"/>
    <mergeCell ref="I9:N9"/>
    <mergeCell ref="S9:T9"/>
    <mergeCell ref="V9:W9"/>
    <mergeCell ref="S7:AA7"/>
    <mergeCell ref="S11:T11"/>
    <mergeCell ref="I11:N11"/>
    <mergeCell ref="I13:N13"/>
    <mergeCell ref="P2:AB3"/>
    <mergeCell ref="C15:G15"/>
    <mergeCell ref="C17:G17"/>
  </mergeCells>
  <conditionalFormatting sqref="AC24:AE24 AC26:AE26 AC28:AE28 AC30:AE30 AC32:AE32 AC34:AE34">
    <cfRule type="cellIs" dxfId="125" priority="1" operator="equal">
      <formula>0</formula>
    </cfRule>
  </conditionalFormatting>
  <conditionalFormatting sqref="AF24 AF26 AF28 AF30 AF32 AF34">
    <cfRule type="expression" dxfId="124" priority="194">
      <formula>$AG24&gt;0</formula>
    </cfRule>
  </conditionalFormatting>
  <dataValidations count="1">
    <dataValidation type="list" allowBlank="1" showInputMessage="1" showErrorMessage="1" sqref="E35:G35 I35:K35 M35:O35" xr:uid="{E1D1F162-775B-450E-91A3-5C6993834A05}">
      <formula1>_vše_profily</formula1>
    </dataValidation>
  </dataValidations>
  <hyperlinks>
    <hyperlink ref="AH2:AK3" location="Hlavní!A1" display="Hlavní!A1" xr:uid="{A6083275-8495-4F9E-BC65-BD1009B0FFA3}"/>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Check Box 1967">
              <controlPr locked="0" defaultSize="0" autoFill="0" autoLine="0" autoPict="0">
                <anchor moveWithCells="1">
                  <from>
                    <xdr:col>26</xdr:col>
                    <xdr:colOff>685800</xdr:colOff>
                    <xdr:row>0</xdr:row>
                    <xdr:rowOff>0</xdr:rowOff>
                  </from>
                  <to>
                    <xdr:col>27</xdr:col>
                    <xdr:colOff>0</xdr:colOff>
                    <xdr:row>1</xdr:row>
                    <xdr:rowOff>68580</xdr:rowOff>
                  </to>
                </anchor>
              </controlPr>
            </control>
          </mc:Choice>
        </mc:AlternateContent>
        <mc:AlternateContent xmlns:mc="http://schemas.openxmlformats.org/markup-compatibility/2006">
          <mc:Choice Requires="x14">
            <control shapeId="187402" r:id="rId5" name="Check Box 10">
              <controlPr defaultSize="0" autoFill="0" autoLine="0" autoPict="0">
                <anchor moveWithCells="1">
                  <from>
                    <xdr:col>17</xdr:col>
                    <xdr:colOff>289560</xdr:colOff>
                    <xdr:row>20</xdr:row>
                    <xdr:rowOff>160020</xdr:rowOff>
                  </from>
                  <to>
                    <xdr:col>18</xdr:col>
                    <xdr:colOff>251460</xdr:colOff>
                    <xdr:row>22</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showInputMessage="1" showErrorMessage="1" xr:uid="{A631C671-9FA8-4179-ADF3-C19103ADA2AC}">
          <x14:formula1>
            <xm:f>IF(OR(M35=kombinace_1!A15,M35=kombinace_1!A16,M35=kombinace_1!A17,M35=kombinace_1!A22,M35=kombinace_1!A23,M35=kombinace_1!A24,M35=kombinace_1!A25),_corleone,INDIRECT($O$39))</xm:f>
          </x14:formula1>
          <xm:sqref>M37:O37</xm:sqref>
        </x14:dataValidation>
        <x14:dataValidation type="list" showInputMessage="1" showErrorMessage="1" xr:uid="{782A7121-5784-40B4-A80F-792F9C601672}">
          <x14:formula1>
            <xm:f>IF(OR(E35=kombinace_1!A15,E35=kombinace_1!A16,E35=kombinace_1!A17,E35=kombinace_1!A22,E35=kombinace_1!A23,E35=kombinace_1!A24,E35=kombinace_1!A25),_corleone,INDIRECT($G$39))</xm:f>
          </x14:formula1>
          <xm:sqref>E37:G37</xm:sqref>
        </x14:dataValidation>
        <x14:dataValidation type="list" showInputMessage="1" showErrorMessage="1" xr:uid="{120A5D52-6B94-4033-99A8-5627AF826E22}">
          <x14:formula1>
            <xm:f>IF(OR(I35=kombinace_1!A15,I35=kombinace_1!A16,I35=kombinace_1!A17,I35=kombinace_1!A22,I35=kombinace_1!A23,I35=kombinace_1!A24,I35=kombinace_1!A25),_corleone,INDIRECT($K$39))</xm:f>
          </x14:formula1>
          <xm:sqref>I37:K37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F8701-0A5F-4A1C-92A6-9B68410115C1}">
  <sheetPr codeName="List29"/>
  <dimension ref="A1:DQ61"/>
  <sheetViews>
    <sheetView workbookViewId="0">
      <selection activeCell="V1" sqref="V1"/>
    </sheetView>
  </sheetViews>
  <sheetFormatPr defaultRowHeight="14.4" x14ac:dyDescent="0.3"/>
  <cols>
    <col min="1" max="1" width="29.109375" style="137" bestFit="1" customWidth="1"/>
    <col min="2" max="2" width="24" style="137" customWidth="1"/>
    <col min="3" max="3" width="17" style="137" bestFit="1" customWidth="1"/>
    <col min="4" max="4" width="17" style="137" customWidth="1"/>
    <col min="5" max="5" width="3" style="406" customWidth="1"/>
    <col min="6" max="6" width="15.44140625" style="137" bestFit="1" customWidth="1"/>
    <col min="7" max="7" width="11.109375" style="137" bestFit="1" customWidth="1"/>
    <col min="8" max="8" width="18.109375" style="137" bestFit="1" customWidth="1"/>
    <col min="9" max="9" width="24.109375" style="137" bestFit="1" customWidth="1"/>
    <col min="10" max="11" width="18.109375" style="137" customWidth="1"/>
    <col min="12" max="12" width="3" style="406" customWidth="1"/>
    <col min="13" max="13" width="21" style="137" bestFit="1" customWidth="1"/>
    <col min="14" max="14" width="15" style="137" bestFit="1" customWidth="1"/>
    <col min="15" max="15" width="3" style="406" customWidth="1"/>
    <col min="16" max="16" width="23.109375" style="137" customWidth="1"/>
    <col min="17" max="18" width="19.44140625" style="137" bestFit="1" customWidth="1"/>
    <col min="19" max="19" width="19.44140625" style="137" customWidth="1"/>
    <col min="20" max="21" width="15.109375" style="137" customWidth="1"/>
    <col min="22" max="22" width="19.44140625" style="137" bestFit="1" customWidth="1"/>
    <col min="23" max="23" width="3" style="406" customWidth="1"/>
    <col min="24" max="24" width="12.21875" style="137" bestFit="1" customWidth="1"/>
    <col min="25" max="25" width="4.109375" style="137" bestFit="1" customWidth="1"/>
    <col min="26" max="26" width="3" style="406" customWidth="1"/>
    <col min="27" max="27" width="18.5546875" style="137" bestFit="1" customWidth="1"/>
    <col min="28" max="28" width="17.33203125" style="137" bestFit="1" customWidth="1"/>
    <col min="29" max="29" width="14.33203125" style="137" bestFit="1" customWidth="1"/>
    <col min="30" max="30" width="16.44140625" style="137" customWidth="1"/>
    <col min="31" max="31" width="3" style="406" customWidth="1"/>
    <col min="32" max="32" width="17.33203125" style="137" customWidth="1"/>
    <col min="33" max="48" width="16.5546875" style="137" customWidth="1"/>
    <col min="49" max="49" width="3" style="406" customWidth="1"/>
    <col min="50" max="53" width="19.6640625" style="137" customWidth="1"/>
    <col min="54" max="54" width="3" style="406" customWidth="1"/>
    <col min="55" max="61" width="9.5546875" style="137" customWidth="1"/>
    <col min="62" max="62" width="3" style="406" customWidth="1"/>
    <col min="63" max="63" width="17.33203125" style="137" bestFit="1" customWidth="1"/>
    <col min="64" max="64" width="3" style="406" customWidth="1"/>
    <col min="65" max="65" width="12.88671875" style="137" customWidth="1"/>
    <col min="66" max="68" width="8.88671875" style="137"/>
    <col min="69" max="69" width="6.88671875" style="137" bestFit="1" customWidth="1"/>
    <col min="70" max="70" width="18.5546875" style="137" bestFit="1" customWidth="1"/>
    <col min="71" max="72" width="8.88671875" style="137"/>
    <col min="73" max="73" width="13.77734375" style="137" customWidth="1"/>
    <col min="74" max="74" width="32.6640625" style="137" customWidth="1"/>
    <col min="75" max="75" width="17.77734375" style="137" customWidth="1"/>
    <col min="76" max="76" width="8.88671875" style="137"/>
    <col min="77" max="77" width="21.33203125" style="137" bestFit="1" customWidth="1"/>
    <col min="78" max="81" width="8.88671875" style="137"/>
    <col min="82" max="82" width="16.5546875" style="137" customWidth="1"/>
    <col min="83" max="84" width="8.88671875" style="137"/>
    <col min="85" max="85" width="28.77734375" style="137" bestFit="1" customWidth="1"/>
    <col min="86" max="86" width="23.33203125" style="137" bestFit="1" customWidth="1"/>
    <col min="87" max="87" width="20.88671875" style="137" bestFit="1" customWidth="1"/>
    <col min="88" max="88" width="22.109375" style="137" bestFit="1" customWidth="1"/>
    <col min="89" max="89" width="23.5546875" style="137" bestFit="1" customWidth="1"/>
    <col min="90" max="90" width="20.109375" style="137" bestFit="1" customWidth="1"/>
    <col min="91" max="91" width="23.5546875" style="137" bestFit="1" customWidth="1"/>
    <col min="92" max="92" width="20.109375" style="137" bestFit="1" customWidth="1"/>
    <col min="93" max="93" width="23.5546875" style="137" bestFit="1" customWidth="1"/>
    <col min="94" max="94" width="20.109375" style="137" bestFit="1" customWidth="1"/>
    <col min="95" max="95" width="21.44140625" style="137" bestFit="1" customWidth="1"/>
    <col min="96" max="96" width="19.109375" style="137" bestFit="1" customWidth="1"/>
    <col min="97" max="97" width="21.44140625" style="137" bestFit="1" customWidth="1"/>
    <col min="98" max="98" width="19.109375" style="137" bestFit="1" customWidth="1"/>
    <col min="99" max="99" width="23.5546875" style="137" bestFit="1" customWidth="1"/>
    <col min="100" max="100" width="20.109375" style="137" bestFit="1" customWidth="1"/>
    <col min="101" max="102" width="19.109375" style="137" bestFit="1" customWidth="1"/>
    <col min="103" max="103" width="23.5546875" style="137" bestFit="1" customWidth="1"/>
    <col min="104" max="104" width="20.109375" style="137" bestFit="1" customWidth="1"/>
    <col min="105" max="110" width="19.109375" style="137" bestFit="1" customWidth="1"/>
    <col min="111" max="111" width="23.5546875" style="137" bestFit="1" customWidth="1"/>
    <col min="112" max="112" width="20.109375" style="137" bestFit="1" customWidth="1"/>
    <col min="113" max="113" width="23.5546875" style="137" bestFit="1" customWidth="1"/>
    <col min="114" max="114" width="20.109375" style="137" bestFit="1" customWidth="1"/>
    <col min="115" max="116" width="19.109375" style="137" bestFit="1" customWidth="1"/>
    <col min="117" max="16384" width="8.88671875" style="137"/>
  </cols>
  <sheetData>
    <row r="1" spans="1:121" x14ac:dyDescent="0.3">
      <c r="A1" s="376" t="s">
        <v>38</v>
      </c>
      <c r="B1" s="405"/>
      <c r="C1" s="405"/>
      <c r="D1" s="405"/>
      <c r="F1" s="376" t="s">
        <v>2064</v>
      </c>
      <c r="G1" s="405"/>
      <c r="H1" s="405" t="b">
        <v>0</v>
      </c>
      <c r="I1" s="405"/>
      <c r="J1" s="405"/>
      <c r="K1" s="405"/>
      <c r="M1" s="376" t="s">
        <v>2065</v>
      </c>
      <c r="N1" s="405"/>
      <c r="P1" s="405" t="e" cm="1">
        <f t="array" ref="P1">IF($S$1=Varianta_N1,_N1,IF($S$1=Varianta_A1,_A1,IF($S$1=Varianta_N2,_N2,IF($S$1=Varianta_A2,_A2,IF($S$1=Varianta_N3,_N3,IF($S$1=Varianta_A3,_A3,0))))))</f>
        <v>#N/A</v>
      </c>
      <c r="Q1" s="412" t="s">
        <v>2132</v>
      </c>
      <c r="R1" s="413" t="e">
        <f>VLOOKUP(Posuv!E35,$A:$C,3,0)</f>
        <v>#N/A</v>
      </c>
      <c r="S1" s="405" t="e">
        <f>CONCATENATE("_",R1,V1)</f>
        <v>#N/A</v>
      </c>
      <c r="T1" s="405"/>
      <c r="U1" s="412" t="s">
        <v>2131</v>
      </c>
      <c r="V1" s="413">
        <v>1</v>
      </c>
      <c r="X1" s="376" t="s">
        <v>2066</v>
      </c>
      <c r="Y1" s="405"/>
      <c r="AA1" s="405" t="s">
        <v>1085</v>
      </c>
      <c r="AB1" s="405"/>
      <c r="AC1" s="405"/>
      <c r="AD1" s="405"/>
      <c r="AF1" s="405" t="s">
        <v>2067</v>
      </c>
      <c r="AG1" s="405"/>
      <c r="AH1" s="405"/>
      <c r="AI1" s="405"/>
      <c r="AJ1" s="405"/>
      <c r="AK1" s="405"/>
      <c r="AL1" s="405"/>
      <c r="AM1" s="405"/>
      <c r="AN1" s="405"/>
      <c r="AO1" s="405"/>
      <c r="AP1" s="405"/>
      <c r="AQ1" s="405"/>
      <c r="AR1" s="405"/>
      <c r="AS1" s="405"/>
      <c r="AT1" s="405"/>
      <c r="AU1" s="405"/>
      <c r="AV1" s="405"/>
      <c r="AX1" s="405" t="s">
        <v>735</v>
      </c>
      <c r="AY1" s="405"/>
      <c r="AZ1" s="405"/>
      <c r="BA1" s="405"/>
      <c r="BC1" s="405" t="s">
        <v>22</v>
      </c>
      <c r="BD1" s="405"/>
      <c r="BE1" s="405"/>
      <c r="BF1" s="405"/>
      <c r="BG1" s="405"/>
      <c r="BH1" s="405"/>
      <c r="BI1" s="405"/>
      <c r="BK1" s="405" t="s">
        <v>1031</v>
      </c>
      <c r="BM1" s="137" t="s">
        <v>2121</v>
      </c>
      <c r="BQ1" s="414" t="s">
        <v>1441</v>
      </c>
    </row>
    <row r="2" spans="1:121" x14ac:dyDescent="0.3">
      <c r="A2" s="407" t="s">
        <v>2068</v>
      </c>
      <c r="B2" s="407" t="s">
        <v>2125</v>
      </c>
      <c r="C2" s="407" t="s">
        <v>2126</v>
      </c>
      <c r="D2" s="407" t="s">
        <v>2065</v>
      </c>
      <c r="F2" s="407" t="s">
        <v>2070</v>
      </c>
      <c r="G2" s="407" t="s">
        <v>2071</v>
      </c>
      <c r="H2" s="407" t="s">
        <v>2072</v>
      </c>
      <c r="I2" s="407" t="s">
        <v>2073</v>
      </c>
      <c r="J2" s="407"/>
      <c r="K2" s="407"/>
      <c r="M2" s="407" t="s">
        <v>2074</v>
      </c>
      <c r="P2" s="407" t="s">
        <v>2127</v>
      </c>
      <c r="Q2" s="407" t="s">
        <v>2124</v>
      </c>
      <c r="R2" s="407" t="s">
        <v>2128</v>
      </c>
      <c r="S2" s="407" t="s">
        <v>2123</v>
      </c>
      <c r="T2" s="407" t="s">
        <v>2129</v>
      </c>
      <c r="U2" s="407" t="s">
        <v>2066</v>
      </c>
      <c r="V2" s="407" t="s">
        <v>2130</v>
      </c>
      <c r="X2" s="407" t="s">
        <v>2075</v>
      </c>
      <c r="Y2" s="407" t="s">
        <v>2076</v>
      </c>
      <c r="AA2" s="407" t="s">
        <v>1441</v>
      </c>
      <c r="AB2" s="407" t="s">
        <v>2077</v>
      </c>
      <c r="AC2" s="407" t="s">
        <v>2078</v>
      </c>
      <c r="AD2" s="407" t="s">
        <v>1031</v>
      </c>
      <c r="AF2" s="408" t="s">
        <v>2079</v>
      </c>
      <c r="AG2" s="408" t="s">
        <v>1030</v>
      </c>
      <c r="AH2" s="137">
        <v>1</v>
      </c>
      <c r="AI2" s="137">
        <v>2</v>
      </c>
      <c r="AJ2" s="137">
        <v>3</v>
      </c>
      <c r="AK2" s="137">
        <v>4</v>
      </c>
      <c r="AL2" s="137">
        <v>5</v>
      </c>
      <c r="AM2" s="137">
        <v>6</v>
      </c>
      <c r="AN2" s="137">
        <v>7</v>
      </c>
      <c r="AO2" s="137">
        <v>8</v>
      </c>
      <c r="AP2" s="137">
        <v>9</v>
      </c>
      <c r="AQ2" s="137">
        <v>10</v>
      </c>
      <c r="AR2" s="137">
        <v>11</v>
      </c>
      <c r="AS2" s="137">
        <v>12</v>
      </c>
      <c r="AT2" s="137">
        <v>13</v>
      </c>
      <c r="AU2" s="137">
        <v>14</v>
      </c>
      <c r="AV2" s="137">
        <v>15</v>
      </c>
      <c r="AX2" s="407" t="s">
        <v>2069</v>
      </c>
      <c r="AY2" s="407" t="s">
        <v>1441</v>
      </c>
      <c r="AZ2" s="407" t="s">
        <v>2080</v>
      </c>
      <c r="BA2" s="407" t="s">
        <v>2081</v>
      </c>
      <c r="BC2" s="409">
        <v>1</v>
      </c>
      <c r="BD2" s="409">
        <v>2</v>
      </c>
      <c r="BE2" s="409">
        <v>3</v>
      </c>
      <c r="BF2" s="409">
        <v>4</v>
      </c>
      <c r="BG2" s="409">
        <v>5</v>
      </c>
      <c r="BH2" s="409">
        <v>6</v>
      </c>
      <c r="BI2" s="409">
        <v>7</v>
      </c>
      <c r="BK2" s="409" t="s">
        <v>2082</v>
      </c>
      <c r="BM2" s="407" t="s">
        <v>2122</v>
      </c>
      <c r="BN2" s="407" t="s">
        <v>2123</v>
      </c>
      <c r="BO2" s="407" t="s">
        <v>2066</v>
      </c>
      <c r="BQ2" s="137" t="str">
        <f>'Translate &amp; Prices'!B531</f>
        <v>Závěsy</v>
      </c>
      <c r="BR2" s="137" t="str">
        <f>'Translate &amp; Prices'!B532</f>
        <v>Výklopy</v>
      </c>
      <c r="BU2" s="137" t="str">
        <f>CONCATENATE("_",Ram_1!H12,"_",Ram_1!H13)</f>
        <v>__</v>
      </c>
      <c r="BV2" s="137" t="s">
        <v>2149</v>
      </c>
      <c r="BW2" s="137" t="s">
        <v>2144</v>
      </c>
      <c r="BY2" s="137" t="s">
        <v>250</v>
      </c>
      <c r="CA2" s="137" t="s">
        <v>2176</v>
      </c>
      <c r="CD2" s="137" t="s">
        <v>2265</v>
      </c>
      <c r="CG2" s="407" t="s">
        <v>845</v>
      </c>
      <c r="CH2" s="407" t="s">
        <v>2264</v>
      </c>
      <c r="CI2" s="410" t="s">
        <v>845</v>
      </c>
      <c r="CJ2" s="410" t="s">
        <v>2264</v>
      </c>
      <c r="CK2" s="407" t="s">
        <v>845</v>
      </c>
      <c r="CL2" s="407" t="s">
        <v>2264</v>
      </c>
      <c r="CM2" s="410" t="s">
        <v>845</v>
      </c>
      <c r="CN2" s="410" t="s">
        <v>2264</v>
      </c>
      <c r="CO2" s="407" t="s">
        <v>845</v>
      </c>
      <c r="CP2" s="407" t="s">
        <v>2264</v>
      </c>
      <c r="CQ2" s="410" t="s">
        <v>845</v>
      </c>
      <c r="CR2" s="410" t="s">
        <v>2264</v>
      </c>
      <c r="CS2" s="407" t="s">
        <v>845</v>
      </c>
      <c r="CT2" s="407" t="s">
        <v>2264</v>
      </c>
      <c r="CU2" s="410" t="s">
        <v>845</v>
      </c>
      <c r="CV2" s="410" t="s">
        <v>2264</v>
      </c>
      <c r="CW2" s="407" t="s">
        <v>845</v>
      </c>
      <c r="CX2" s="407" t="s">
        <v>2264</v>
      </c>
      <c r="CY2" s="410" t="s">
        <v>845</v>
      </c>
      <c r="CZ2" s="410" t="s">
        <v>2264</v>
      </c>
      <c r="DA2" s="407" t="s">
        <v>845</v>
      </c>
      <c r="DB2" s="407" t="s">
        <v>2264</v>
      </c>
      <c r="DC2" s="410" t="s">
        <v>845</v>
      </c>
      <c r="DD2" s="410" t="s">
        <v>2264</v>
      </c>
      <c r="DE2" s="407" t="s">
        <v>845</v>
      </c>
      <c r="DF2" s="407" t="s">
        <v>2264</v>
      </c>
      <c r="DG2" s="410" t="s">
        <v>845</v>
      </c>
      <c r="DH2" s="410" t="s">
        <v>2264</v>
      </c>
      <c r="DI2" s="407" t="s">
        <v>845</v>
      </c>
      <c r="DJ2" s="407" t="s">
        <v>2264</v>
      </c>
      <c r="DK2" s="410" t="s">
        <v>845</v>
      </c>
      <c r="DL2" s="410" t="s">
        <v>2264</v>
      </c>
      <c r="DN2" s="137" t="str">
        <f>'Translate &amp; Prices'!B533</f>
        <v>Naložený</v>
      </c>
      <c r="DP2" s="137" t="str">
        <f>'Translate &amp; Prices'!B531</f>
        <v>Závěsy</v>
      </c>
      <c r="DQ2" s="137">
        <v>2</v>
      </c>
    </row>
    <row r="3" spans="1:121" x14ac:dyDescent="0.3">
      <c r="A3" s="446" t="str">
        <f>'Translate &amp; Prices'!B6</f>
        <v>BRW (elox.)</v>
      </c>
      <c r="B3" s="137">
        <v>1</v>
      </c>
      <c r="C3" s="137" t="s">
        <v>1222</v>
      </c>
      <c r="D3" s="137">
        <v>1</v>
      </c>
      <c r="F3" s="137" t="s">
        <v>2083</v>
      </c>
      <c r="G3" s="137" t="s">
        <v>713</v>
      </c>
      <c r="H3" s="137" t="s">
        <v>2084</v>
      </c>
      <c r="I3" s="137">
        <v>1</v>
      </c>
      <c r="J3" s="137">
        <v>2</v>
      </c>
      <c r="K3" s="137" t="s">
        <v>1222</v>
      </c>
      <c r="M3" s="137" t="s">
        <v>2085</v>
      </c>
      <c r="N3" s="137" t="s">
        <v>991</v>
      </c>
      <c r="Q3" s="414" t="s">
        <v>2134</v>
      </c>
      <c r="R3" s="414" t="s">
        <v>2135</v>
      </c>
      <c r="S3" s="414" t="s">
        <v>2136</v>
      </c>
      <c r="T3" s="414" t="s">
        <v>2137</v>
      </c>
      <c r="U3" s="414" t="s">
        <v>2138</v>
      </c>
      <c r="V3" s="414" t="s">
        <v>2139</v>
      </c>
      <c r="X3" s="137" t="str">
        <f>'Translate &amp; Prices'!$B$543</f>
        <v>Transparentní</v>
      </c>
      <c r="Y3" s="137">
        <v>1</v>
      </c>
      <c r="AA3" s="137" t="s">
        <v>2087</v>
      </c>
      <c r="AB3" s="137" t="s">
        <v>2144</v>
      </c>
      <c r="AF3" s="407" t="s">
        <v>245</v>
      </c>
      <c r="AG3" s="407" t="s">
        <v>1032</v>
      </c>
      <c r="AY3" s="137" t="s">
        <v>2117</v>
      </c>
      <c r="BK3" s="137" t="s">
        <v>245</v>
      </c>
      <c r="BQ3" s="137" t="s">
        <v>2117</v>
      </c>
      <c r="BR3" s="137" t="s">
        <v>2087</v>
      </c>
      <c r="BU3" s="137" t="e">
        <f>VLOOKUP(BU2,BV:BW,2,0)</f>
        <v>#N/A</v>
      </c>
      <c r="BV3" s="137" t="s">
        <v>2152</v>
      </c>
      <c r="BW3" s="137" t="s">
        <v>2148</v>
      </c>
      <c r="BY3" s="137" t="str">
        <f>'Translate &amp; Prices'!B210</f>
        <v>Vlevo</v>
      </c>
      <c r="BZ3" s="137">
        <v>1</v>
      </c>
      <c r="CA3" s="137">
        <v>32</v>
      </c>
      <c r="CD3" s="137" t="s">
        <v>2272</v>
      </c>
      <c r="CE3" s="137">
        <v>1</v>
      </c>
      <c r="CG3" s="407" t="s">
        <v>2272</v>
      </c>
      <c r="CH3" s="407" t="s">
        <v>2272</v>
      </c>
      <c r="CI3" s="410" t="s">
        <v>2273</v>
      </c>
      <c r="CJ3" s="410" t="s">
        <v>2273</v>
      </c>
      <c r="CK3" s="407" t="s">
        <v>2097</v>
      </c>
      <c r="CL3" s="407" t="s">
        <v>2097</v>
      </c>
      <c r="CM3" s="410" t="s">
        <v>2100</v>
      </c>
      <c r="CN3" s="410" t="s">
        <v>2100</v>
      </c>
      <c r="CO3" s="407" t="s">
        <v>2107</v>
      </c>
      <c r="CP3" s="407" t="s">
        <v>2107</v>
      </c>
      <c r="CQ3" s="410" t="s">
        <v>2274</v>
      </c>
      <c r="CR3" s="410" t="s">
        <v>2274</v>
      </c>
      <c r="CS3" s="407" t="s">
        <v>2102</v>
      </c>
      <c r="CT3" s="407" t="s">
        <v>2102</v>
      </c>
      <c r="CU3" s="410" t="s">
        <v>2108</v>
      </c>
      <c r="CV3" s="410" t="s">
        <v>2108</v>
      </c>
      <c r="CW3" s="407" t="s">
        <v>2269</v>
      </c>
      <c r="CX3" s="407" t="s">
        <v>2269</v>
      </c>
      <c r="CY3" s="410" t="s">
        <v>2111</v>
      </c>
      <c r="CZ3" s="410" t="s">
        <v>2111</v>
      </c>
      <c r="DA3" s="407" t="s">
        <v>2268</v>
      </c>
      <c r="DB3" s="407" t="s">
        <v>2268</v>
      </c>
      <c r="DC3" s="410" t="s">
        <v>2113</v>
      </c>
      <c r="DD3" s="410" t="s">
        <v>2113</v>
      </c>
      <c r="DE3" s="407" t="s">
        <v>2114</v>
      </c>
      <c r="DF3" s="407" t="s">
        <v>2114</v>
      </c>
      <c r="DG3" s="410" t="s">
        <v>2270</v>
      </c>
      <c r="DH3" s="410" t="s">
        <v>2270</v>
      </c>
      <c r="DI3" s="407" t="s">
        <v>2271</v>
      </c>
      <c r="DJ3" s="407" t="s">
        <v>2271</v>
      </c>
      <c r="DK3" s="410" t="s">
        <v>2119</v>
      </c>
      <c r="DL3" s="410" t="s">
        <v>2119</v>
      </c>
      <c r="DN3" s="137" t="str">
        <f>'Translate &amp; Prices'!B534</f>
        <v>Polonaložený</v>
      </c>
      <c r="DP3" s="137" t="str">
        <f>'Translate &amp; Prices'!B532</f>
        <v>Výklopy</v>
      </c>
      <c r="DQ3" s="137">
        <v>3</v>
      </c>
    </row>
    <row r="4" spans="1:121" x14ac:dyDescent="0.3">
      <c r="A4" s="446" t="str">
        <f>'Translate &amp; Prices'!B7</f>
        <v>BRW antracit</v>
      </c>
      <c r="B4" s="137">
        <v>1</v>
      </c>
      <c r="C4" s="137" t="s">
        <v>1222</v>
      </c>
      <c r="D4" s="137">
        <v>0</v>
      </c>
      <c r="G4" s="137" t="s">
        <v>2084</v>
      </c>
      <c r="H4" s="137" t="s">
        <v>713</v>
      </c>
      <c r="I4" s="137">
        <v>0</v>
      </c>
      <c r="J4" s="137">
        <v>2</v>
      </c>
      <c r="K4" s="137" t="s">
        <v>1222</v>
      </c>
      <c r="M4" s="137" t="s">
        <v>2088</v>
      </c>
      <c r="N4" s="137" t="s">
        <v>1648</v>
      </c>
      <c r="Q4" s="446" t="str">
        <f>'Translate &amp; Prices'!$B$82</f>
        <v>Čiré</v>
      </c>
      <c r="R4" s="446" t="str">
        <f>'Translate &amp; Prices'!$B$93</f>
        <v>Stopsol bronz</v>
      </c>
      <c r="S4" s="446" t="str">
        <f>'Translate &amp; Prices'!$B$82</f>
        <v>Čiré</v>
      </c>
      <c r="T4" s="446" t="str">
        <f>'Translate &amp; Prices'!$B$93</f>
        <v>Stopsol bronz</v>
      </c>
      <c r="U4" s="446" t="str">
        <f>'Translate &amp; Prices'!$B$98</f>
        <v>Zrcadlo</v>
      </c>
      <c r="V4" s="446" t="str">
        <f>'Translate &amp; Prices'!$B$98</f>
        <v>Zrcadlo</v>
      </c>
      <c r="X4" s="137" t="str">
        <f>'Translate &amp; Prices'!$B$544</f>
        <v>Bílá</v>
      </c>
      <c r="Y4" s="137">
        <v>2</v>
      </c>
      <c r="AA4" s="137" t="s">
        <v>2087</v>
      </c>
      <c r="AB4" s="137" t="s">
        <v>2272</v>
      </c>
      <c r="AC4" s="137">
        <v>1</v>
      </c>
      <c r="AD4" s="137">
        <v>1</v>
      </c>
      <c r="AF4" s="407" t="s">
        <v>246</v>
      </c>
      <c r="AG4" s="407" t="s">
        <v>1032</v>
      </c>
      <c r="AY4" s="137" t="s">
        <v>2117</v>
      </c>
      <c r="AZ4" s="137" t="s">
        <v>2154</v>
      </c>
      <c r="BK4" s="137" t="s">
        <v>246</v>
      </c>
      <c r="BQ4" s="137" t="s">
        <v>2087</v>
      </c>
      <c r="BR4" s="137" t="s">
        <v>2099</v>
      </c>
      <c r="BV4" s="137" t="s">
        <v>2153</v>
      </c>
      <c r="BW4" s="137" t="s">
        <v>2147</v>
      </c>
      <c r="BY4" s="137" t="str">
        <f>'Translate &amp; Prices'!B209</f>
        <v xml:space="preserve">Vpravo </v>
      </c>
      <c r="BZ4" s="137">
        <v>2</v>
      </c>
      <c r="CA4" s="137">
        <v>64</v>
      </c>
      <c r="CD4" s="137" t="s">
        <v>2273</v>
      </c>
      <c r="CE4" s="137">
        <v>1</v>
      </c>
      <c r="CG4" s="137" t="str">
        <f>CONCATENATE("_",CG2,"_",CG3)</f>
        <v>_Úzký_Aventos_HF</v>
      </c>
      <c r="CH4" s="137" t="str">
        <f t="shared" ref="CH4:DL4" si="0">CONCATENATE("_",CH2,"_",CH3)</f>
        <v>_široký_Aventos_HF</v>
      </c>
      <c r="CI4" s="137" t="str">
        <f t="shared" si="0"/>
        <v>_Úzký_Aventos_HK-XS</v>
      </c>
      <c r="CJ4" s="137" t="str">
        <f t="shared" si="0"/>
        <v>_široký_Aventos_HK-XS</v>
      </c>
      <c r="CK4" s="137" t="str">
        <f t="shared" si="0"/>
        <v>_Úzký_FREElight</v>
      </c>
      <c r="CL4" s="137" t="str">
        <f t="shared" si="0"/>
        <v>_široký_FREElight</v>
      </c>
      <c r="CM4" s="137" t="str">
        <f t="shared" si="0"/>
        <v>_Úzký_FREEfold</v>
      </c>
      <c r="CN4" s="137" t="str">
        <f t="shared" si="0"/>
        <v>_široký_FREEfold</v>
      </c>
      <c r="CO4" s="137" t="str">
        <f t="shared" si="0"/>
        <v>_Úzký_Maxi</v>
      </c>
      <c r="CP4" s="137" t="str">
        <f t="shared" si="0"/>
        <v>_široký_Maxi</v>
      </c>
      <c r="CQ4" s="137" t="str">
        <f t="shared" si="0"/>
        <v>_Úzký_Duo_Forte</v>
      </c>
      <c r="CR4" s="137" t="str">
        <f t="shared" si="0"/>
        <v>_široký_Duo_Forte</v>
      </c>
      <c r="CS4" s="137" t="str">
        <f t="shared" si="0"/>
        <v>_Úzký_Duo</v>
      </c>
      <c r="CT4" s="137" t="str">
        <f t="shared" si="0"/>
        <v>_široký_Duo</v>
      </c>
      <c r="CU4" s="137" t="str">
        <f t="shared" si="0"/>
        <v>_Úzký_K12</v>
      </c>
      <c r="CV4" s="137" t="str">
        <f t="shared" si="0"/>
        <v>_široký_K12</v>
      </c>
      <c r="CW4" s="137" t="str">
        <f t="shared" si="0"/>
        <v>_Úzký_Spodní_K12</v>
      </c>
      <c r="CX4" s="137" t="str">
        <f t="shared" si="0"/>
        <v>_široký_Spodní_K12</v>
      </c>
      <c r="CY4" s="137" t="str">
        <f t="shared" si="0"/>
        <v>_Úzký_Kraby</v>
      </c>
      <c r="CZ4" s="137" t="str">
        <f t="shared" si="0"/>
        <v>_široký_Kraby</v>
      </c>
      <c r="DA4" s="137" t="str">
        <f t="shared" si="0"/>
        <v>_Úzký_Spodní_Kraby</v>
      </c>
      <c r="DB4" s="137" t="str">
        <f t="shared" si="0"/>
        <v>_široký_Spodní_Kraby</v>
      </c>
      <c r="DC4" s="137" t="str">
        <f t="shared" si="0"/>
        <v>_Úzký_Kiaro</v>
      </c>
      <c r="DD4" s="137" t="str">
        <f t="shared" si="0"/>
        <v>_široký_Kiaro</v>
      </c>
      <c r="DE4" s="137" t="str">
        <f t="shared" si="0"/>
        <v>_Úzký_Link</v>
      </c>
      <c r="DF4" s="137" t="str">
        <f t="shared" si="0"/>
        <v>_široký_Link</v>
      </c>
      <c r="DG4" s="137" t="str">
        <f t="shared" si="0"/>
        <v>_Úzký_Automatická_vzpěra</v>
      </c>
      <c r="DH4" s="137" t="str">
        <f t="shared" si="0"/>
        <v>_široký_Automatická_vzpěra</v>
      </c>
      <c r="DI4" s="137" t="str">
        <f t="shared" si="0"/>
        <v>_Úzký_Polohovací_vzpěra</v>
      </c>
      <c r="DJ4" s="137" t="str">
        <f t="shared" si="0"/>
        <v>_široký_Polohovací_vzpěra</v>
      </c>
      <c r="DK4" s="137" t="str">
        <f t="shared" si="0"/>
        <v>_Úzký_LiftMini</v>
      </c>
      <c r="DL4" s="137" t="str">
        <f t="shared" si="0"/>
        <v>_široký_LiftMini</v>
      </c>
      <c r="DN4" s="137" t="str">
        <f>'Translate &amp; Prices'!B535</f>
        <v>Vložený</v>
      </c>
    </row>
    <row r="5" spans="1:121" x14ac:dyDescent="0.3">
      <c r="A5" s="446" t="str">
        <f>'Translate &amp; Prices'!B8</f>
        <v>BRW bílá mat</v>
      </c>
      <c r="B5" s="137">
        <v>1</v>
      </c>
      <c r="C5" s="137" t="s">
        <v>1222</v>
      </c>
      <c r="D5" s="137">
        <v>0</v>
      </c>
      <c r="F5" s="137" t="s">
        <v>2090</v>
      </c>
      <c r="G5" s="137" t="s">
        <v>712</v>
      </c>
      <c r="H5" s="137" t="s">
        <v>2084</v>
      </c>
      <c r="I5" s="137">
        <v>1</v>
      </c>
      <c r="J5" s="137">
        <v>2</v>
      </c>
      <c r="K5" s="137" t="s">
        <v>1222</v>
      </c>
      <c r="M5" s="137" t="s">
        <v>2091</v>
      </c>
      <c r="N5" s="137" t="s">
        <v>1011</v>
      </c>
      <c r="Q5" s="446" t="str">
        <f>'Translate &amp; Prices'!$B$87</f>
        <v>Satinato</v>
      </c>
      <c r="R5" s="446" t="str">
        <f>'Translate &amp; Prices'!$B$94</f>
        <v>Lakomat</v>
      </c>
      <c r="S5" s="446" t="str">
        <f>'Translate &amp; Prices'!$B$87</f>
        <v>Satinato</v>
      </c>
      <c r="T5" s="446" t="str">
        <f>'Translate &amp; Prices'!$B$105</f>
        <v>Master  Ligne</v>
      </c>
      <c r="U5" s="446" t="str">
        <f>'Translate &amp; Prices'!$B$99</f>
        <v>Zrcadlo hnědé</v>
      </c>
      <c r="V5" s="446" t="str">
        <f>'Translate &amp; Prices'!$B$99</f>
        <v>Zrcadlo hnědé</v>
      </c>
      <c r="X5" s="137" t="str">
        <f>'Translate &amp; Prices'!$B$545</f>
        <v>Černá</v>
      </c>
      <c r="Y5" s="137">
        <v>3</v>
      </c>
      <c r="AA5" s="137" t="s">
        <v>2087</v>
      </c>
      <c r="AB5" s="137" t="s">
        <v>2275</v>
      </c>
      <c r="AC5" s="137">
        <v>0</v>
      </c>
      <c r="AD5" s="137">
        <v>0</v>
      </c>
      <c r="AF5" s="410" t="s">
        <v>245</v>
      </c>
      <c r="AG5" s="410" t="s">
        <v>2093</v>
      </c>
      <c r="AY5" s="137" t="s">
        <v>2117</v>
      </c>
      <c r="AZ5" s="137" t="s">
        <v>2155</v>
      </c>
      <c r="BK5" s="137" t="s">
        <v>2094</v>
      </c>
      <c r="BQ5" s="137" t="s">
        <v>1021</v>
      </c>
      <c r="BR5" s="137" t="s">
        <v>2109</v>
      </c>
      <c r="BV5" s="137" t="s">
        <v>2150</v>
      </c>
      <c r="BW5" s="137" t="s">
        <v>2145</v>
      </c>
      <c r="BY5" s="137" t="str">
        <f>'Translate &amp; Prices'!B207</f>
        <v>Nahoře</v>
      </c>
      <c r="BZ5" s="137">
        <v>3</v>
      </c>
      <c r="CA5" s="137">
        <v>76</v>
      </c>
      <c r="CD5" s="137" t="s">
        <v>2097</v>
      </c>
      <c r="CE5" s="137">
        <v>1</v>
      </c>
      <c r="CG5" s="404" t="s">
        <v>2177</v>
      </c>
      <c r="CH5" s="404" t="s">
        <v>2185</v>
      </c>
      <c r="CI5" s="404" t="s">
        <v>2192</v>
      </c>
      <c r="CJ5" s="404" t="s">
        <v>2197</v>
      </c>
      <c r="CK5" s="404" t="s">
        <v>2200</v>
      </c>
      <c r="CL5" s="404" t="s">
        <v>2210</v>
      </c>
      <c r="CM5" s="404" t="s">
        <v>2200</v>
      </c>
      <c r="CN5" s="404" t="s">
        <v>2210</v>
      </c>
      <c r="CO5" s="404" t="s">
        <v>2200</v>
      </c>
      <c r="CP5" s="404" t="s">
        <v>2210</v>
      </c>
      <c r="CQ5" s="404" t="s">
        <v>2221</v>
      </c>
      <c r="CR5" s="404" t="s">
        <v>2229</v>
      </c>
      <c r="CS5" s="404" t="s">
        <v>2221</v>
      </c>
      <c r="CT5" s="404" t="s">
        <v>2229</v>
      </c>
      <c r="CU5" s="404" t="s">
        <v>2200</v>
      </c>
      <c r="CV5" s="404" t="s">
        <v>2210</v>
      </c>
      <c r="CW5" s="404" t="s">
        <v>2221</v>
      </c>
      <c r="CX5" s="404" t="s">
        <v>2235</v>
      </c>
      <c r="CY5" s="404" t="s">
        <v>2200</v>
      </c>
      <c r="CZ5" s="404" t="s">
        <v>2210</v>
      </c>
      <c r="DA5" s="404" t="s">
        <v>2221</v>
      </c>
      <c r="DB5" s="404" t="s">
        <v>2235</v>
      </c>
      <c r="DC5" s="404" t="s">
        <v>2221</v>
      </c>
      <c r="DD5" s="404" t="s">
        <v>2235</v>
      </c>
      <c r="DE5" s="404" t="s">
        <v>2221</v>
      </c>
      <c r="DF5" s="404" t="s">
        <v>2235</v>
      </c>
      <c r="DG5" s="404" t="s">
        <v>2200</v>
      </c>
      <c r="DH5" s="404" t="s">
        <v>2210</v>
      </c>
      <c r="DI5" s="404" t="s">
        <v>2200</v>
      </c>
      <c r="DJ5" s="404" t="s">
        <v>2210</v>
      </c>
      <c r="DK5" s="404" t="s">
        <v>2221</v>
      </c>
      <c r="DL5" s="404" t="s">
        <v>2235</v>
      </c>
    </row>
    <row r="6" spans="1:121" x14ac:dyDescent="0.3">
      <c r="A6" s="446" t="str">
        <f>'Translate &amp; Prices'!B9</f>
        <v>BRW bílá lesk</v>
      </c>
      <c r="B6" s="137">
        <v>1</v>
      </c>
      <c r="C6" s="137" t="s">
        <v>1222</v>
      </c>
      <c r="D6" s="137">
        <v>0</v>
      </c>
      <c r="G6" s="137" t="s">
        <v>2084</v>
      </c>
      <c r="H6" s="137" t="s">
        <v>712</v>
      </c>
      <c r="I6" s="137">
        <v>0</v>
      </c>
      <c r="J6" s="137">
        <v>2</v>
      </c>
      <c r="K6" s="137" t="s">
        <v>1222</v>
      </c>
      <c r="N6" s="137" t="s">
        <v>1624</v>
      </c>
      <c r="Q6" s="446" t="str">
        <f>'Translate &amp; Prices'!$B$89</f>
        <v>Satinato hnědé</v>
      </c>
      <c r="R6" s="446" t="str">
        <f>'Translate &amp; Prices'!$B$98</f>
        <v>Zrcadlo</v>
      </c>
      <c r="S6" s="446" t="str">
        <f>'Translate &amp; Prices'!$B$89</f>
        <v>Satinato hnědé</v>
      </c>
      <c r="T6" s="446" t="str">
        <f>'Translate &amp; Prices'!$B$106</f>
        <v>Master  Point</v>
      </c>
      <c r="U6" s="446" t="str">
        <f>'Translate &amp; Prices'!$B$100</f>
        <v>Zrcadlo grafit</v>
      </c>
      <c r="V6" s="446" t="str">
        <f>'Translate &amp; Prices'!$B$100</f>
        <v>Zrcadlo grafit</v>
      </c>
      <c r="AA6" s="137" t="s">
        <v>2087</v>
      </c>
      <c r="AB6" s="137" t="s">
        <v>2276</v>
      </c>
      <c r="AC6" s="137">
        <v>0</v>
      </c>
      <c r="AD6" s="137">
        <v>0</v>
      </c>
      <c r="AF6" s="410" t="s">
        <v>246</v>
      </c>
      <c r="AG6" s="410" t="s">
        <v>2093</v>
      </c>
      <c r="AY6" s="137" t="s">
        <v>2117</v>
      </c>
      <c r="AZ6" s="137" t="s">
        <v>2156</v>
      </c>
      <c r="BK6" s="137" t="s">
        <v>2095</v>
      </c>
      <c r="BR6" s="137" t="s">
        <v>1021</v>
      </c>
      <c r="BV6" s="137" t="s">
        <v>2151</v>
      </c>
      <c r="BW6" s="137" t="s">
        <v>2146</v>
      </c>
      <c r="BY6" s="137" t="str">
        <f>'Translate &amp; Prices'!B208</f>
        <v>Dole</v>
      </c>
      <c r="BZ6" s="137">
        <v>4</v>
      </c>
      <c r="CA6" s="137">
        <v>96</v>
      </c>
      <c r="CD6" s="137" t="s">
        <v>2100</v>
      </c>
      <c r="CE6" s="137">
        <v>1</v>
      </c>
      <c r="CG6" s="404"/>
      <c r="CH6" s="404"/>
      <c r="CI6" s="404"/>
      <c r="CJ6" s="404"/>
      <c r="CK6" s="404" t="s">
        <v>2201</v>
      </c>
      <c r="CL6" s="404" t="s">
        <v>2211</v>
      </c>
      <c r="CM6" s="404" t="s">
        <v>2201</v>
      </c>
      <c r="CN6" s="404" t="s">
        <v>2211</v>
      </c>
      <c r="CO6" s="404" t="s">
        <v>2201</v>
      </c>
      <c r="CP6" s="404" t="s">
        <v>2211</v>
      </c>
      <c r="CQ6" s="404" t="s">
        <v>2222</v>
      </c>
      <c r="CR6" s="404" t="s">
        <v>2230</v>
      </c>
      <c r="CS6" s="404" t="s">
        <v>2222</v>
      </c>
      <c r="CT6" s="404" t="s">
        <v>2230</v>
      </c>
      <c r="CU6" s="404" t="s">
        <v>2201</v>
      </c>
      <c r="CV6" s="404" t="s">
        <v>2211</v>
      </c>
      <c r="CW6" s="404" t="s">
        <v>2223</v>
      </c>
      <c r="CX6" s="404" t="s">
        <v>2229</v>
      </c>
      <c r="CY6" s="404" t="s">
        <v>2201</v>
      </c>
      <c r="CZ6" s="404" t="s">
        <v>2211</v>
      </c>
      <c r="DA6" s="404" t="s">
        <v>2223</v>
      </c>
      <c r="DB6" s="404" t="s">
        <v>2229</v>
      </c>
      <c r="DC6" s="404" t="s">
        <v>2223</v>
      </c>
      <c r="DD6" s="404" t="s">
        <v>2229</v>
      </c>
      <c r="DE6" s="404" t="s">
        <v>2223</v>
      </c>
      <c r="DF6" s="404" t="s">
        <v>2229</v>
      </c>
      <c r="DG6" s="404" t="s">
        <v>2201</v>
      </c>
      <c r="DH6" s="404" t="s">
        <v>2211</v>
      </c>
      <c r="DI6" s="404" t="s">
        <v>2201</v>
      </c>
      <c r="DJ6" s="404" t="s">
        <v>2211</v>
      </c>
      <c r="DK6" s="404" t="s">
        <v>2223</v>
      </c>
      <c r="DL6" s="404" t="s">
        <v>2229</v>
      </c>
    </row>
    <row r="7" spans="1:121" x14ac:dyDescent="0.3">
      <c r="A7" s="446" t="str">
        <f>'Translate &amp; Prices'!B10</f>
        <v>BRW hnědá</v>
      </c>
      <c r="B7" s="137">
        <v>1</v>
      </c>
      <c r="C7" s="137" t="s">
        <v>1222</v>
      </c>
      <c r="D7" s="137">
        <v>0</v>
      </c>
      <c r="F7" s="137" t="s">
        <v>2096</v>
      </c>
      <c r="G7" s="137" t="s">
        <v>714</v>
      </c>
      <c r="H7" s="137" t="s">
        <v>2084</v>
      </c>
      <c r="I7" s="137">
        <v>1</v>
      </c>
      <c r="J7" s="137">
        <v>2</v>
      </c>
      <c r="K7" s="137" t="s">
        <v>1222</v>
      </c>
      <c r="Q7" s="446" t="str">
        <f>'Translate &amp; Prices'!$B$90</f>
        <v>Satinato grafit</v>
      </c>
      <c r="R7" s="446" t="str">
        <f>'Translate &amp; Prices'!$B$99</f>
        <v>Zrcadlo hnědé</v>
      </c>
      <c r="S7" s="446" t="str">
        <f>'Translate &amp; Prices'!$B$90</f>
        <v>Satinato grafit</v>
      </c>
      <c r="T7" s="446" t="str">
        <f>'Translate &amp; Prices'!$B$108</f>
        <v>Master  Shine</v>
      </c>
      <c r="U7" s="446" t="str">
        <f>'Translate &amp; Prices'!$B$109</f>
        <v>Lacobel RAL 1013</v>
      </c>
      <c r="V7" s="446" t="str">
        <f>'Translate &amp; Prices'!$B$109</f>
        <v>Lacobel RAL 1013</v>
      </c>
      <c r="AA7" s="137" t="s">
        <v>2087</v>
      </c>
      <c r="AB7" s="137" t="s">
        <v>2277</v>
      </c>
      <c r="AC7" s="137">
        <v>1</v>
      </c>
      <c r="AD7" s="137">
        <v>0</v>
      </c>
      <c r="AF7" s="407" t="s">
        <v>245</v>
      </c>
      <c r="AG7" s="407" t="s">
        <v>2097</v>
      </c>
      <c r="AY7" s="137" t="s">
        <v>2117</v>
      </c>
      <c r="AZ7" s="137" t="s">
        <v>2157</v>
      </c>
      <c r="BK7" s="137" t="s">
        <v>2098</v>
      </c>
      <c r="BR7" s="137" t="s">
        <v>2117</v>
      </c>
      <c r="BV7" s="137" t="s">
        <v>2169</v>
      </c>
      <c r="BW7" s="137" t="s">
        <v>2172</v>
      </c>
      <c r="CA7" s="137">
        <v>128</v>
      </c>
      <c r="CD7" s="137" t="s">
        <v>2102</v>
      </c>
      <c r="CE7" s="137">
        <v>1</v>
      </c>
      <c r="CG7" s="404"/>
      <c r="CH7" s="404"/>
      <c r="CI7" s="404"/>
      <c r="CJ7" s="404"/>
      <c r="CK7" s="404" t="s">
        <v>2202</v>
      </c>
      <c r="CL7" s="404" t="s">
        <v>2212</v>
      </c>
      <c r="CM7" s="404" t="s">
        <v>2202</v>
      </c>
      <c r="CN7" s="404" t="s">
        <v>2212</v>
      </c>
      <c r="CO7" s="404" t="s">
        <v>2202</v>
      </c>
      <c r="CP7" s="404" t="s">
        <v>2212</v>
      </c>
      <c r="CQ7" s="404" t="s">
        <v>2223</v>
      </c>
      <c r="CR7" s="404" t="s">
        <v>2231</v>
      </c>
      <c r="CS7" s="404" t="s">
        <v>2223</v>
      </c>
      <c r="CT7" s="404" t="s">
        <v>2231</v>
      </c>
      <c r="CU7" s="404" t="s">
        <v>2202</v>
      </c>
      <c r="CV7" s="404" t="s">
        <v>2212</v>
      </c>
      <c r="CW7" s="404" t="s">
        <v>2226</v>
      </c>
      <c r="CX7" s="404" t="s">
        <v>2231</v>
      </c>
      <c r="CY7" s="404" t="s">
        <v>2202</v>
      </c>
      <c r="CZ7" s="404" t="s">
        <v>2212</v>
      </c>
      <c r="DA7" s="404" t="s">
        <v>2226</v>
      </c>
      <c r="DB7" s="404" t="s">
        <v>2231</v>
      </c>
      <c r="DC7" s="404" t="s">
        <v>2226</v>
      </c>
      <c r="DD7" s="404" t="s">
        <v>2231</v>
      </c>
      <c r="DE7" s="404" t="s">
        <v>2226</v>
      </c>
      <c r="DF7" s="404" t="s">
        <v>2231</v>
      </c>
      <c r="DG7" s="404" t="s">
        <v>2202</v>
      </c>
      <c r="DH7" s="404" t="s">
        <v>2212</v>
      </c>
      <c r="DI7" s="404" t="s">
        <v>2202</v>
      </c>
      <c r="DJ7" s="404" t="s">
        <v>2212</v>
      </c>
      <c r="DK7" s="404" t="s">
        <v>2226</v>
      </c>
      <c r="DL7" s="404" t="s">
        <v>2231</v>
      </c>
      <c r="DN7" s="165" t="s">
        <v>125</v>
      </c>
      <c r="DO7" s="165" t="s">
        <v>125</v>
      </c>
    </row>
    <row r="8" spans="1:121" x14ac:dyDescent="0.3">
      <c r="A8" s="446" t="str">
        <f>'Translate &amp; Prices'!B11</f>
        <v>BRW broušené</v>
      </c>
      <c r="B8" s="137">
        <v>1</v>
      </c>
      <c r="C8" s="137" t="s">
        <v>1222</v>
      </c>
      <c r="D8" s="137">
        <v>0</v>
      </c>
      <c r="G8" s="137" t="s">
        <v>2084</v>
      </c>
      <c r="H8" s="137" t="s">
        <v>714</v>
      </c>
      <c r="I8" s="137">
        <v>0</v>
      </c>
      <c r="J8" s="137">
        <v>2</v>
      </c>
      <c r="K8" s="137" t="s">
        <v>1222</v>
      </c>
      <c r="Q8" s="446" t="str">
        <f>'Translate &amp; Prices'!$B$91</f>
        <v>Screen</v>
      </c>
      <c r="R8" s="446" t="str">
        <f>'Translate &amp; Prices'!$B$100</f>
        <v>Zrcadlo grafit</v>
      </c>
      <c r="S8" s="446" t="str">
        <f>'Translate &amp; Prices'!$B$91</f>
        <v>Screen</v>
      </c>
      <c r="U8" s="446" t="str">
        <f>'Translate &amp; Prices'!$B$110</f>
        <v>Lacobel RAL 1014</v>
      </c>
      <c r="V8" s="446" t="str">
        <f>'Translate &amp; Prices'!$B$110</f>
        <v>Lacobel RAL 1014</v>
      </c>
      <c r="AA8" s="137" t="s">
        <v>2087</v>
      </c>
      <c r="AB8" s="137" t="s">
        <v>2278</v>
      </c>
      <c r="AC8" s="137">
        <v>0</v>
      </c>
      <c r="AD8" s="137">
        <v>0</v>
      </c>
      <c r="AF8" s="407" t="s">
        <v>246</v>
      </c>
      <c r="AG8" s="407" t="s">
        <v>2097</v>
      </c>
      <c r="AY8" s="137" t="s">
        <v>2117</v>
      </c>
      <c r="AZ8" s="137" t="s">
        <v>2158</v>
      </c>
      <c r="BV8" s="137" t="s">
        <v>2170</v>
      </c>
      <c r="BW8" s="137" t="s">
        <v>2173</v>
      </c>
      <c r="BY8" s="137">
        <v>2</v>
      </c>
      <c r="CA8" s="137">
        <v>160</v>
      </c>
      <c r="CD8" s="137" t="s">
        <v>2274</v>
      </c>
      <c r="CE8" s="137">
        <v>1</v>
      </c>
      <c r="CG8" s="404"/>
      <c r="CH8" s="404"/>
      <c r="CI8" s="404"/>
      <c r="CJ8" s="404"/>
      <c r="CK8" s="404" t="s">
        <v>2203</v>
      </c>
      <c r="CL8" s="404" t="s">
        <v>2213</v>
      </c>
      <c r="CM8" s="404" t="s">
        <v>2203</v>
      </c>
      <c r="CN8" s="404" t="s">
        <v>2213</v>
      </c>
      <c r="CO8" s="404" t="s">
        <v>2203</v>
      </c>
      <c r="CP8" s="404" t="s">
        <v>2213</v>
      </c>
      <c r="CQ8" s="404" t="s">
        <v>2224</v>
      </c>
      <c r="CR8" s="404" t="s">
        <v>2232</v>
      </c>
      <c r="CS8" s="404" t="s">
        <v>2224</v>
      </c>
      <c r="CT8" s="404" t="s">
        <v>2232</v>
      </c>
      <c r="CU8" s="404" t="s">
        <v>2203</v>
      </c>
      <c r="CV8" s="404" t="s">
        <v>2213</v>
      </c>
      <c r="CW8" s="404"/>
      <c r="CX8" s="404" t="s">
        <v>2233</v>
      </c>
      <c r="CY8" s="404" t="s">
        <v>2203</v>
      </c>
      <c r="CZ8" s="404" t="s">
        <v>2213</v>
      </c>
      <c r="DA8" s="404"/>
      <c r="DB8" s="404" t="s">
        <v>2233</v>
      </c>
      <c r="DC8" s="404"/>
      <c r="DD8" s="404" t="s">
        <v>2233</v>
      </c>
      <c r="DE8" s="404"/>
      <c r="DF8" s="404" t="s">
        <v>2233</v>
      </c>
      <c r="DG8" s="404" t="s">
        <v>2203</v>
      </c>
      <c r="DH8" s="404" t="s">
        <v>2213</v>
      </c>
      <c r="DI8" s="404" t="s">
        <v>2203</v>
      </c>
      <c r="DJ8" s="404" t="s">
        <v>2213</v>
      </c>
      <c r="DK8" s="404"/>
      <c r="DL8" s="404" t="s">
        <v>2233</v>
      </c>
      <c r="DN8" s="165" t="s">
        <v>126</v>
      </c>
      <c r="DO8" s="165" t="s">
        <v>126</v>
      </c>
    </row>
    <row r="9" spans="1:121" x14ac:dyDescent="0.3">
      <c r="A9" s="446" t="str">
        <f>'Translate &amp; Prices'!B12</f>
        <v>BRW černá mat</v>
      </c>
      <c r="B9" s="137">
        <v>1</v>
      </c>
      <c r="C9" s="137" t="s">
        <v>1222</v>
      </c>
      <c r="D9" s="137">
        <v>1</v>
      </c>
      <c r="Q9" s="446" t="str">
        <f>'Translate &amp; Prices'!$B$92</f>
        <v>Venus VG10</v>
      </c>
      <c r="R9" s="446" t="str">
        <f>'Translate &amp; Prices'!$B$105</f>
        <v>Master  Ligne</v>
      </c>
      <c r="S9" s="446" t="str">
        <f>'Translate &amp; Prices'!$B$92</f>
        <v>Venus VG10</v>
      </c>
      <c r="U9" s="446" t="str">
        <f>'Translate &amp; Prices'!$B$111</f>
        <v>Lacobel RAL 1015</v>
      </c>
      <c r="V9" s="446" t="str">
        <f>'Translate &amp; Prices'!$B$111</f>
        <v>Lacobel RAL 1015</v>
      </c>
      <c r="AB9" s="137" t="s">
        <v>2279</v>
      </c>
      <c r="AC9" s="137">
        <v>0</v>
      </c>
      <c r="AD9" s="137">
        <v>0</v>
      </c>
      <c r="AF9" s="410" t="s">
        <v>245</v>
      </c>
      <c r="AG9" s="410" t="s">
        <v>2100</v>
      </c>
      <c r="AY9" s="137" t="s">
        <v>2087</v>
      </c>
      <c r="BV9" s="137" t="s">
        <v>2171</v>
      </c>
      <c r="BW9" s="137" t="s">
        <v>2174</v>
      </c>
      <c r="BY9" s="137">
        <v>3</v>
      </c>
      <c r="CA9" s="137">
        <v>192</v>
      </c>
      <c r="CD9" s="137" t="s">
        <v>2107</v>
      </c>
      <c r="CE9" s="137">
        <v>1</v>
      </c>
      <c r="CG9" s="404"/>
      <c r="CH9" s="404"/>
      <c r="CI9" s="404"/>
      <c r="CJ9" s="404"/>
      <c r="CK9" s="404" t="s">
        <v>2204</v>
      </c>
      <c r="CL9" s="404" t="s">
        <v>2214</v>
      </c>
      <c r="CM9" s="404" t="s">
        <v>2204</v>
      </c>
      <c r="CN9" s="404" t="s">
        <v>2214</v>
      </c>
      <c r="CO9" s="404" t="s">
        <v>2204</v>
      </c>
      <c r="CP9" s="404" t="s">
        <v>2214</v>
      </c>
      <c r="CQ9" s="404" t="s">
        <v>2225</v>
      </c>
      <c r="CR9" s="404" t="s">
        <v>2233</v>
      </c>
      <c r="CS9" s="404" t="s">
        <v>2225</v>
      </c>
      <c r="CT9" s="404" t="s">
        <v>2233</v>
      </c>
      <c r="CU9" s="404" t="s">
        <v>2204</v>
      </c>
      <c r="CV9" s="404" t="s">
        <v>2214</v>
      </c>
      <c r="CW9" s="404"/>
      <c r="CX9" s="404"/>
      <c r="CY9" s="404" t="s">
        <v>2204</v>
      </c>
      <c r="CZ9" s="404" t="s">
        <v>2214</v>
      </c>
      <c r="DA9" s="404"/>
      <c r="DB9" s="404"/>
      <c r="DC9" s="404"/>
      <c r="DD9" s="404"/>
      <c r="DE9" s="404"/>
      <c r="DF9" s="404"/>
      <c r="DG9" s="404" t="s">
        <v>2204</v>
      </c>
      <c r="DH9" s="404" t="s">
        <v>2214</v>
      </c>
      <c r="DI9" s="404" t="s">
        <v>2204</v>
      </c>
      <c r="DJ9" s="404" t="s">
        <v>2214</v>
      </c>
      <c r="DK9" s="404"/>
      <c r="DL9" s="404"/>
      <c r="DN9" s="165" t="s">
        <v>127</v>
      </c>
      <c r="DO9" s="165" t="s">
        <v>127</v>
      </c>
    </row>
    <row r="10" spans="1:121" x14ac:dyDescent="0.3">
      <c r="A10" s="446" t="str">
        <f>'Translate &amp; Prices'!B13</f>
        <v>BRW zlatá</v>
      </c>
      <c r="B10" s="137">
        <v>1</v>
      </c>
      <c r="C10" s="137" t="s">
        <v>1222</v>
      </c>
      <c r="D10" s="137">
        <v>0</v>
      </c>
      <c r="Q10" s="446" t="str">
        <f>'Translate &amp; Prices'!$B$93</f>
        <v>Stopsol bronz</v>
      </c>
      <c r="R10" s="446" t="str">
        <f>'Translate &amp; Prices'!$B$106</f>
        <v>Master  Point</v>
      </c>
      <c r="S10" s="446" t="str">
        <f>'Translate &amp; Prices'!$B$93</f>
        <v>Stopsol bronz</v>
      </c>
      <c r="U10" s="446" t="str">
        <f>'Translate &amp; Prices'!$B$112</f>
        <v>Lacobel RAL 2001</v>
      </c>
      <c r="V10" s="446" t="str">
        <f>'Translate &amp; Prices'!$B$112</f>
        <v>Lacobel RAL 2001</v>
      </c>
      <c r="AF10" s="410" t="s">
        <v>246</v>
      </c>
      <c r="AG10" s="410" t="s">
        <v>2100</v>
      </c>
      <c r="AY10" s="137" t="s">
        <v>2087</v>
      </c>
      <c r="AZ10" s="137" t="s">
        <v>2159</v>
      </c>
      <c r="CA10" s="137">
        <v>224</v>
      </c>
      <c r="CD10" s="137" t="s">
        <v>2108</v>
      </c>
      <c r="CE10" s="137">
        <v>1</v>
      </c>
      <c r="CG10" s="404"/>
      <c r="CH10" s="404"/>
      <c r="CI10" s="404"/>
      <c r="CJ10" s="404"/>
      <c r="CK10" s="404" t="s">
        <v>2205</v>
      </c>
      <c r="CL10" s="404" t="s">
        <v>2215</v>
      </c>
      <c r="CM10" s="404" t="s">
        <v>2205</v>
      </c>
      <c r="CN10" s="404" t="s">
        <v>2215</v>
      </c>
      <c r="CO10" s="404" t="s">
        <v>2205</v>
      </c>
      <c r="CP10" s="404" t="s">
        <v>2215</v>
      </c>
      <c r="CQ10" s="404" t="s">
        <v>2226</v>
      </c>
      <c r="CR10" s="404" t="s">
        <v>2234</v>
      </c>
      <c r="CS10" s="404" t="s">
        <v>2226</v>
      </c>
      <c r="CT10" s="404" t="s">
        <v>2234</v>
      </c>
      <c r="CU10" s="404" t="s">
        <v>2205</v>
      </c>
      <c r="CV10" s="404" t="s">
        <v>2215</v>
      </c>
      <c r="CW10" s="404"/>
      <c r="CX10" s="404"/>
      <c r="CY10" s="404" t="s">
        <v>2205</v>
      </c>
      <c r="CZ10" s="404" t="s">
        <v>2215</v>
      </c>
      <c r="DA10" s="404"/>
      <c r="DB10" s="404"/>
      <c r="DC10" s="404"/>
      <c r="DD10" s="404"/>
      <c r="DE10" s="404"/>
      <c r="DF10" s="404"/>
      <c r="DG10" s="404" t="s">
        <v>2205</v>
      </c>
      <c r="DH10" s="404" t="s">
        <v>2215</v>
      </c>
      <c r="DI10" s="404" t="s">
        <v>2205</v>
      </c>
      <c r="DJ10" s="404" t="s">
        <v>2215</v>
      </c>
      <c r="DK10" s="404"/>
      <c r="DL10" s="404"/>
      <c r="DN10" s="166" t="s">
        <v>125</v>
      </c>
      <c r="DO10" s="165" t="s">
        <v>125</v>
      </c>
    </row>
    <row r="11" spans="1:121" x14ac:dyDescent="0.3">
      <c r="A11" s="446" t="str">
        <f>'Translate &amp; Prices'!B14</f>
        <v>BRW černá broušená</v>
      </c>
      <c r="B11" s="137">
        <v>1</v>
      </c>
      <c r="C11" s="137" t="s">
        <v>1222</v>
      </c>
      <c r="D11" s="137">
        <v>0</v>
      </c>
      <c r="Q11" s="446" t="str">
        <f>'Translate &amp; Prices'!$B$94</f>
        <v>Lakomat</v>
      </c>
      <c r="R11" s="446" t="str">
        <f>'Translate &amp; Prices'!$B$108</f>
        <v>Master  Shine</v>
      </c>
      <c r="S11" s="446" t="str">
        <f>'Translate &amp; Prices'!$B$96</f>
        <v>Antisol bronz</v>
      </c>
      <c r="U11" s="446" t="str">
        <f>'Translate &amp; Prices'!$B$113</f>
        <v>Lacobel RAL 3004</v>
      </c>
      <c r="V11" s="446" t="str">
        <f>'Translate &amp; Prices'!$B$113</f>
        <v>Lacobel RAL 3004</v>
      </c>
      <c r="AF11" s="407" t="s">
        <v>245</v>
      </c>
      <c r="AG11" s="407" t="s">
        <v>2102</v>
      </c>
      <c r="AY11" s="137" t="s">
        <v>2087</v>
      </c>
      <c r="AZ11" s="137" t="s">
        <v>2160</v>
      </c>
      <c r="CA11" s="137">
        <v>240</v>
      </c>
      <c r="CD11" s="137" t="s">
        <v>2269</v>
      </c>
      <c r="CE11" s="137">
        <v>1</v>
      </c>
      <c r="CG11" s="404"/>
      <c r="CH11" s="404"/>
      <c r="CI11" s="404"/>
      <c r="CJ11" s="404"/>
      <c r="CK11" s="404" t="s">
        <v>2206</v>
      </c>
      <c r="CL11" s="404"/>
      <c r="CM11" s="404" t="s">
        <v>2206</v>
      </c>
      <c r="CN11" s="404"/>
      <c r="CO11" s="404" t="s">
        <v>2206</v>
      </c>
      <c r="CP11" s="404"/>
      <c r="CQ11" s="404" t="s">
        <v>2227</v>
      </c>
      <c r="CR11" s="404"/>
      <c r="CS11" s="404" t="s">
        <v>2227</v>
      </c>
      <c r="CT11" s="404"/>
      <c r="CU11" s="404" t="s">
        <v>2206</v>
      </c>
      <c r="CV11" s="404"/>
      <c r="CW11" s="404"/>
      <c r="CX11" s="404"/>
      <c r="CY11" s="404" t="s">
        <v>2206</v>
      </c>
      <c r="CZ11" s="404"/>
      <c r="DA11" s="404"/>
      <c r="DB11" s="404"/>
      <c r="DC11" s="404"/>
      <c r="DD11" s="404"/>
      <c r="DE11" s="404"/>
      <c r="DF11" s="404"/>
      <c r="DG11" s="404" t="s">
        <v>2206</v>
      </c>
      <c r="DH11" s="404"/>
      <c r="DI11" s="404" t="s">
        <v>2206</v>
      </c>
      <c r="DJ11" s="404"/>
      <c r="DK11" s="404"/>
      <c r="DL11" s="404"/>
      <c r="DN11" s="166" t="s">
        <v>126</v>
      </c>
      <c r="DO11" s="165" t="s">
        <v>126</v>
      </c>
    </row>
    <row r="12" spans="1:121" x14ac:dyDescent="0.3">
      <c r="A12" s="446" t="str">
        <f>'Translate &amp; Prices'!B15</f>
        <v>BRW světlá nerez (ACIER GRATA)</v>
      </c>
      <c r="B12" s="137">
        <v>1</v>
      </c>
      <c r="C12" s="137" t="s">
        <v>1222</v>
      </c>
      <c r="D12" s="137">
        <v>0</v>
      </c>
      <c r="Q12" s="446" t="str">
        <f>'Translate &amp; Prices'!$B$95</f>
        <v>Pisek</v>
      </c>
      <c r="R12" s="446" t="str">
        <f>'Translate &amp; Prices'!$B$109</f>
        <v>Lacobel RAL 1013</v>
      </c>
      <c r="S12" s="446" t="str">
        <f>'Translate &amp; Prices'!$B$97</f>
        <v>Antisol grafit</v>
      </c>
      <c r="U12" s="446" t="str">
        <f>'Translate &amp; Prices'!$B$114</f>
        <v>Lacobel RAL 4006</v>
      </c>
      <c r="V12" s="446" t="str">
        <f>'Translate &amp; Prices'!$B$114</f>
        <v>Lacobel RAL 4006</v>
      </c>
      <c r="AF12" s="407" t="s">
        <v>246</v>
      </c>
      <c r="AG12" s="407" t="s">
        <v>2102</v>
      </c>
      <c r="AY12" s="137" t="s">
        <v>2087</v>
      </c>
      <c r="AZ12" s="137" t="s">
        <v>2161</v>
      </c>
      <c r="CA12" s="137">
        <v>256</v>
      </c>
      <c r="CD12" s="137" t="s">
        <v>2111</v>
      </c>
      <c r="CE12" s="137">
        <v>1</v>
      </c>
      <c r="CG12" s="404"/>
      <c r="CH12" s="404"/>
      <c r="CI12" s="404"/>
      <c r="CJ12" s="404"/>
      <c r="CK12" s="404" t="s">
        <v>2207</v>
      </c>
      <c r="CL12" s="404"/>
      <c r="CM12" s="404" t="s">
        <v>2207</v>
      </c>
      <c r="CN12" s="404"/>
      <c r="CO12" s="404" t="s">
        <v>2207</v>
      </c>
      <c r="CP12" s="404"/>
      <c r="CQ12" s="404" t="s">
        <v>2228</v>
      </c>
      <c r="CR12" s="404"/>
      <c r="CS12" s="404" t="s">
        <v>2228</v>
      </c>
      <c r="CT12" s="404"/>
      <c r="CU12" s="404" t="s">
        <v>2207</v>
      </c>
      <c r="CV12" s="404"/>
      <c r="CW12" s="404"/>
      <c r="CX12" s="404"/>
      <c r="CY12" s="404" t="s">
        <v>2207</v>
      </c>
      <c r="CZ12" s="404"/>
      <c r="DA12" s="404"/>
      <c r="DB12" s="404"/>
      <c r="DC12" s="404"/>
      <c r="DD12" s="404"/>
      <c r="DE12" s="404"/>
      <c r="DF12" s="404"/>
      <c r="DG12" s="404" t="s">
        <v>2207</v>
      </c>
      <c r="DH12" s="404"/>
      <c r="DI12" s="404" t="s">
        <v>2207</v>
      </c>
      <c r="DJ12" s="404"/>
      <c r="DK12" s="404"/>
      <c r="DL12" s="404"/>
      <c r="DN12" s="166" t="s">
        <v>127</v>
      </c>
      <c r="DO12" s="165" t="s">
        <v>127</v>
      </c>
    </row>
    <row r="13" spans="1:121" x14ac:dyDescent="0.3">
      <c r="A13" s="446" t="str">
        <f>'Translate &amp; Prices'!B16</f>
        <v>BRW champagne</v>
      </c>
      <c r="B13" s="137">
        <v>1</v>
      </c>
      <c r="C13" s="137" t="s">
        <v>1222</v>
      </c>
      <c r="D13" s="137">
        <v>0</v>
      </c>
      <c r="Q13" s="446" t="str">
        <f>'Translate &amp; Prices'!$B$96</f>
        <v>Antisol bronz</v>
      </c>
      <c r="R13" s="446" t="str">
        <f>'Translate &amp; Prices'!$B$110</f>
        <v>Lacobel RAL 1014</v>
      </c>
      <c r="S13" s="446" t="str">
        <f>'Translate &amp; Prices'!$B$102</f>
        <v>Krizet</v>
      </c>
      <c r="U13" s="446" t="str">
        <f>'Translate &amp; Prices'!$B$115</f>
        <v>Lacobel RAL 5002</v>
      </c>
      <c r="V13" s="446" t="str">
        <f>'Translate &amp; Prices'!$B$115</f>
        <v>Lacobel RAL 5002</v>
      </c>
      <c r="AF13" s="410" t="s">
        <v>245</v>
      </c>
      <c r="AG13" s="410" t="s">
        <v>2105</v>
      </c>
      <c r="AY13" s="137" t="s">
        <v>2087</v>
      </c>
      <c r="AZ13" s="137" t="s">
        <v>2162</v>
      </c>
      <c r="BY13" s="137" t="str">
        <f>'Translate &amp; Prices'!B537</f>
        <v>Ne</v>
      </c>
      <c r="BZ13" s="137">
        <v>0</v>
      </c>
      <c r="CA13" s="137">
        <v>288</v>
      </c>
      <c r="CD13" s="137" t="s">
        <v>2268</v>
      </c>
      <c r="CE13" s="137">
        <v>1</v>
      </c>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N13" s="166" t="s">
        <v>492</v>
      </c>
      <c r="DO13" s="165" t="s">
        <v>125</v>
      </c>
    </row>
    <row r="14" spans="1:121" x14ac:dyDescent="0.3">
      <c r="A14" s="446" t="str">
        <f>'Translate &amp; Prices'!B17</f>
        <v>BRW tmavá nerez br. (Inox lija)</v>
      </c>
      <c r="B14" s="137">
        <v>1</v>
      </c>
      <c r="C14" s="137" t="s">
        <v>1222</v>
      </c>
      <c r="D14" s="137">
        <v>0</v>
      </c>
      <c r="F14" s="137" t="str">
        <f>'Translate &amp; Prices'!B60</f>
        <v>Varna (Vlevo a Vpravo) + Siena (Nahoře a dole)</v>
      </c>
      <c r="Q14" s="446" t="str">
        <f>'Translate &amp; Prices'!$B$97</f>
        <v>Antisol grafit</v>
      </c>
      <c r="R14" s="446" t="str">
        <f>'Translate &amp; Prices'!$B$111</f>
        <v>Lacobel RAL 1015</v>
      </c>
      <c r="S14" s="446" t="str">
        <f>'Translate &amp; Prices'!$B$103</f>
        <v>Master (Carre)</v>
      </c>
      <c r="U14" s="446" t="str">
        <f>'Translate &amp; Prices'!$B$116</f>
        <v>Lacobel RAL 7035</v>
      </c>
      <c r="V14" s="446" t="str">
        <f>'Translate &amp; Prices'!$B$116</f>
        <v>Lacobel RAL 7035</v>
      </c>
      <c r="AA14" s="137" t="s">
        <v>2099</v>
      </c>
      <c r="AB14" s="137" t="s">
        <v>2148</v>
      </c>
      <c r="AF14" s="410" t="s">
        <v>246</v>
      </c>
      <c r="AG14" s="410" t="s">
        <v>2105</v>
      </c>
      <c r="AY14" s="137" t="s">
        <v>2087</v>
      </c>
      <c r="AZ14" s="137" t="s">
        <v>2163</v>
      </c>
      <c r="BY14" s="137" t="str">
        <f>'Translate &amp; Prices'!B538</f>
        <v>Horizontálně</v>
      </c>
      <c r="BZ14" s="137">
        <v>1</v>
      </c>
      <c r="CA14" s="137">
        <v>320</v>
      </c>
      <c r="CD14" s="137" t="s">
        <v>2113</v>
      </c>
      <c r="CE14" s="137">
        <v>1</v>
      </c>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4"/>
      <c r="DF14" s="404"/>
      <c r="DG14" s="404"/>
      <c r="DH14" s="404"/>
      <c r="DI14" s="404"/>
      <c r="DJ14" s="404"/>
      <c r="DK14" s="404"/>
      <c r="DL14" s="404"/>
      <c r="DN14" s="166" t="s">
        <v>493</v>
      </c>
      <c r="DO14" s="165" t="s">
        <v>126</v>
      </c>
    </row>
    <row r="15" spans="1:121" x14ac:dyDescent="0.3">
      <c r="A15" s="446" t="str">
        <f>'Translate &amp; Prices'!B18</f>
        <v>Corleone (elox.)</v>
      </c>
      <c r="B15" s="137">
        <v>2</v>
      </c>
      <c r="C15" s="137" t="s">
        <v>1222</v>
      </c>
      <c r="D15" s="137">
        <v>0</v>
      </c>
      <c r="F15" s="137" t="str">
        <f>'Translate &amp; Prices'!B61</f>
        <v>Siena (Vlevo a vpravo) + Varna (Nahoře a dole)</v>
      </c>
      <c r="Q15" s="446" t="str">
        <f>'Translate &amp; Prices'!$B$98</f>
        <v>Zrcadlo</v>
      </c>
      <c r="R15" s="446" t="str">
        <f>'Translate &amp; Prices'!$B$112</f>
        <v>Lacobel RAL 2001</v>
      </c>
      <c r="S15" s="446" t="str">
        <f>'Translate &amp; Prices'!$B$104</f>
        <v xml:space="preserve">Master  Lens </v>
      </c>
      <c r="U15" s="446" t="str">
        <f>'Translate &amp; Prices'!$B$117</f>
        <v>Lacobel RAL 8017</v>
      </c>
      <c r="V15" s="446" t="str">
        <f>'Translate &amp; Prices'!$B$117</f>
        <v>Lacobel RAL 8017</v>
      </c>
      <c r="AA15" s="137" t="s">
        <v>2099</v>
      </c>
      <c r="AB15" s="137" t="s">
        <v>2097</v>
      </c>
      <c r="AC15" s="137">
        <v>1</v>
      </c>
      <c r="AD15" s="137">
        <v>0</v>
      </c>
      <c r="AF15" s="407" t="s">
        <v>245</v>
      </c>
      <c r="AG15" s="407" t="s">
        <v>2107</v>
      </c>
      <c r="AY15" s="137" t="s">
        <v>1021</v>
      </c>
      <c r="BY15" s="137" t="str">
        <f>'Translate &amp; Prices'!B539</f>
        <v>Vertikálně</v>
      </c>
      <c r="BZ15" s="137">
        <v>2</v>
      </c>
      <c r="CD15" s="137" t="s">
        <v>2114</v>
      </c>
      <c r="CE15" s="137">
        <v>1</v>
      </c>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N15" s="166" t="s">
        <v>2348</v>
      </c>
      <c r="DO15" s="165" t="s">
        <v>127</v>
      </c>
    </row>
    <row r="16" spans="1:121" x14ac:dyDescent="0.3">
      <c r="A16" s="446" t="str">
        <f>'Translate &amp; Prices'!B19</f>
        <v>Corleone černé mat</v>
      </c>
      <c r="B16" s="137">
        <v>2</v>
      </c>
      <c r="C16" s="137" t="s">
        <v>1222</v>
      </c>
      <c r="D16" s="137">
        <v>0</v>
      </c>
      <c r="F16" s="137" t="str">
        <f>'Translate &amp; Prices'!B64</f>
        <v>Varna (Vlevo a Vpravo) + Palio (Nahoře a dole)</v>
      </c>
      <c r="Q16" s="446" t="str">
        <f>'Translate &amp; Prices'!$B$99</f>
        <v>Zrcadlo hnědé</v>
      </c>
      <c r="R16" s="446" t="str">
        <f>'Translate &amp; Prices'!$B$113</f>
        <v>Lacobel RAL 3004</v>
      </c>
      <c r="S16" s="446" t="str">
        <f>'Translate &amp; Prices'!$B$105</f>
        <v>Master  Ligne</v>
      </c>
      <c r="U16" s="446" t="str">
        <f>'Translate &amp; Prices'!$B$118</f>
        <v>Lacobel RAL 9003</v>
      </c>
      <c r="V16" s="446" t="str">
        <f>'Translate &amp; Prices'!$B$118</f>
        <v>Lacobel RAL 9003</v>
      </c>
      <c r="AA16" s="137" t="s">
        <v>2099</v>
      </c>
      <c r="AB16" s="137" t="s">
        <v>2100</v>
      </c>
      <c r="AC16" s="137">
        <v>1</v>
      </c>
      <c r="AD16" s="137">
        <v>1</v>
      </c>
      <c r="AF16" s="407" t="s">
        <v>246</v>
      </c>
      <c r="AG16" s="407" t="s">
        <v>2107</v>
      </c>
      <c r="AY16" s="137" t="s">
        <v>1021</v>
      </c>
      <c r="AZ16" s="137" t="s">
        <v>2164</v>
      </c>
      <c r="BY16" s="137" t="str">
        <f>'Translate &amp; Prices'!B540</f>
        <v>Horizontálně i Vertikálně</v>
      </c>
      <c r="BZ16" s="137">
        <v>3</v>
      </c>
      <c r="CD16" s="137" t="s">
        <v>2270</v>
      </c>
      <c r="CE16" s="137">
        <v>1</v>
      </c>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4"/>
      <c r="DF16" s="404"/>
      <c r="DG16" s="404"/>
      <c r="DH16" s="404"/>
      <c r="DI16" s="404"/>
      <c r="DJ16" s="404"/>
      <c r="DK16" s="404"/>
      <c r="DL16" s="404"/>
      <c r="DN16" s="166" t="s">
        <v>568</v>
      </c>
      <c r="DO16" s="165" t="s">
        <v>125</v>
      </c>
    </row>
    <row r="17" spans="1:119" x14ac:dyDescent="0.3">
      <c r="A17" s="446" t="str">
        <f>'Translate &amp; Prices'!B20</f>
        <v>Corleone champagne</v>
      </c>
      <c r="B17" s="137">
        <v>2</v>
      </c>
      <c r="C17" s="137" t="s">
        <v>1222</v>
      </c>
      <c r="D17" s="137">
        <v>0</v>
      </c>
      <c r="F17" s="137" t="str">
        <f>'Translate &amp; Prices'!B65</f>
        <v>Palio (Vlevo a vpravo) + Varna (Nahoře a dole)</v>
      </c>
      <c r="Q17" s="446" t="str">
        <f>'Translate &amp; Prices'!$B$100</f>
        <v>Zrcadlo grafit</v>
      </c>
      <c r="R17" s="446" t="str">
        <f>'Translate &amp; Prices'!$B$114</f>
        <v>Lacobel RAL 4006</v>
      </c>
      <c r="S17" s="446" t="str">
        <f>'Translate &amp; Prices'!$B$106</f>
        <v>Master  Point</v>
      </c>
      <c r="U17" s="446" t="str">
        <f>'Translate &amp; Prices'!$B$119</f>
        <v>Lacobel RAL 9005</v>
      </c>
      <c r="V17" s="446" t="str">
        <f>'Translate &amp; Prices'!$B$119</f>
        <v>Lacobel RAL 9005</v>
      </c>
      <c r="AA17" s="137" t="s">
        <v>2099</v>
      </c>
      <c r="AB17" s="137" t="s">
        <v>2101</v>
      </c>
      <c r="AC17" s="137">
        <v>0</v>
      </c>
      <c r="AD17" s="137">
        <v>0</v>
      </c>
      <c r="AF17" s="410" t="s">
        <v>245</v>
      </c>
      <c r="AG17" s="410" t="s">
        <v>2108</v>
      </c>
      <c r="AY17" s="137" t="s">
        <v>1021</v>
      </c>
      <c r="AZ17" s="137" t="s">
        <v>2165</v>
      </c>
      <c r="CD17" s="137" t="s">
        <v>2271</v>
      </c>
      <c r="CE17" s="137">
        <v>1</v>
      </c>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N17" s="166" t="s">
        <v>569</v>
      </c>
      <c r="DO17" s="165" t="s">
        <v>126</v>
      </c>
    </row>
    <row r="18" spans="1:119" x14ac:dyDescent="0.3">
      <c r="A18" s="446" t="str">
        <f>'Translate &amp; Prices'!B21</f>
        <v>Imola (elox.)</v>
      </c>
      <c r="B18" s="137">
        <v>2</v>
      </c>
      <c r="C18" s="137" t="s">
        <v>2133</v>
      </c>
      <c r="D18" s="137">
        <v>0</v>
      </c>
      <c r="F18" s="137" t="str">
        <f>'Translate &amp; Prices'!B66</f>
        <v>Varna (Vlevo a Vpravo) + Rocca (Nahoře a dole)</v>
      </c>
      <c r="Q18" s="446" t="str">
        <f>'Translate &amp; Prices'!$B$102</f>
        <v>Krizet</v>
      </c>
      <c r="R18" s="446" t="str">
        <f>'Translate &amp; Prices'!$B$115</f>
        <v>Lacobel RAL 5002</v>
      </c>
      <c r="S18" s="446" t="str">
        <f>'Translate &amp; Prices'!$B$107</f>
        <v xml:space="preserve">Master  Ray </v>
      </c>
      <c r="U18" s="446" t="str">
        <f>'Translate &amp; Prices'!$B$120</f>
        <v>Lacobel RAL 9006</v>
      </c>
      <c r="V18" s="446" t="str">
        <f>'Translate &amp; Prices'!$B$120</f>
        <v>Lacobel RAL 9006</v>
      </c>
      <c r="AA18" s="137" t="s">
        <v>2099</v>
      </c>
      <c r="AB18" s="137" t="s">
        <v>2103</v>
      </c>
      <c r="AC18" s="137">
        <v>0</v>
      </c>
      <c r="AD18" s="137">
        <v>0</v>
      </c>
      <c r="AF18" s="410" t="s">
        <v>246</v>
      </c>
      <c r="AG18" s="410" t="s">
        <v>2108</v>
      </c>
      <c r="AY18" s="137" t="s">
        <v>1021</v>
      </c>
      <c r="AZ18" s="137" t="s">
        <v>2166</v>
      </c>
      <c r="BY18" s="137">
        <v>1</v>
      </c>
      <c r="CD18" s="137" t="s">
        <v>2119</v>
      </c>
      <c r="CE18" s="137">
        <v>1</v>
      </c>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N18" s="166" t="s">
        <v>570</v>
      </c>
      <c r="DO18" s="165" t="s">
        <v>127</v>
      </c>
    </row>
    <row r="19" spans="1:119" x14ac:dyDescent="0.3">
      <c r="A19" s="446" t="str">
        <f>'Translate &amp; Prices'!B22</f>
        <v>Imola černá mat</v>
      </c>
      <c r="B19" s="137">
        <v>2</v>
      </c>
      <c r="C19" s="137" t="s">
        <v>2133</v>
      </c>
      <c r="D19" s="137">
        <v>0</v>
      </c>
      <c r="F19" s="137" t="str">
        <f>'Translate &amp; Prices'!B67</f>
        <v>Rocca (Vlevo a vpravo) + Varna (Nahoře a dole)</v>
      </c>
      <c r="Q19" s="446" t="str">
        <f>'Translate &amp; Prices'!$B$103</f>
        <v>Master (Carre)</v>
      </c>
      <c r="R19" s="446" t="str">
        <f>'Translate &amp; Prices'!$B$116</f>
        <v>Lacobel RAL 7035</v>
      </c>
      <c r="S19" s="446" t="str">
        <f>'Translate &amp; Prices'!$B$108</f>
        <v>Master  Shine</v>
      </c>
      <c r="U19" s="446" t="str">
        <f>'Translate &amp; Prices'!$B$121</f>
        <v>Lacobel RAL 9007</v>
      </c>
      <c r="V19" s="446" t="str">
        <f>'Translate &amp; Prices'!$B$121</f>
        <v>Lacobel RAL 9007</v>
      </c>
      <c r="AA19" s="137" t="s">
        <v>2099</v>
      </c>
      <c r="AB19" s="137" t="s">
        <v>2104</v>
      </c>
      <c r="AC19" s="137">
        <v>0</v>
      </c>
      <c r="AD19" s="137">
        <v>0</v>
      </c>
      <c r="AF19" s="407" t="s">
        <v>245</v>
      </c>
      <c r="AG19" s="407" t="s">
        <v>2110</v>
      </c>
      <c r="AY19" s="137" t="s">
        <v>1021</v>
      </c>
      <c r="AZ19" s="137" t="s">
        <v>2167</v>
      </c>
      <c r="BY19" s="137">
        <v>2</v>
      </c>
    </row>
    <row r="20" spans="1:119" x14ac:dyDescent="0.3">
      <c r="A20" s="446" t="str">
        <f>'Translate &amp; Prices'!B23</f>
        <v>Imola bílá mat</v>
      </c>
      <c r="B20" s="137">
        <v>2</v>
      </c>
      <c r="C20" s="137" t="s">
        <v>2133</v>
      </c>
      <c r="D20" s="137">
        <v>0</v>
      </c>
      <c r="Q20" s="446" t="str">
        <f>'Translate &amp; Prices'!$B$104</f>
        <v xml:space="preserve">Master  Lens </v>
      </c>
      <c r="R20" s="446" t="str">
        <f>'Translate &amp; Prices'!$B$117</f>
        <v>Lacobel RAL 8017</v>
      </c>
      <c r="U20" s="446" t="str">
        <f>'Translate &amp; Prices'!$B$122</f>
        <v>Lacobel RAL 9010</v>
      </c>
      <c r="V20" s="446" t="str">
        <f>'Translate &amp; Prices'!$B$122</f>
        <v>Lacobel RAL 9010</v>
      </c>
      <c r="AA20" s="137" t="s">
        <v>2099</v>
      </c>
      <c r="AB20" s="137" t="s">
        <v>2106</v>
      </c>
      <c r="AC20" s="137">
        <v>0</v>
      </c>
      <c r="AD20" s="137">
        <v>0</v>
      </c>
      <c r="AF20" s="407" t="s">
        <v>246</v>
      </c>
      <c r="AG20" s="407" t="s">
        <v>2110</v>
      </c>
      <c r="AY20" s="137" t="s">
        <v>1021</v>
      </c>
      <c r="AZ20" s="137" t="s">
        <v>2168</v>
      </c>
      <c r="BY20" s="137">
        <v>3</v>
      </c>
    </row>
    <row r="21" spans="1:119" x14ac:dyDescent="0.3">
      <c r="A21" s="446" t="str">
        <f>'Translate &amp; Prices'!B24</f>
        <v>Modena (elox.)</v>
      </c>
      <c r="B21" s="137">
        <v>2</v>
      </c>
      <c r="C21" s="137" t="s">
        <v>1222</v>
      </c>
      <c r="D21" s="137">
        <v>0</v>
      </c>
      <c r="Q21" s="446" t="str">
        <f>'Translate &amp; Prices'!$B$105</f>
        <v>Master  Ligne</v>
      </c>
      <c r="R21" s="446" t="str">
        <f>'Translate &amp; Prices'!$B$118</f>
        <v>Lacobel RAL 9003</v>
      </c>
      <c r="U21" s="446" t="str">
        <f>'Translate &amp; Prices'!$B$123</f>
        <v>Lacobel REF 0128</v>
      </c>
      <c r="V21" s="446" t="str">
        <f>'Translate &amp; Prices'!$B$123</f>
        <v>Lacobel REF 0128</v>
      </c>
      <c r="AA21" s="137" t="s">
        <v>2099</v>
      </c>
      <c r="AB21" s="137" t="s">
        <v>2102</v>
      </c>
      <c r="AC21" s="137">
        <v>1</v>
      </c>
      <c r="AD21" s="137">
        <v>0</v>
      </c>
      <c r="AF21" s="410" t="s">
        <v>245</v>
      </c>
      <c r="AG21" s="410" t="s">
        <v>2111</v>
      </c>
      <c r="BY21" s="137">
        <v>4</v>
      </c>
    </row>
    <row r="22" spans="1:119" x14ac:dyDescent="0.3">
      <c r="A22" s="446" t="str">
        <f>'Translate &amp; Prices'!B25</f>
        <v>Modena černá mat</v>
      </c>
      <c r="B22" s="137">
        <v>2</v>
      </c>
      <c r="C22" s="137" t="s">
        <v>1222</v>
      </c>
      <c r="D22" s="137">
        <v>0</v>
      </c>
      <c r="Q22" s="446" t="str">
        <f>'Translate &amp; Prices'!$B$106</f>
        <v>Master  Point</v>
      </c>
      <c r="R22" s="446" t="str">
        <f>'Translate &amp; Prices'!$B$119</f>
        <v>Lacobel RAL 9005</v>
      </c>
      <c r="U22" s="446" t="str">
        <f>'Translate &amp; Prices'!$B$124</f>
        <v>Lacobel REF 0327</v>
      </c>
      <c r="V22" s="446" t="str">
        <f>'Translate &amp; Prices'!$B$124</f>
        <v>Lacobel REF 0327</v>
      </c>
      <c r="AA22" s="137" t="s">
        <v>2099</v>
      </c>
      <c r="AB22" s="137" t="s">
        <v>2274</v>
      </c>
      <c r="AC22" s="137">
        <v>1</v>
      </c>
      <c r="AD22" s="137">
        <v>0</v>
      </c>
      <c r="AF22" s="410" t="s">
        <v>246</v>
      </c>
      <c r="AG22" s="410" t="s">
        <v>2111</v>
      </c>
      <c r="BY22" s="137">
        <v>5</v>
      </c>
    </row>
    <row r="23" spans="1:119" x14ac:dyDescent="0.3">
      <c r="A23" s="446" t="str">
        <f>'Translate &amp; Prices'!B26</f>
        <v>Verona zlatá</v>
      </c>
      <c r="B23" s="137">
        <v>2</v>
      </c>
      <c r="C23" s="137" t="s">
        <v>1222</v>
      </c>
      <c r="D23" s="137">
        <v>0</v>
      </c>
      <c r="G23" s="946"/>
      <c r="H23" s="946"/>
      <c r="I23" s="946"/>
      <c r="Q23" s="446" t="str">
        <f>'Translate &amp; Prices'!$B$107</f>
        <v xml:space="preserve">Master  Ray </v>
      </c>
      <c r="R23" s="446" t="str">
        <f>'Translate &amp; Prices'!$B$120</f>
        <v>Lacobel RAL 9006</v>
      </c>
      <c r="U23" s="446" t="str">
        <f>'Translate &amp; Prices'!$B$125</f>
        <v>Lacobel REF 0337</v>
      </c>
      <c r="V23" s="446" t="str">
        <f>'Translate &amp; Prices'!$B$125</f>
        <v>Lacobel REF 0337</v>
      </c>
      <c r="AA23" s="137" t="s">
        <v>2099</v>
      </c>
      <c r="AB23" s="137" t="s">
        <v>2107</v>
      </c>
      <c r="AC23" s="137">
        <v>1</v>
      </c>
      <c r="AD23" s="137">
        <v>0</v>
      </c>
      <c r="AF23" s="407" t="s">
        <v>245</v>
      </c>
      <c r="AG23" s="407" t="s">
        <v>2112</v>
      </c>
      <c r="BY23" s="137">
        <v>6</v>
      </c>
    </row>
    <row r="24" spans="1:119" x14ac:dyDescent="0.3">
      <c r="A24" s="446" t="str">
        <f>'Translate &amp; Prices'!B27</f>
        <v>Modena černá broušená</v>
      </c>
      <c r="B24" s="137">
        <v>2</v>
      </c>
      <c r="C24" s="137" t="s">
        <v>1222</v>
      </c>
      <c r="D24" s="137">
        <v>0</v>
      </c>
      <c r="G24" s="946"/>
      <c r="H24" s="946"/>
      <c r="I24" s="946"/>
      <c r="Q24" s="446" t="str">
        <f>'Translate &amp; Prices'!$B$108</f>
        <v>Master  Shine</v>
      </c>
      <c r="R24" s="446" t="str">
        <f>'Translate &amp; Prices'!$B$121</f>
        <v>Lacobel RAL 9007</v>
      </c>
      <c r="U24" s="446" t="str">
        <f>'Translate &amp; Prices'!$B$126</f>
        <v>Lacobel REF 0627</v>
      </c>
      <c r="V24" s="446" t="str">
        <f>'Translate &amp; Prices'!$B$126</f>
        <v>Lacobel REF 0627</v>
      </c>
      <c r="AF24" s="407" t="s">
        <v>246</v>
      </c>
      <c r="AG24" s="407" t="s">
        <v>2112</v>
      </c>
      <c r="BY24" s="137">
        <v>7</v>
      </c>
    </row>
    <row r="25" spans="1:119" x14ac:dyDescent="0.3">
      <c r="A25" s="446" t="str">
        <f>'Translate &amp; Prices'!B28</f>
        <v>Modena tmavá nerez br. (inox lija)</v>
      </c>
      <c r="B25" s="137">
        <v>2</v>
      </c>
      <c r="C25" s="137" t="s">
        <v>1222</v>
      </c>
      <c r="D25" s="137">
        <v>0</v>
      </c>
      <c r="G25" s="946"/>
      <c r="H25" s="946"/>
      <c r="I25" s="946"/>
      <c r="Q25" s="446" t="str">
        <f>'Translate &amp; Prices'!$B$109</f>
        <v>Lacobel RAL 1013</v>
      </c>
      <c r="R25" s="446" t="str">
        <f>'Translate &amp; Prices'!$B$122</f>
        <v>Lacobel RAL 9010</v>
      </c>
      <c r="U25" s="446" t="str">
        <f>'Translate &amp; Prices'!$B$127</f>
        <v>Lacobel REF 0667</v>
      </c>
      <c r="V25" s="446" t="str">
        <f>'Translate &amp; Prices'!$B$127</f>
        <v>Lacobel REF 0667</v>
      </c>
      <c r="AF25" s="410" t="s">
        <v>245</v>
      </c>
      <c r="AG25" s="410" t="s">
        <v>2113</v>
      </c>
      <c r="BY25" s="137">
        <v>8</v>
      </c>
    </row>
    <row r="26" spans="1:119" x14ac:dyDescent="0.3">
      <c r="A26" s="446" t="str">
        <f>'Translate &amp; Prices'!B29</f>
        <v>Palio (elox.)</v>
      </c>
      <c r="B26" s="137">
        <v>2</v>
      </c>
      <c r="C26" s="137" t="s">
        <v>1222</v>
      </c>
      <c r="D26" s="137">
        <v>0</v>
      </c>
      <c r="G26" s="946"/>
      <c r="H26" s="946"/>
      <c r="I26" s="946"/>
      <c r="Q26" s="446" t="str">
        <f>'Translate &amp; Prices'!$B$110</f>
        <v>Lacobel RAL 1014</v>
      </c>
      <c r="R26" s="446" t="str">
        <f>'Translate &amp; Prices'!$B$123</f>
        <v>Lacobel REF 0128</v>
      </c>
      <c r="U26" s="446" t="str">
        <f>'Translate &amp; Prices'!$B$128</f>
        <v>Lacobel REF 1164</v>
      </c>
      <c r="V26" s="446" t="str">
        <f>'Translate &amp; Prices'!$B$128</f>
        <v>Lacobel REF 1164</v>
      </c>
      <c r="AF26" s="410" t="s">
        <v>246</v>
      </c>
      <c r="AG26" s="410" t="s">
        <v>2113</v>
      </c>
      <c r="BY26" s="137">
        <v>9</v>
      </c>
    </row>
    <row r="27" spans="1:119" x14ac:dyDescent="0.3">
      <c r="A27" s="446" t="str">
        <f>'Translate &amp; Prices'!B30</f>
        <v>Palio černá mat</v>
      </c>
      <c r="B27" s="137">
        <v>2</v>
      </c>
      <c r="C27" s="137" t="s">
        <v>1222</v>
      </c>
      <c r="D27" s="137">
        <v>0</v>
      </c>
      <c r="G27" s="946"/>
      <c r="H27" s="946"/>
      <c r="I27" s="946"/>
      <c r="Q27" s="446" t="str">
        <f>'Translate &amp; Prices'!$B$111</f>
        <v>Lacobel RAL 1015</v>
      </c>
      <c r="R27" s="446" t="str">
        <f>'Translate &amp; Prices'!$B$124</f>
        <v>Lacobel REF 0327</v>
      </c>
      <c r="U27" s="446" t="str">
        <f>'Translate &amp; Prices'!$B$129</f>
        <v>Lacobel REF 1236</v>
      </c>
      <c r="V27" s="446" t="str">
        <f>'Translate &amp; Prices'!$B$129</f>
        <v>Lacobel REF 1236</v>
      </c>
      <c r="AF27" s="407" t="s">
        <v>245</v>
      </c>
      <c r="AG27" s="407" t="s">
        <v>2114</v>
      </c>
      <c r="BY27" s="137">
        <v>10</v>
      </c>
    </row>
    <row r="28" spans="1:119" x14ac:dyDescent="0.3">
      <c r="A28" s="446" t="str">
        <f>'Translate &amp; Prices'!B31</f>
        <v>Pisa (elox.)</v>
      </c>
      <c r="B28" s="137">
        <v>2</v>
      </c>
      <c r="C28" s="137" t="s">
        <v>2133</v>
      </c>
      <c r="D28" s="137">
        <v>0</v>
      </c>
      <c r="G28" s="946"/>
      <c r="H28" s="946"/>
      <c r="I28" s="946"/>
      <c r="Q28" s="446" t="str">
        <f>'Translate &amp; Prices'!$B$112</f>
        <v>Lacobel RAL 2001</v>
      </c>
      <c r="R28" s="446" t="str">
        <f>'Translate &amp; Prices'!$B$125</f>
        <v>Lacobel REF 0337</v>
      </c>
      <c r="U28" s="446" t="str">
        <f>'Translate &amp; Prices'!$B$130</f>
        <v>Lacobel REF 1435</v>
      </c>
      <c r="V28" s="446" t="str">
        <f>'Translate &amp; Prices'!$B$130</f>
        <v>Lacobel REF 1435</v>
      </c>
      <c r="AA28" s="137" t="s">
        <v>2109</v>
      </c>
      <c r="AB28" s="137" t="s">
        <v>2147</v>
      </c>
      <c r="AF28" s="407" t="s">
        <v>246</v>
      </c>
      <c r="AG28" s="407" t="s">
        <v>2114</v>
      </c>
    </row>
    <row r="29" spans="1:119" x14ac:dyDescent="0.3">
      <c r="A29" s="446" t="str">
        <f>'Translate &amp; Prices'!B32</f>
        <v>Pisa černá mat</v>
      </c>
      <c r="B29" s="137">
        <v>2</v>
      </c>
      <c r="C29" s="137" t="s">
        <v>2133</v>
      </c>
      <c r="D29" s="137">
        <v>0</v>
      </c>
      <c r="G29" s="946"/>
      <c r="H29" s="946"/>
      <c r="I29" s="946"/>
      <c r="Q29" s="446" t="str">
        <f>'Translate &amp; Prices'!$B$113</f>
        <v>Lacobel RAL 3004</v>
      </c>
      <c r="R29" s="446" t="str">
        <f>'Translate &amp; Prices'!$B$126</f>
        <v>Lacobel REF 0627</v>
      </c>
      <c r="U29" s="446" t="str">
        <f>'Translate &amp; Prices'!$B$131</f>
        <v>Lacobel REF 1586</v>
      </c>
      <c r="V29" s="446" t="str">
        <f>'Translate &amp; Prices'!$B$131</f>
        <v>Lacobel REF 1586</v>
      </c>
      <c r="AA29" s="137" t="s">
        <v>2109</v>
      </c>
      <c r="AB29" s="137" t="s">
        <v>2108</v>
      </c>
      <c r="AC29" s="137">
        <v>1</v>
      </c>
      <c r="AD29" s="137">
        <v>0</v>
      </c>
      <c r="AF29" s="410" t="s">
        <v>245</v>
      </c>
      <c r="AG29" s="410" t="s">
        <v>2115</v>
      </c>
    </row>
    <row r="30" spans="1:119" x14ac:dyDescent="0.3">
      <c r="A30" s="446" t="str">
        <f>'Translate &amp; Prices'!B33</f>
        <v>Vivaro zlatá</v>
      </c>
      <c r="B30" s="137">
        <v>2</v>
      </c>
      <c r="C30" s="137" t="s">
        <v>2133</v>
      </c>
      <c r="D30" s="137">
        <v>0</v>
      </c>
      <c r="Q30" s="446" t="str">
        <f>'Translate &amp; Prices'!$B$114</f>
        <v>Lacobel RAL 4006</v>
      </c>
      <c r="R30" s="446" t="str">
        <f>'Translate &amp; Prices'!$B$127</f>
        <v>Lacobel REF 0667</v>
      </c>
      <c r="U30" s="446" t="str">
        <f>'Translate &amp; Prices'!$B$132</f>
        <v>Lacobel REF 1603</v>
      </c>
      <c r="V30" s="446" t="str">
        <f>'Translate &amp; Prices'!$B$132</f>
        <v>Lacobel REF 1603</v>
      </c>
      <c r="AA30" s="137" t="s">
        <v>2109</v>
      </c>
      <c r="AB30" s="137" t="s">
        <v>2269</v>
      </c>
      <c r="AC30" s="137">
        <v>1</v>
      </c>
      <c r="AD30" s="137">
        <v>0</v>
      </c>
      <c r="AF30" s="410" t="s">
        <v>246</v>
      </c>
      <c r="AG30" s="410" t="s">
        <v>2115</v>
      </c>
    </row>
    <row r="31" spans="1:119" x14ac:dyDescent="0.3">
      <c r="A31" s="446" t="str">
        <f>'Translate &amp; Prices'!B34</f>
        <v>Ravena (elox.)</v>
      </c>
      <c r="B31" s="137">
        <v>1</v>
      </c>
      <c r="C31" s="137" t="s">
        <v>1222</v>
      </c>
      <c r="D31" s="137">
        <v>0</v>
      </c>
      <c r="G31" s="11"/>
      <c r="H31" s="11"/>
      <c r="I31" s="11"/>
      <c r="Q31" s="446" t="str">
        <f>'Translate &amp; Prices'!$B$115</f>
        <v>Lacobel RAL 5002</v>
      </c>
      <c r="R31" s="446" t="str">
        <f>'Translate &amp; Prices'!$B$128</f>
        <v>Lacobel REF 1164</v>
      </c>
      <c r="U31" s="446" t="str">
        <f>'Translate &amp; Prices'!$B$133</f>
        <v>Lacobel REF 1604</v>
      </c>
      <c r="V31" s="446" t="str">
        <f>'Translate &amp; Prices'!$B$133</f>
        <v>Lacobel REF 1604</v>
      </c>
      <c r="AA31" s="137" t="s">
        <v>2109</v>
      </c>
      <c r="AB31" s="137" t="s">
        <v>2111</v>
      </c>
      <c r="AC31" s="137">
        <v>1</v>
      </c>
      <c r="AD31" s="137">
        <v>0</v>
      </c>
      <c r="AF31" s="407" t="s">
        <v>245</v>
      </c>
      <c r="AG31" s="407" t="s">
        <v>2116</v>
      </c>
    </row>
    <row r="32" spans="1:119" x14ac:dyDescent="0.3">
      <c r="A32" s="446" t="str">
        <f>'Translate &amp; Prices'!B35</f>
        <v>Siena (elox.)</v>
      </c>
      <c r="B32" s="137">
        <v>2</v>
      </c>
      <c r="C32" s="137" t="s">
        <v>1222</v>
      </c>
      <c r="D32" s="137">
        <v>0</v>
      </c>
      <c r="G32" s="11"/>
      <c r="H32" s="11"/>
      <c r="I32" s="11"/>
      <c r="Q32" s="446" t="str">
        <f>'Translate &amp; Prices'!$B$116</f>
        <v>Lacobel RAL 7035</v>
      </c>
      <c r="R32" s="446" t="str">
        <f>'Translate &amp; Prices'!$B$129</f>
        <v>Lacobel REF 1236</v>
      </c>
      <c r="U32" s="446" t="str">
        <f>'Translate &amp; Prices'!$B$134</f>
        <v>Matelac RAL 2001</v>
      </c>
      <c r="V32" s="446" t="str">
        <f>'Translate &amp; Prices'!$B$134</f>
        <v>Matelac RAL 2001</v>
      </c>
      <c r="AA32" s="137" t="s">
        <v>2109</v>
      </c>
      <c r="AB32" s="137" t="s">
        <v>2268</v>
      </c>
      <c r="AC32" s="137">
        <v>1</v>
      </c>
      <c r="AD32" s="137">
        <v>0</v>
      </c>
      <c r="AF32" s="407" t="s">
        <v>246</v>
      </c>
      <c r="AG32" s="407" t="s">
        <v>2116</v>
      </c>
    </row>
    <row r="33" spans="1:33" x14ac:dyDescent="0.3">
      <c r="A33" s="446" t="str">
        <f>'Translate &amp; Prices'!$B$36</f>
        <v>Siena černá mat</v>
      </c>
      <c r="B33" s="137">
        <v>2</v>
      </c>
      <c r="C33" s="137" t="s">
        <v>1222</v>
      </c>
      <c r="D33" s="137">
        <v>0</v>
      </c>
      <c r="G33" s="11"/>
      <c r="H33" s="11"/>
      <c r="I33" s="11"/>
      <c r="Q33" s="446" t="str">
        <f>'Translate &amp; Prices'!$B$117</f>
        <v>Lacobel RAL 8017</v>
      </c>
      <c r="R33" s="446" t="str">
        <f>'Translate &amp; Prices'!$B$130</f>
        <v>Lacobel REF 1435</v>
      </c>
      <c r="U33" s="446" t="str">
        <f>'Translate &amp; Prices'!$B$135</f>
        <v>Matelac RAL 3004</v>
      </c>
      <c r="V33" s="446" t="str">
        <f>'Translate &amp; Prices'!$B$135</f>
        <v>Matelac RAL 3004</v>
      </c>
      <c r="AA33" s="137" t="s">
        <v>2109</v>
      </c>
      <c r="AB33" s="137" t="s">
        <v>2113</v>
      </c>
      <c r="AC33" s="137">
        <v>1</v>
      </c>
      <c r="AD33" s="137">
        <v>0</v>
      </c>
      <c r="AF33" s="410" t="s">
        <v>245</v>
      </c>
      <c r="AG33" s="410" t="s">
        <v>2119</v>
      </c>
    </row>
    <row r="34" spans="1:33" x14ac:dyDescent="0.3">
      <c r="A34" s="446" t="str">
        <f>'Translate &amp; Prices'!B37</f>
        <v>Verona (elox.)</v>
      </c>
      <c r="B34" s="137">
        <v>1</v>
      </c>
      <c r="C34" s="137" t="s">
        <v>1222</v>
      </c>
      <c r="D34" s="137">
        <v>0</v>
      </c>
      <c r="G34" s="11"/>
      <c r="H34" s="11"/>
      <c r="I34" s="11"/>
      <c r="Q34" s="446" t="str">
        <f>'Translate &amp; Prices'!$B$118</f>
        <v>Lacobel RAL 9003</v>
      </c>
      <c r="R34" s="446" t="str">
        <f>'Translate &amp; Prices'!$B$131</f>
        <v>Lacobel REF 1586</v>
      </c>
      <c r="U34" s="446" t="str">
        <f>'Translate &amp; Prices'!$B$136</f>
        <v>Matelac RAL 7021</v>
      </c>
      <c r="V34" s="446" t="str">
        <f>'Translate &amp; Prices'!$B$136</f>
        <v>Matelac RAL 7021</v>
      </c>
      <c r="AB34" s="137" t="s">
        <v>2114</v>
      </c>
      <c r="AC34" s="137">
        <v>1</v>
      </c>
      <c r="AD34" s="137">
        <v>0</v>
      </c>
      <c r="AF34" s="410" t="s">
        <v>246</v>
      </c>
      <c r="AG34" s="410" t="s">
        <v>2119</v>
      </c>
    </row>
    <row r="35" spans="1:33" x14ac:dyDescent="0.3">
      <c r="A35" s="446" t="str">
        <f>'Translate &amp; Prices'!B38</f>
        <v>Verona broušený hliník</v>
      </c>
      <c r="B35" s="137">
        <v>1</v>
      </c>
      <c r="C35" s="137" t="s">
        <v>1222</v>
      </c>
      <c r="D35" s="137">
        <v>0</v>
      </c>
      <c r="G35" s="11"/>
      <c r="H35" s="11"/>
      <c r="I35" s="11"/>
      <c r="Q35" s="446" t="str">
        <f>'Translate &amp; Prices'!$B$119</f>
        <v>Lacobel RAL 9005</v>
      </c>
      <c r="R35" s="446" t="str">
        <f>'Translate &amp; Prices'!$B$132</f>
        <v>Lacobel REF 1603</v>
      </c>
      <c r="U35" s="446" t="str">
        <f>'Translate &amp; Prices'!$B$137</f>
        <v>Matelac RAL 9003</v>
      </c>
      <c r="V35" s="446" t="str">
        <f>'Translate &amp; Prices'!$B$137</f>
        <v>Matelac RAL 9003</v>
      </c>
    </row>
    <row r="36" spans="1:33" x14ac:dyDescent="0.3">
      <c r="A36" s="446" t="str">
        <f>'Translate &amp; Prices'!B39</f>
        <v>Verona černá lesk</v>
      </c>
      <c r="B36" s="137">
        <v>1</v>
      </c>
      <c r="C36" s="137" t="s">
        <v>1222</v>
      </c>
      <c r="D36" s="137">
        <v>0</v>
      </c>
      <c r="G36" s="11"/>
      <c r="H36" s="11"/>
      <c r="I36" s="11"/>
      <c r="Q36" s="446" t="str">
        <f>'Translate &amp; Prices'!$B$120</f>
        <v>Lacobel RAL 9006</v>
      </c>
      <c r="R36" s="446" t="str">
        <f>'Translate &amp; Prices'!$B$133</f>
        <v>Lacobel REF 1604</v>
      </c>
      <c r="U36" s="446" t="str">
        <f>'Translate &amp; Prices'!$B$138</f>
        <v>Matelac RAL 9005</v>
      </c>
      <c r="V36" s="446" t="str">
        <f>'Translate &amp; Prices'!$B$138</f>
        <v>Matelac RAL 9005</v>
      </c>
    </row>
    <row r="37" spans="1:33" x14ac:dyDescent="0.3">
      <c r="A37" s="446" t="str">
        <f>'Translate &amp; Prices'!B40</f>
        <v>Verona černá mat</v>
      </c>
      <c r="B37" s="137">
        <v>1</v>
      </c>
      <c r="C37" s="137" t="s">
        <v>1222</v>
      </c>
      <c r="D37" s="137">
        <v>0</v>
      </c>
      <c r="G37" s="11"/>
      <c r="H37" s="11"/>
      <c r="I37" s="11"/>
      <c r="Q37" s="446" t="str">
        <f>'Translate &amp; Prices'!$B$121</f>
        <v>Lacobel RAL 9007</v>
      </c>
      <c r="R37" s="446" t="str">
        <f>'Translate &amp; Prices'!$B$134</f>
        <v>Matelac RAL 2001</v>
      </c>
      <c r="U37" s="446" t="str">
        <f>'Translate &amp; Prices'!$B$139</f>
        <v>Matelac RAL 9006</v>
      </c>
      <c r="V37" s="446" t="str">
        <f>'Translate &amp; Prices'!$B$139</f>
        <v>Matelac RAL 9006</v>
      </c>
    </row>
    <row r="38" spans="1:33" x14ac:dyDescent="0.3">
      <c r="A38" s="446" t="str">
        <f>'Translate &amp; Prices'!B41</f>
        <v>Verona hnědá</v>
      </c>
      <c r="B38" s="137">
        <v>1</v>
      </c>
      <c r="C38" s="137" t="s">
        <v>1222</v>
      </c>
      <c r="D38" s="137">
        <v>0</v>
      </c>
      <c r="Q38" s="446" t="str">
        <f>'Translate &amp; Prices'!$B$122</f>
        <v>Lacobel RAL 9010</v>
      </c>
      <c r="R38" s="446" t="str">
        <f>'Translate &amp; Prices'!$B$135</f>
        <v>Matelac RAL 3004</v>
      </c>
      <c r="U38" s="446" t="str">
        <f>'Translate &amp; Prices'!$B$140</f>
        <v>Matelac RAL 9010</v>
      </c>
      <c r="V38" s="446" t="str">
        <f>'Translate &amp; Prices'!$B$140</f>
        <v>Matelac RAL 9010</v>
      </c>
    </row>
    <row r="39" spans="1:33" x14ac:dyDescent="0.3">
      <c r="A39" s="446" t="str">
        <f>'Translate &amp; Prices'!B42</f>
        <v>Verona champagne</v>
      </c>
      <c r="B39" s="137">
        <v>1</v>
      </c>
      <c r="C39" s="137" t="s">
        <v>1222</v>
      </c>
      <c r="D39" s="137">
        <v>0</v>
      </c>
      <c r="Q39" s="446" t="str">
        <f>'Translate &amp; Prices'!$B$123</f>
        <v>Lacobel REF 0128</v>
      </c>
      <c r="R39" s="446" t="str">
        <f>'Translate &amp; Prices'!$B$136</f>
        <v>Matelac RAL 7021</v>
      </c>
      <c r="U39" s="446" t="str">
        <f>'Translate &amp; Prices'!$B$141</f>
        <v>Matelac REF 1435</v>
      </c>
      <c r="V39" s="446" t="str">
        <f>'Translate &amp; Prices'!$B$141</f>
        <v>Matelac REF 1435</v>
      </c>
      <c r="AA39" s="137" t="s">
        <v>1021</v>
      </c>
      <c r="AB39" s="137" t="s">
        <v>2145</v>
      </c>
    </row>
    <row r="40" spans="1:33" x14ac:dyDescent="0.3">
      <c r="A40" s="446" t="str">
        <f>'Translate &amp; Prices'!B43</f>
        <v>Verona tmavá nerez broušená</v>
      </c>
      <c r="B40" s="137">
        <v>1</v>
      </c>
      <c r="C40" s="137" t="s">
        <v>1222</v>
      </c>
      <c r="D40" s="137">
        <v>0</v>
      </c>
      <c r="Q40" s="446" t="str">
        <f>'Translate &amp; Prices'!$B$124</f>
        <v>Lacobel REF 0327</v>
      </c>
      <c r="R40" s="446" t="str">
        <f>'Translate &amp; Prices'!$B$137</f>
        <v>Matelac RAL 9003</v>
      </c>
      <c r="U40" s="446" t="str">
        <f>'Translate &amp; Prices'!$B$142</f>
        <v>Matelac REF 1586</v>
      </c>
      <c r="V40" s="446" t="str">
        <f>'Translate &amp; Prices'!$B$142</f>
        <v>Matelac REF 1586</v>
      </c>
      <c r="AA40" s="137" t="s">
        <v>1021</v>
      </c>
      <c r="AB40" s="137" t="s">
        <v>2270</v>
      </c>
      <c r="AC40" s="137">
        <v>1</v>
      </c>
      <c r="AD40" s="137">
        <v>0</v>
      </c>
    </row>
    <row r="41" spans="1:33" x14ac:dyDescent="0.3">
      <c r="A41" s="446" t="str">
        <f>'Translate &amp; Prices'!B44</f>
        <v>Verona světlá nerez (Acier grata)</v>
      </c>
      <c r="B41" s="137">
        <v>1</v>
      </c>
      <c r="C41" s="137" t="s">
        <v>1222</v>
      </c>
      <c r="D41" s="137">
        <v>0</v>
      </c>
      <c r="Q41" s="446" t="str">
        <f>'Translate &amp; Prices'!$B$125</f>
        <v>Lacobel REF 0337</v>
      </c>
      <c r="R41" s="446" t="str">
        <f>'Translate &amp; Prices'!$B$138</f>
        <v>Matelac RAL 9005</v>
      </c>
      <c r="U41" s="446" t="str">
        <f>'Translate &amp; Prices'!$B$143</f>
        <v>Matelac zrcadlo bronz</v>
      </c>
      <c r="V41" s="446" t="str">
        <f>'Translate &amp; Prices'!$B$143</f>
        <v>Matelac zrcadlo bronz</v>
      </c>
      <c r="AB41" s="137" t="s">
        <v>2271</v>
      </c>
      <c r="AC41" s="137">
        <v>1</v>
      </c>
      <c r="AD41" s="137">
        <v>0</v>
      </c>
    </row>
    <row r="42" spans="1:33" x14ac:dyDescent="0.3">
      <c r="A42" s="446" t="str">
        <f>'Translate &amp; Prices'!B45</f>
        <v>Vivaro (elox.)</v>
      </c>
      <c r="B42" s="137">
        <v>2</v>
      </c>
      <c r="C42" s="137" t="s">
        <v>1222</v>
      </c>
      <c r="D42" s="137">
        <v>1</v>
      </c>
      <c r="Q42" s="446" t="str">
        <f>'Translate &amp; Prices'!$B$126</f>
        <v>Lacobel REF 0627</v>
      </c>
      <c r="R42" s="446" t="str">
        <f>'Translate &amp; Prices'!$B$139</f>
        <v>Matelac RAL 9006</v>
      </c>
      <c r="U42" s="446" t="str">
        <f>'Translate &amp; Prices'!$B$145</f>
        <v>Matelac zrcadlo grafit</v>
      </c>
      <c r="V42" s="446" t="str">
        <f>'Translate &amp; Prices'!$B$145</f>
        <v>Matelac zrcadlo grafit</v>
      </c>
      <c r="AA42" s="137" t="s">
        <v>2117</v>
      </c>
      <c r="AB42" s="137" t="s">
        <v>2146</v>
      </c>
    </row>
    <row r="43" spans="1:33" x14ac:dyDescent="0.3">
      <c r="A43" s="446" t="str">
        <f>'Translate &amp; Prices'!B46</f>
        <v>Vivaro černá mat</v>
      </c>
      <c r="B43" s="137">
        <v>2</v>
      </c>
      <c r="C43" s="137" t="s">
        <v>1222</v>
      </c>
      <c r="D43" s="137">
        <v>1</v>
      </c>
      <c r="Q43" s="446" t="str">
        <f>'Translate &amp; Prices'!$B$127</f>
        <v>Lacobel REF 0667</v>
      </c>
      <c r="R43" s="446" t="str">
        <f>'Translate &amp; Prices'!$B$140</f>
        <v>Matelac RAL 9010</v>
      </c>
      <c r="U43" s="446" t="str">
        <f>'Translate &amp; Prices'!$B$146</f>
        <v>Matelac zrcadlo stříbr.</v>
      </c>
      <c r="V43" s="446" t="str">
        <f>'Translate &amp; Prices'!$B$146</f>
        <v>Matelac zrcadlo stříbr.</v>
      </c>
      <c r="AA43" s="137" t="s">
        <v>2117</v>
      </c>
      <c r="AB43" s="137" t="s">
        <v>2280</v>
      </c>
      <c r="AC43" s="137">
        <v>0</v>
      </c>
      <c r="AD43" s="137">
        <v>0</v>
      </c>
    </row>
    <row r="44" spans="1:33" x14ac:dyDescent="0.3">
      <c r="A44" s="446" t="str">
        <f>'Translate &amp; Prices'!B47</f>
        <v>Imola zlatá</v>
      </c>
      <c r="B44" s="137">
        <v>2</v>
      </c>
      <c r="C44" s="137" t="s">
        <v>1222</v>
      </c>
      <c r="D44" s="137">
        <v>0</v>
      </c>
      <c r="Q44" s="446" t="str">
        <f>'Translate &amp; Prices'!$B$128</f>
        <v>Lacobel REF 1164</v>
      </c>
      <c r="R44" s="446" t="str">
        <f>'Translate &amp; Prices'!$B$141</f>
        <v>Matelac REF 1435</v>
      </c>
      <c r="AA44" s="137" t="s">
        <v>2117</v>
      </c>
      <c r="AB44" s="137" t="s">
        <v>2119</v>
      </c>
      <c r="AC44" s="137">
        <v>1</v>
      </c>
      <c r="AD44" s="137">
        <v>0</v>
      </c>
    </row>
    <row r="45" spans="1:33" x14ac:dyDescent="0.3">
      <c r="A45" s="446" t="str">
        <f>'Translate &amp; Prices'!B48</f>
        <v>Vivaro tmavá nerez br. (inox lija)</v>
      </c>
      <c r="B45" s="137">
        <v>2</v>
      </c>
      <c r="C45" s="137" t="s">
        <v>1222</v>
      </c>
      <c r="D45" s="137">
        <v>0</v>
      </c>
      <c r="Q45" s="446" t="str">
        <f>'Translate &amp; Prices'!$B$129</f>
        <v>Lacobel REF 1236</v>
      </c>
      <c r="R45" s="446" t="str">
        <f>'Translate &amp; Prices'!$B$142</f>
        <v>Matelac REF 1586</v>
      </c>
      <c r="AB45" s="137" t="s">
        <v>2281</v>
      </c>
      <c r="AC45" s="137">
        <v>0</v>
      </c>
      <c r="AD45" s="137">
        <v>0</v>
      </c>
    </row>
    <row r="46" spans="1:33" x14ac:dyDescent="0.3">
      <c r="A46" s="446" t="str">
        <f>'Translate &amp; Prices'!B49</f>
        <v>Vivaro bílá mat</v>
      </c>
      <c r="B46" s="137">
        <v>2</v>
      </c>
      <c r="C46" s="137" t="s">
        <v>1222</v>
      </c>
      <c r="D46" s="137">
        <v>0</v>
      </c>
      <c r="Q46" s="446" t="str">
        <f>'Translate &amp; Prices'!$B$130</f>
        <v>Lacobel REF 1435</v>
      </c>
      <c r="R46" s="446" t="str">
        <f>'Translate &amp; Prices'!$B$143</f>
        <v>Matelac zrcadlo bronz</v>
      </c>
    </row>
    <row r="47" spans="1:33" x14ac:dyDescent="0.3">
      <c r="A47" s="446" t="str">
        <f>'Translate &amp; Prices'!B50</f>
        <v>Vivaro bílá lesk</v>
      </c>
      <c r="B47" s="137">
        <v>2</v>
      </c>
      <c r="C47" s="137" t="s">
        <v>1222</v>
      </c>
      <c r="D47" s="137">
        <v>0</v>
      </c>
      <c r="Q47" s="446" t="str">
        <f>'Translate &amp; Prices'!$B$131</f>
        <v>Lacobel REF 1586</v>
      </c>
      <c r="R47" s="446" t="str">
        <f>'Translate &amp; Prices'!$B$145</f>
        <v>Matelac zrcadlo grafit</v>
      </c>
    </row>
    <row r="48" spans="1:33" x14ac:dyDescent="0.3">
      <c r="A48" s="446" t="str">
        <f>'Translate &amp; Prices'!B60</f>
        <v>Varna (Vlevo a Vpravo) + Siena (Nahoře a dole)</v>
      </c>
      <c r="B48" s="137">
        <v>1</v>
      </c>
      <c r="C48" s="137" t="s">
        <v>2133</v>
      </c>
      <c r="D48" s="137">
        <v>0</v>
      </c>
      <c r="Q48" s="446" t="str">
        <f>'Translate &amp; Prices'!$B$132</f>
        <v>Lacobel REF 1603</v>
      </c>
      <c r="R48" s="446" t="str">
        <f>'Translate &amp; Prices'!$B$146</f>
        <v>Matelac zrcadlo stříbr.</v>
      </c>
    </row>
    <row r="49" spans="1:17" x14ac:dyDescent="0.3">
      <c r="A49" s="446" t="str">
        <f>'Translate &amp; Prices'!B61</f>
        <v>Siena (Vlevo a vpravo) + Varna (Nahoře a dole)</v>
      </c>
      <c r="B49" s="137">
        <v>2</v>
      </c>
      <c r="C49" s="137" t="s">
        <v>2133</v>
      </c>
      <c r="D49" s="137">
        <v>0</v>
      </c>
      <c r="Q49" s="446" t="str">
        <f>'Translate &amp; Prices'!$B$133</f>
        <v>Lacobel REF 1604</v>
      </c>
    </row>
    <row r="50" spans="1:17" x14ac:dyDescent="0.3">
      <c r="A50" s="446" t="str">
        <f>'Translate &amp; Prices'!B64</f>
        <v>Varna (Vlevo a Vpravo) + Palio (Nahoře a dole)</v>
      </c>
      <c r="B50" s="137">
        <v>1</v>
      </c>
      <c r="C50" s="137" t="s">
        <v>2133</v>
      </c>
      <c r="D50" s="137">
        <v>0</v>
      </c>
      <c r="Q50" s="446" t="str">
        <f>'Translate &amp; Prices'!$B$134</f>
        <v>Matelac RAL 2001</v>
      </c>
    </row>
    <row r="51" spans="1:17" x14ac:dyDescent="0.3">
      <c r="A51" s="446" t="str">
        <f>'Translate &amp; Prices'!B65</f>
        <v>Palio (Vlevo a vpravo) + Varna (Nahoře a dole)</v>
      </c>
      <c r="B51" s="137">
        <v>2</v>
      </c>
      <c r="C51" s="137" t="s">
        <v>2133</v>
      </c>
      <c r="D51" s="137">
        <v>0</v>
      </c>
      <c r="Q51" s="446" t="str">
        <f>'Translate &amp; Prices'!$B$135</f>
        <v>Matelac RAL 3004</v>
      </c>
    </row>
    <row r="52" spans="1:17" x14ac:dyDescent="0.3">
      <c r="A52" s="446" t="str">
        <f>'Translate &amp; Prices'!B66</f>
        <v>Varna (Vlevo a Vpravo) + Rocca (Nahoře a dole)</v>
      </c>
      <c r="B52" s="137">
        <v>1</v>
      </c>
      <c r="C52" s="137" t="s">
        <v>2133</v>
      </c>
      <c r="D52" s="137">
        <v>0</v>
      </c>
      <c r="Q52" s="446" t="str">
        <f>'Translate &amp; Prices'!$B$136</f>
        <v>Matelac RAL 7021</v>
      </c>
    </row>
    <row r="53" spans="1:17" x14ac:dyDescent="0.3">
      <c r="A53" s="446" t="str">
        <f>'Translate &amp; Prices'!B67</f>
        <v>Rocca (Vlevo a vpravo) + Varna (Nahoře a dole)</v>
      </c>
      <c r="B53" s="137">
        <v>2</v>
      </c>
      <c r="C53" s="137" t="s">
        <v>2133</v>
      </c>
      <c r="D53" s="137">
        <v>0</v>
      </c>
      <c r="Q53" s="446" t="str">
        <f>'Translate &amp; Prices'!$B$137</f>
        <v>Matelac RAL 9003</v>
      </c>
    </row>
    <row r="54" spans="1:17" x14ac:dyDescent="0.3">
      <c r="Q54" s="446" t="str">
        <f>'Translate &amp; Prices'!$B$138</f>
        <v>Matelac RAL 9005</v>
      </c>
    </row>
    <row r="55" spans="1:17" x14ac:dyDescent="0.3">
      <c r="Q55" s="446" t="str">
        <f>'Translate &amp; Prices'!$B$139</f>
        <v>Matelac RAL 9006</v>
      </c>
    </row>
    <row r="56" spans="1:17" x14ac:dyDescent="0.3">
      <c r="Q56" s="446" t="str">
        <f>'Translate &amp; Prices'!$B$140</f>
        <v>Matelac RAL 9010</v>
      </c>
    </row>
    <row r="57" spans="1:17" x14ac:dyDescent="0.3">
      <c r="Q57" s="446" t="str">
        <f>'Translate &amp; Prices'!$B$141</f>
        <v>Matelac REF 1435</v>
      </c>
    </row>
    <row r="58" spans="1:17" x14ac:dyDescent="0.3">
      <c r="Q58" s="446" t="str">
        <f>'Translate &amp; Prices'!$B$142</f>
        <v>Matelac REF 1586</v>
      </c>
    </row>
    <row r="59" spans="1:17" x14ac:dyDescent="0.3">
      <c r="Q59" s="446" t="str">
        <f>'Translate &amp; Prices'!$B$143</f>
        <v>Matelac zrcadlo bronz</v>
      </c>
    </row>
    <row r="60" spans="1:17" x14ac:dyDescent="0.3">
      <c r="Q60" s="446" t="str">
        <f>'Translate &amp; Prices'!$B$145</f>
        <v>Matelac zrcadlo grafit</v>
      </c>
    </row>
    <row r="61" spans="1:17" x14ac:dyDescent="0.3">
      <c r="Q61" s="446" t="str">
        <f>'Translate &amp; Prices'!$B$146</f>
        <v>Matelac zrcadlo stříbr.</v>
      </c>
    </row>
  </sheetData>
  <mergeCells count="1">
    <mergeCell ref="G23:I29"/>
  </mergeCells>
  <conditionalFormatting sqref="AC4:AC9 AC15:AC23 AC29:AC34 AC40:AC41 AC43:AC45">
    <cfRule type="cellIs" dxfId="123" priority="27" operator="equal">
      <formula>1</formula>
    </cfRule>
  </conditionalFormatting>
  <conditionalFormatting sqref="R5">
    <cfRule type="duplicateValues" dxfId="122" priority="22"/>
  </conditionalFormatting>
  <conditionalFormatting sqref="S20:S48">
    <cfRule type="duplicateValues" dxfId="121" priority="26"/>
  </conditionalFormatting>
  <conditionalFormatting sqref="R49:R55">
    <cfRule type="duplicateValues" dxfId="120" priority="24"/>
  </conditionalFormatting>
  <conditionalFormatting sqref="R56:R57">
    <cfRule type="duplicateValues" dxfId="119" priority="25"/>
  </conditionalFormatting>
  <conditionalFormatting sqref="Q2 Q63:Q1048576 Q4:Q61">
    <cfRule type="duplicateValues" dxfId="118" priority="28"/>
  </conditionalFormatting>
  <conditionalFormatting sqref="R2 R63:R1048576 R49:R61">
    <cfRule type="duplicateValues" dxfId="117" priority="29"/>
  </conditionalFormatting>
  <conditionalFormatting sqref="P63:P1048576 P2:P61">
    <cfRule type="duplicateValues" dxfId="116" priority="30"/>
  </conditionalFormatting>
  <conditionalFormatting sqref="R63 R58:R61">
    <cfRule type="duplicateValues" dxfId="115" priority="31"/>
  </conditionalFormatting>
  <conditionalFormatting sqref="R4">
    <cfRule type="duplicateValues" dxfId="114" priority="23"/>
  </conditionalFormatting>
  <conditionalFormatting sqref="R6:R8">
    <cfRule type="duplicateValues" dxfId="113" priority="21"/>
  </conditionalFormatting>
  <conditionalFormatting sqref="R9:R10">
    <cfRule type="duplicateValues" dxfId="112" priority="20"/>
  </conditionalFormatting>
  <conditionalFormatting sqref="R11">
    <cfRule type="duplicateValues" dxfId="111" priority="19"/>
  </conditionalFormatting>
  <conditionalFormatting sqref="R12:R36">
    <cfRule type="duplicateValues" dxfId="110" priority="18"/>
  </conditionalFormatting>
  <conditionalFormatting sqref="R37:R45">
    <cfRule type="duplicateValues" dxfId="109" priority="17"/>
  </conditionalFormatting>
  <conditionalFormatting sqref="R46:R48">
    <cfRule type="duplicateValues" dxfId="108" priority="16"/>
  </conditionalFormatting>
  <conditionalFormatting sqref="S4">
    <cfRule type="duplicateValues" dxfId="107" priority="15"/>
  </conditionalFormatting>
  <conditionalFormatting sqref="S5:S10">
    <cfRule type="duplicateValues" dxfId="106" priority="14"/>
  </conditionalFormatting>
  <conditionalFormatting sqref="S11:S12">
    <cfRule type="duplicateValues" dxfId="105" priority="13"/>
  </conditionalFormatting>
  <conditionalFormatting sqref="S13:S19">
    <cfRule type="duplicateValues" dxfId="104" priority="12"/>
  </conditionalFormatting>
  <conditionalFormatting sqref="T4">
    <cfRule type="duplicateValues" dxfId="103" priority="11"/>
  </conditionalFormatting>
  <conditionalFormatting sqref="T5:T6">
    <cfRule type="duplicateValues" dxfId="102" priority="10"/>
  </conditionalFormatting>
  <conditionalFormatting sqref="T7">
    <cfRule type="duplicateValues" dxfId="101" priority="9"/>
  </conditionalFormatting>
  <conditionalFormatting sqref="U4:U6">
    <cfRule type="duplicateValues" dxfId="100" priority="8"/>
  </conditionalFormatting>
  <conditionalFormatting sqref="U7:U31">
    <cfRule type="duplicateValues" dxfId="99" priority="7"/>
  </conditionalFormatting>
  <conditionalFormatting sqref="U32:U40">
    <cfRule type="duplicateValues" dxfId="98" priority="6"/>
  </conditionalFormatting>
  <conditionalFormatting sqref="U41:U43">
    <cfRule type="duplicateValues" dxfId="97" priority="5"/>
  </conditionalFormatting>
  <conditionalFormatting sqref="V4:V6">
    <cfRule type="duplicateValues" dxfId="96" priority="4"/>
  </conditionalFormatting>
  <conditionalFormatting sqref="V7:V31">
    <cfRule type="duplicateValues" dxfId="95" priority="3"/>
  </conditionalFormatting>
  <conditionalFormatting sqref="V32:V40">
    <cfRule type="duplicateValues" dxfId="94" priority="2"/>
  </conditionalFormatting>
  <conditionalFormatting sqref="V41:V43">
    <cfRule type="duplicateValues" dxfId="93" priority="1"/>
  </conditionalFormatting>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802AB-4881-43DC-8133-4AF1E0716089}">
  <sheetPr codeName="List24">
    <tabColor rgb="FF92D050"/>
  </sheetPr>
  <dimension ref="A1:BI174"/>
  <sheetViews>
    <sheetView showGridLines="0" showRowColHeaders="0" zoomScale="90" zoomScaleNormal="90" workbookViewId="0">
      <selection activeCell="D12" sqref="D12:H12"/>
    </sheetView>
  </sheetViews>
  <sheetFormatPr defaultColWidth="0" defaultRowHeight="14.4" customHeight="1" x14ac:dyDescent="0.3"/>
  <cols>
    <col min="1" max="1" width="4.44140625" style="178" customWidth="1"/>
    <col min="2" max="3" width="4.44140625" style="4" customWidth="1"/>
    <col min="4" max="26" width="4.44140625" style="178" customWidth="1"/>
    <col min="27" max="30" width="4.44140625" style="4" customWidth="1"/>
    <col min="31" max="31" width="4.44140625" style="257" customWidth="1"/>
    <col min="32" max="32" width="4.44140625" style="199" customWidth="1"/>
    <col min="33" max="42" width="4.44140625" style="4" customWidth="1"/>
    <col min="43" max="52" width="8.88671875" style="4" hidden="1" customWidth="1"/>
    <col min="53" max="54" width="8.88671875" style="255" hidden="1" customWidth="1"/>
    <col min="55" max="61" width="8.88671875" style="178" hidden="1" customWidth="1"/>
    <col min="62" max="16384" width="8.88671875" style="1" hidden="1"/>
  </cols>
  <sheetData>
    <row r="1" spans="1:61" s="4" customFormat="1" x14ac:dyDescent="0.3">
      <c r="A1" s="439"/>
      <c r="B1" s="439"/>
      <c r="C1" s="439"/>
      <c r="D1" s="439"/>
      <c r="E1" s="439"/>
      <c r="F1" s="439"/>
      <c r="G1" s="439"/>
      <c r="H1" s="439"/>
      <c r="I1" s="439"/>
      <c r="J1" s="439"/>
      <c r="K1" s="439"/>
      <c r="L1" s="439"/>
      <c r="M1" s="439"/>
      <c r="N1" s="439"/>
      <c r="O1" s="439"/>
      <c r="P1" s="439"/>
      <c r="Q1" s="439"/>
      <c r="R1" s="439"/>
      <c r="S1" s="439"/>
      <c r="T1" s="439"/>
      <c r="U1" s="439"/>
      <c r="V1" s="439"/>
      <c r="W1" s="178"/>
      <c r="X1" s="178"/>
      <c r="Y1" s="178"/>
      <c r="Z1" s="178"/>
      <c r="AE1" s="257"/>
      <c r="AF1" s="199"/>
      <c r="AM1" s="947">
        <f ca="1">TODAY()</f>
        <v>44225</v>
      </c>
      <c r="AN1" s="948"/>
      <c r="AO1" s="948"/>
      <c r="AP1" s="948"/>
      <c r="BA1" s="255"/>
      <c r="BB1" s="255"/>
      <c r="BC1" s="178"/>
      <c r="BD1" s="178"/>
      <c r="BE1" s="178"/>
      <c r="BF1" s="178"/>
      <c r="BG1" s="178"/>
      <c r="BH1" s="178"/>
      <c r="BI1" s="178"/>
    </row>
    <row r="2" spans="1:61" s="4" customFormat="1" ht="14.4" customHeight="1" x14ac:dyDescent="0.3">
      <c r="A2" s="440"/>
      <c r="B2" s="440"/>
      <c r="C2" s="440"/>
      <c r="D2" s="440"/>
      <c r="E2" s="440"/>
      <c r="F2" s="440"/>
      <c r="G2" s="440"/>
      <c r="H2" s="440"/>
      <c r="I2" s="440"/>
      <c r="J2" s="440"/>
      <c r="K2" s="440"/>
      <c r="L2" s="440"/>
      <c r="M2" s="440"/>
      <c r="N2" s="440"/>
      <c r="O2" s="440"/>
      <c r="P2" s="440"/>
      <c r="Q2" s="440"/>
      <c r="R2" s="440"/>
      <c r="S2" s="440"/>
      <c r="T2" s="377"/>
      <c r="U2" s="377"/>
      <c r="V2" s="377"/>
      <c r="W2" s="377"/>
      <c r="X2" s="377"/>
      <c r="Y2" s="377"/>
      <c r="Z2" s="377"/>
      <c r="AA2" s="378"/>
      <c r="AB2" s="378"/>
      <c r="AC2" s="378"/>
      <c r="AD2" s="378"/>
      <c r="AE2" s="379"/>
      <c r="AF2" s="380"/>
      <c r="AG2" s="378"/>
      <c r="AH2" s="378"/>
      <c r="AI2" s="378"/>
      <c r="AJ2" s="378"/>
      <c r="AK2" s="378"/>
      <c r="AL2" s="745" t="str">
        <f>'Translate &amp; Prices'!$B$520</f>
        <v>Úvod</v>
      </c>
      <c r="AM2" s="746"/>
      <c r="AN2" s="746"/>
      <c r="AO2" s="746"/>
      <c r="AP2" s="746"/>
      <c r="BA2" s="255"/>
      <c r="BB2" s="255"/>
      <c r="BC2" s="178"/>
      <c r="BD2" s="178"/>
      <c r="BE2" s="178"/>
      <c r="BF2" s="178"/>
      <c r="BG2" s="178"/>
      <c r="BH2" s="178"/>
      <c r="BI2" s="178"/>
    </row>
    <row r="3" spans="1:61" s="4" customFormat="1" ht="14.4" customHeight="1" x14ac:dyDescent="0.3">
      <c r="A3" s="440"/>
      <c r="B3" s="440"/>
      <c r="C3" s="440"/>
      <c r="D3" s="440"/>
      <c r="E3" s="440"/>
      <c r="F3" s="440"/>
      <c r="G3" s="440"/>
      <c r="H3" s="440"/>
      <c r="I3" s="440"/>
      <c r="J3" s="440"/>
      <c r="K3" s="440"/>
      <c r="L3" s="440"/>
      <c r="M3" s="440"/>
      <c r="N3" s="440"/>
      <c r="O3" s="440"/>
      <c r="P3" s="440"/>
      <c r="Q3" s="440"/>
      <c r="R3" s="440"/>
      <c r="S3" s="440"/>
      <c r="T3" s="377"/>
      <c r="U3" s="377"/>
      <c r="V3" s="377"/>
      <c r="W3" s="377"/>
      <c r="X3" s="377"/>
      <c r="Y3" s="377"/>
      <c r="Z3" s="377"/>
      <c r="AA3" s="378"/>
      <c r="AB3" s="378"/>
      <c r="AC3" s="378"/>
      <c r="AD3" s="378"/>
      <c r="AE3" s="379"/>
      <c r="AF3" s="380"/>
      <c r="AG3" s="378"/>
      <c r="AH3" s="378"/>
      <c r="AI3" s="378"/>
      <c r="AJ3" s="378"/>
      <c r="AK3" s="378"/>
      <c r="AL3" s="745"/>
      <c r="AM3" s="746"/>
      <c r="AN3" s="746"/>
      <c r="AO3" s="746"/>
      <c r="AP3" s="746"/>
      <c r="BA3" s="255"/>
      <c r="BB3" s="255"/>
      <c r="BC3" s="178"/>
      <c r="BD3" s="178"/>
      <c r="BE3" s="178"/>
      <c r="BF3" s="178"/>
      <c r="BG3" s="178"/>
      <c r="BH3" s="178"/>
      <c r="BI3" s="178"/>
    </row>
    <row r="5" spans="1:61" ht="14.4" customHeight="1" x14ac:dyDescent="0.3">
      <c r="L5" s="949" t="str">
        <f>'Translate &amp; Prices'!$B$236</f>
        <v>Číslo objednávky</v>
      </c>
      <c r="M5" s="949"/>
      <c r="N5" s="949"/>
      <c r="O5" s="949"/>
      <c r="P5" s="437"/>
      <c r="Q5" s="950">
        <f>Zakaznik!$K$11</f>
        <v>0</v>
      </c>
      <c r="R5" s="950"/>
      <c r="S5" s="950"/>
      <c r="T5" s="950"/>
      <c r="U5" s="950"/>
      <c r="V5" s="950"/>
      <c r="W5" s="950"/>
      <c r="Y5" s="949" t="str">
        <f>'Translate &amp; Prices'!$B$230</f>
        <v>Kontaktní tel.</v>
      </c>
      <c r="Z5" s="949"/>
      <c r="AA5" s="949"/>
      <c r="AB5" s="949"/>
      <c r="AC5" s="437"/>
      <c r="AD5" s="950">
        <f>Zakaznik!$K$17</f>
        <v>0</v>
      </c>
      <c r="AE5" s="950"/>
      <c r="AF5" s="950"/>
      <c r="AG5" s="950"/>
      <c r="AH5" s="950"/>
      <c r="AI5" s="950"/>
      <c r="AJ5" s="950"/>
      <c r="AL5" s="949" t="str">
        <f>Zakaznik!$E$23</f>
        <v>Sleva na rámečky</v>
      </c>
      <c r="AM5" s="949"/>
      <c r="AN5" s="949"/>
      <c r="AO5" s="949"/>
    </row>
    <row r="6" spans="1:61" ht="14.4" customHeight="1" x14ac:dyDescent="0.3">
      <c r="L6" s="951" t="str">
        <f>'Translate &amp; Prices'!$B$229</f>
        <v>Zákazník</v>
      </c>
      <c r="M6" s="951"/>
      <c r="N6" s="951"/>
      <c r="O6" s="951"/>
      <c r="P6" s="501"/>
      <c r="Q6" s="950">
        <f>Zakaznik!$K$13</f>
        <v>0</v>
      </c>
      <c r="R6" s="950"/>
      <c r="S6" s="950"/>
      <c r="T6" s="950"/>
      <c r="U6" s="950"/>
      <c r="V6" s="950"/>
      <c r="W6" s="950"/>
      <c r="Y6" s="951" t="str">
        <f>'Translate &amp; Prices'!$B$231</f>
        <v>Kontaktní e-mail</v>
      </c>
      <c r="Z6" s="951"/>
      <c r="AA6" s="951"/>
      <c r="AB6" s="951"/>
      <c r="AC6" s="501"/>
      <c r="AD6" s="950">
        <f>Zakaznik!$K$19</f>
        <v>0</v>
      </c>
      <c r="AE6" s="950"/>
      <c r="AF6" s="950"/>
      <c r="AG6" s="950"/>
      <c r="AH6" s="950"/>
      <c r="AI6" s="950"/>
      <c r="AJ6" s="950"/>
      <c r="AL6" s="954">
        <f>Zakaznik!$K$23</f>
        <v>0</v>
      </c>
      <c r="AM6" s="955"/>
      <c r="AN6" s="955"/>
      <c r="AO6" s="955"/>
    </row>
    <row r="7" spans="1:61" ht="14.4" customHeight="1" x14ac:dyDescent="0.3">
      <c r="L7" s="951" t="str">
        <f>'Translate &amp; Prices'!$B$233</f>
        <v>IČ:</v>
      </c>
      <c r="M7" s="951"/>
      <c r="N7" s="951"/>
      <c r="O7" s="951"/>
      <c r="P7" s="501"/>
      <c r="Q7" s="950">
        <f>Zakaznik!$K$15</f>
        <v>0</v>
      </c>
      <c r="R7" s="950"/>
      <c r="S7" s="950"/>
      <c r="T7" s="950"/>
      <c r="U7" s="950"/>
      <c r="V7" s="950"/>
      <c r="W7" s="950"/>
      <c r="Y7" s="951" t="str">
        <f>'Translate &amp; Prices'!$B$232</f>
        <v>Adresa provozovny</v>
      </c>
      <c r="Z7" s="951"/>
      <c r="AA7" s="951"/>
      <c r="AB7" s="951"/>
      <c r="AC7" s="501"/>
      <c r="AD7" s="950">
        <f>Zakaznik!$K$21</f>
        <v>0</v>
      </c>
      <c r="AE7" s="950"/>
      <c r="AF7" s="950"/>
      <c r="AG7" s="950"/>
      <c r="AH7" s="950"/>
      <c r="AI7" s="950"/>
      <c r="AJ7" s="950"/>
      <c r="AL7" s="956"/>
      <c r="AM7" s="956"/>
      <c r="AN7" s="956"/>
      <c r="AO7" s="956"/>
    </row>
    <row r="8" spans="1:61" ht="13.2" customHeight="1" x14ac:dyDescent="0.3"/>
    <row r="9" spans="1:61" ht="34.799999999999997" customHeight="1" x14ac:dyDescent="0.3">
      <c r="B9" s="565"/>
      <c r="C9" s="565"/>
      <c r="J9" s="953" t="str">
        <f>'Translate &amp; Prices'!$B$158</f>
        <v>Cena rámečků celkem</v>
      </c>
      <c r="K9" s="953"/>
      <c r="L9" s="953"/>
      <c r="M9" s="953"/>
      <c r="N9" s="953"/>
      <c r="O9" s="953"/>
      <c r="P9" s="953"/>
      <c r="Q9" s="953"/>
      <c r="R9" s="953"/>
      <c r="S9" s="953"/>
      <c r="T9" s="953"/>
      <c r="U9" s="953"/>
      <c r="V9" s="953"/>
      <c r="W9" s="953"/>
      <c r="X9" s="953"/>
      <c r="Y9" s="953"/>
      <c r="Z9" s="566"/>
      <c r="AA9" s="766">
        <f>SUM(Ram_1!$L$30,Ram_2!$L$30,Ram_3!$L$30,Ram_4!$L$30,Ram_5!$L$30,Ram_6!$L$30)</f>
        <v>0</v>
      </c>
      <c r="AB9" s="766"/>
      <c r="AC9" s="766"/>
      <c r="AD9" s="766"/>
      <c r="AE9" s="766"/>
      <c r="AF9" s="766"/>
      <c r="AG9" s="766"/>
      <c r="AH9" s="766"/>
      <c r="AI9" s="766"/>
      <c r="AJ9" s="766"/>
      <c r="AK9" s="766"/>
      <c r="AL9" s="766"/>
      <c r="AM9" s="766"/>
      <c r="AN9" s="565"/>
      <c r="AO9" s="565"/>
      <c r="AP9" s="565"/>
      <c r="AQ9" s="565"/>
      <c r="AR9" s="565"/>
      <c r="AS9" s="565"/>
      <c r="AT9" s="565"/>
      <c r="AU9" s="565"/>
      <c r="AV9" s="565"/>
      <c r="AW9" s="565"/>
      <c r="AX9" s="565"/>
      <c r="AY9" s="565"/>
      <c r="AZ9" s="565"/>
    </row>
    <row r="10" spans="1:61" ht="14.4" customHeight="1" thickBot="1" x14ac:dyDescent="0.35">
      <c r="B10" s="395"/>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395"/>
      <c r="AA10" s="5"/>
      <c r="AB10" s="5"/>
      <c r="AC10" s="5"/>
      <c r="AD10" s="5"/>
      <c r="AG10" s="5"/>
      <c r="AH10" s="5"/>
      <c r="AI10" s="5"/>
      <c r="AJ10" s="5"/>
      <c r="AK10" s="5"/>
      <c r="AL10" s="5"/>
      <c r="AM10" s="5"/>
      <c r="AN10" s="5"/>
      <c r="AO10" s="5"/>
    </row>
    <row r="11" spans="1:61" ht="14.4" customHeight="1" thickTop="1" x14ac:dyDescent="0.3">
      <c r="B11" s="567"/>
      <c r="C11" s="567"/>
      <c r="D11" s="567"/>
      <c r="E11" s="567"/>
      <c r="F11" s="567"/>
      <c r="G11" s="567"/>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8"/>
      <c r="AF11" s="569"/>
      <c r="AG11" s="567"/>
      <c r="AH11" s="567"/>
      <c r="AI11" s="567"/>
      <c r="AJ11" s="567"/>
      <c r="AK11" s="567"/>
      <c r="AL11" s="567"/>
      <c r="AM11" s="567"/>
      <c r="AN11" s="567"/>
      <c r="AO11" s="567"/>
    </row>
    <row r="12" spans="1:61" ht="14.4" customHeight="1" x14ac:dyDescent="0.3">
      <c r="D12" s="952" t="str">
        <f>"&lt; "&amp;'Translate &amp; Prices'!$B$554&amp;" -- "&amp;Ram_1!$A$2</f>
        <v>&lt; Zpět -- Rámeček  1</v>
      </c>
      <c r="E12" s="952"/>
      <c r="F12" s="952"/>
      <c r="G12" s="952"/>
      <c r="H12" s="952"/>
    </row>
    <row r="37" spans="2:41" ht="14.4" customHeight="1" x14ac:dyDescent="0.3">
      <c r="B37" s="448"/>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9"/>
      <c r="AF37" s="450"/>
      <c r="AG37" s="448"/>
      <c r="AH37" s="448"/>
      <c r="AI37" s="448"/>
      <c r="AJ37" s="448"/>
      <c r="AK37" s="448"/>
      <c r="AL37" s="448"/>
      <c r="AM37" s="448"/>
      <c r="AN37" s="448"/>
      <c r="AO37" s="448"/>
    </row>
    <row r="38" spans="2:41" x14ac:dyDescent="0.3">
      <c r="B38" s="564"/>
      <c r="C38" s="564"/>
      <c r="AA38" s="564"/>
      <c r="AB38" s="564"/>
      <c r="AC38" s="564"/>
      <c r="AD38" s="564"/>
      <c r="AG38" s="564"/>
      <c r="AH38" s="564"/>
      <c r="AI38" s="564"/>
      <c r="AJ38" s="564"/>
      <c r="AK38" s="564"/>
      <c r="AL38" s="564"/>
      <c r="AM38" s="564"/>
      <c r="AN38" s="564"/>
      <c r="AO38" s="564"/>
    </row>
    <row r="39" spans="2:41" x14ac:dyDescent="0.3">
      <c r="B39" s="564"/>
      <c r="C39" s="564"/>
      <c r="D39" s="952" t="str">
        <f>"&lt; "&amp;'Translate &amp; Prices'!$B$554&amp;" -- "&amp;Ram_2!$A$2</f>
        <v>&lt; Zpět -- Rámeček  2</v>
      </c>
      <c r="E39" s="952"/>
      <c r="F39" s="952"/>
      <c r="G39" s="952"/>
      <c r="H39" s="952"/>
      <c r="AA39" s="564"/>
      <c r="AB39" s="564"/>
      <c r="AC39" s="564"/>
      <c r="AD39" s="564"/>
      <c r="AG39" s="564"/>
      <c r="AH39" s="564"/>
      <c r="AI39" s="564"/>
      <c r="AJ39" s="564"/>
      <c r="AK39" s="564"/>
      <c r="AL39" s="564"/>
      <c r="AM39" s="564"/>
      <c r="AN39" s="564"/>
      <c r="AO39" s="564"/>
    </row>
    <row r="40" spans="2:41" x14ac:dyDescent="0.3">
      <c r="B40" s="564"/>
      <c r="C40" s="564"/>
      <c r="AA40" s="564"/>
      <c r="AB40" s="564"/>
      <c r="AC40" s="564"/>
      <c r="AD40" s="564"/>
      <c r="AG40" s="564"/>
      <c r="AH40" s="564"/>
      <c r="AI40" s="564"/>
      <c r="AJ40" s="564"/>
      <c r="AK40" s="564"/>
      <c r="AL40" s="564"/>
      <c r="AM40" s="564"/>
      <c r="AN40" s="564"/>
      <c r="AO40" s="564"/>
    </row>
    <row r="41" spans="2:41" x14ac:dyDescent="0.3">
      <c r="B41" s="564"/>
      <c r="C41" s="564"/>
      <c r="AA41" s="564"/>
      <c r="AB41" s="564"/>
      <c r="AC41" s="564"/>
      <c r="AD41" s="564"/>
      <c r="AG41" s="564"/>
      <c r="AH41" s="564"/>
      <c r="AI41" s="564"/>
      <c r="AJ41" s="564"/>
      <c r="AK41" s="564"/>
      <c r="AL41" s="564"/>
      <c r="AM41" s="564"/>
      <c r="AN41" s="564"/>
      <c r="AO41" s="564"/>
    </row>
    <row r="42" spans="2:41" x14ac:dyDescent="0.3">
      <c r="B42" s="564"/>
      <c r="C42" s="564"/>
      <c r="AA42" s="564"/>
      <c r="AB42" s="564"/>
      <c r="AC42" s="564"/>
      <c r="AD42" s="564"/>
      <c r="AG42" s="564"/>
      <c r="AH42" s="564"/>
      <c r="AI42" s="564"/>
      <c r="AJ42" s="564"/>
      <c r="AK42" s="564"/>
      <c r="AL42" s="564"/>
      <c r="AM42" s="564"/>
      <c r="AN42" s="564"/>
      <c r="AO42" s="564"/>
    </row>
    <row r="43" spans="2:41" x14ac:dyDescent="0.3">
      <c r="B43" s="564"/>
      <c r="C43" s="564"/>
      <c r="AA43" s="564"/>
      <c r="AB43" s="564"/>
      <c r="AC43" s="564"/>
      <c r="AD43" s="564"/>
      <c r="AG43" s="564"/>
      <c r="AH43" s="564"/>
      <c r="AI43" s="564"/>
      <c r="AJ43" s="564"/>
      <c r="AK43" s="564"/>
      <c r="AL43" s="564"/>
      <c r="AM43" s="564"/>
      <c r="AN43" s="564"/>
      <c r="AO43" s="564"/>
    </row>
    <row r="44" spans="2:41" x14ac:dyDescent="0.3">
      <c r="B44" s="564"/>
      <c r="C44" s="564"/>
      <c r="AA44" s="564"/>
      <c r="AB44" s="564"/>
      <c r="AC44" s="564"/>
      <c r="AD44" s="564"/>
      <c r="AG44" s="564"/>
      <c r="AH44" s="564"/>
      <c r="AI44" s="564"/>
      <c r="AJ44" s="564"/>
      <c r="AK44" s="564"/>
      <c r="AL44" s="564"/>
      <c r="AM44" s="564"/>
      <c r="AN44" s="564"/>
      <c r="AO44" s="564"/>
    </row>
    <row r="45" spans="2:41" x14ac:dyDescent="0.3">
      <c r="B45" s="564"/>
      <c r="C45" s="564"/>
      <c r="AA45" s="564"/>
      <c r="AB45" s="564"/>
      <c r="AC45" s="564"/>
      <c r="AD45" s="564"/>
      <c r="AG45" s="564"/>
      <c r="AH45" s="564"/>
      <c r="AI45" s="564"/>
      <c r="AJ45" s="564"/>
      <c r="AK45" s="564"/>
      <c r="AL45" s="564"/>
      <c r="AM45" s="564"/>
      <c r="AN45" s="564"/>
      <c r="AO45" s="564"/>
    </row>
    <row r="46" spans="2:41" x14ac:dyDescent="0.3">
      <c r="B46" s="564"/>
      <c r="C46" s="564"/>
      <c r="AA46" s="564"/>
      <c r="AB46" s="564"/>
      <c r="AC46" s="564"/>
      <c r="AD46" s="564"/>
      <c r="AG46" s="564"/>
      <c r="AH46" s="564"/>
      <c r="AI46" s="564"/>
      <c r="AJ46" s="564"/>
      <c r="AK46" s="564"/>
      <c r="AL46" s="564"/>
      <c r="AM46" s="564"/>
      <c r="AN46" s="564"/>
      <c r="AO46" s="564"/>
    </row>
    <row r="47" spans="2:41" x14ac:dyDescent="0.3">
      <c r="B47" s="564"/>
      <c r="C47" s="564"/>
      <c r="AA47" s="564"/>
      <c r="AB47" s="564"/>
      <c r="AC47" s="564"/>
      <c r="AD47" s="564"/>
      <c r="AG47" s="564"/>
      <c r="AH47" s="564"/>
      <c r="AI47" s="564"/>
      <c r="AJ47" s="564"/>
      <c r="AK47" s="564"/>
      <c r="AL47" s="564"/>
      <c r="AM47" s="564"/>
      <c r="AN47" s="564"/>
      <c r="AO47" s="564"/>
    </row>
    <row r="48" spans="2:41" x14ac:dyDescent="0.3">
      <c r="B48" s="564"/>
      <c r="C48" s="564"/>
      <c r="AA48" s="564"/>
      <c r="AB48" s="564"/>
      <c r="AC48" s="564"/>
      <c r="AD48" s="564"/>
      <c r="AG48" s="564"/>
      <c r="AH48" s="564"/>
      <c r="AI48" s="564"/>
      <c r="AJ48" s="564"/>
      <c r="AK48" s="564"/>
      <c r="AL48" s="564"/>
      <c r="AM48" s="564"/>
      <c r="AN48" s="564"/>
      <c r="AO48" s="564"/>
    </row>
    <row r="49" spans="2:41" x14ac:dyDescent="0.3">
      <c r="B49" s="564"/>
      <c r="C49" s="564"/>
      <c r="AA49" s="564"/>
      <c r="AB49" s="564"/>
      <c r="AC49" s="564"/>
      <c r="AD49" s="564"/>
      <c r="AG49" s="564"/>
      <c r="AH49" s="564"/>
      <c r="AI49" s="564"/>
      <c r="AJ49" s="564"/>
      <c r="AK49" s="564"/>
      <c r="AL49" s="564"/>
      <c r="AM49" s="564"/>
      <c r="AN49" s="564"/>
      <c r="AO49" s="564"/>
    </row>
    <row r="50" spans="2:41" x14ac:dyDescent="0.3">
      <c r="B50" s="564"/>
      <c r="C50" s="564"/>
      <c r="AA50" s="564"/>
      <c r="AB50" s="564"/>
      <c r="AC50" s="564"/>
      <c r="AD50" s="564"/>
      <c r="AG50" s="564"/>
      <c r="AH50" s="564"/>
      <c r="AI50" s="564"/>
      <c r="AJ50" s="564"/>
      <c r="AK50" s="564"/>
      <c r="AL50" s="564"/>
      <c r="AM50" s="564"/>
      <c r="AN50" s="564"/>
      <c r="AO50" s="564"/>
    </row>
    <row r="51" spans="2:41" x14ac:dyDescent="0.3">
      <c r="B51" s="564"/>
      <c r="C51" s="564"/>
      <c r="AA51" s="564"/>
      <c r="AB51" s="564"/>
      <c r="AC51" s="564"/>
      <c r="AD51" s="564"/>
      <c r="AG51" s="564"/>
      <c r="AH51" s="564"/>
      <c r="AI51" s="564"/>
      <c r="AJ51" s="564"/>
      <c r="AK51" s="564"/>
      <c r="AL51" s="564"/>
      <c r="AM51" s="564"/>
      <c r="AN51" s="564"/>
      <c r="AO51" s="564"/>
    </row>
    <row r="52" spans="2:41" x14ac:dyDescent="0.3">
      <c r="B52" s="564"/>
      <c r="C52" s="564"/>
      <c r="AA52" s="564"/>
      <c r="AB52" s="564"/>
      <c r="AC52" s="564"/>
      <c r="AD52" s="564"/>
      <c r="AG52" s="564"/>
      <c r="AH52" s="564"/>
      <c r="AI52" s="564"/>
      <c r="AJ52" s="564"/>
      <c r="AK52" s="564"/>
      <c r="AL52" s="564"/>
      <c r="AM52" s="564"/>
      <c r="AN52" s="564"/>
      <c r="AO52" s="564"/>
    </row>
    <row r="53" spans="2:41" x14ac:dyDescent="0.3">
      <c r="B53" s="564"/>
      <c r="C53" s="564"/>
      <c r="AA53" s="564"/>
      <c r="AB53" s="564"/>
      <c r="AC53" s="564"/>
      <c r="AD53" s="564"/>
      <c r="AG53" s="564"/>
      <c r="AH53" s="564"/>
      <c r="AI53" s="564"/>
      <c r="AJ53" s="564"/>
      <c r="AK53" s="564"/>
      <c r="AL53" s="564"/>
      <c r="AM53" s="564"/>
      <c r="AN53" s="564"/>
      <c r="AO53" s="564"/>
    </row>
    <row r="54" spans="2:41" x14ac:dyDescent="0.3">
      <c r="B54" s="564"/>
      <c r="C54" s="564"/>
      <c r="AA54" s="564"/>
      <c r="AB54" s="564"/>
      <c r="AC54" s="564"/>
      <c r="AD54" s="564"/>
      <c r="AG54" s="564"/>
      <c r="AH54" s="564"/>
      <c r="AI54" s="564"/>
      <c r="AJ54" s="564"/>
      <c r="AK54" s="564"/>
      <c r="AL54" s="564"/>
      <c r="AM54" s="564"/>
      <c r="AN54" s="564"/>
      <c r="AO54" s="564"/>
    </row>
    <row r="55" spans="2:41" x14ac:dyDescent="0.3">
      <c r="B55" s="564"/>
      <c r="C55" s="564"/>
      <c r="AA55" s="564"/>
      <c r="AB55" s="564"/>
      <c r="AC55" s="564"/>
      <c r="AD55" s="564"/>
      <c r="AG55" s="564"/>
      <c r="AH55" s="564"/>
      <c r="AI55" s="564"/>
      <c r="AJ55" s="564"/>
      <c r="AK55" s="564"/>
      <c r="AL55" s="564"/>
      <c r="AM55" s="564"/>
      <c r="AN55" s="564"/>
      <c r="AO55" s="564"/>
    </row>
    <row r="56" spans="2:41" x14ac:dyDescent="0.3">
      <c r="B56" s="564"/>
      <c r="C56" s="564"/>
      <c r="AA56" s="564"/>
      <c r="AB56" s="564"/>
      <c r="AC56" s="564"/>
      <c r="AD56" s="564"/>
      <c r="AG56" s="564"/>
      <c r="AH56" s="564"/>
      <c r="AI56" s="564"/>
      <c r="AJ56" s="564"/>
      <c r="AK56" s="564"/>
      <c r="AL56" s="564"/>
      <c r="AM56" s="564"/>
      <c r="AN56" s="564"/>
      <c r="AO56" s="564"/>
    </row>
    <row r="57" spans="2:41" x14ac:dyDescent="0.3">
      <c r="B57" s="564"/>
      <c r="C57" s="564"/>
      <c r="AA57" s="564"/>
      <c r="AB57" s="564"/>
      <c r="AC57" s="564"/>
      <c r="AD57" s="564"/>
      <c r="AG57" s="564"/>
      <c r="AH57" s="564"/>
      <c r="AI57" s="564"/>
      <c r="AJ57" s="564"/>
      <c r="AK57" s="564"/>
      <c r="AL57" s="564"/>
      <c r="AM57" s="564"/>
      <c r="AN57" s="564"/>
      <c r="AO57" s="564"/>
    </row>
    <row r="58" spans="2:41" x14ac:dyDescent="0.3">
      <c r="B58" s="564"/>
      <c r="C58" s="564"/>
      <c r="AA58" s="564"/>
      <c r="AB58" s="564"/>
      <c r="AC58" s="564"/>
      <c r="AD58" s="564"/>
      <c r="AG58" s="564"/>
      <c r="AH58" s="564"/>
      <c r="AI58" s="564"/>
      <c r="AJ58" s="564"/>
      <c r="AK58" s="564"/>
      <c r="AL58" s="564"/>
      <c r="AM58" s="564"/>
      <c r="AN58" s="564"/>
      <c r="AO58" s="564"/>
    </row>
    <row r="59" spans="2:41" x14ac:dyDescent="0.3">
      <c r="B59" s="564"/>
      <c r="C59" s="564"/>
      <c r="AA59" s="564"/>
      <c r="AB59" s="564"/>
      <c r="AC59" s="564"/>
      <c r="AD59" s="564"/>
      <c r="AG59" s="564"/>
      <c r="AH59" s="564"/>
      <c r="AI59" s="564"/>
      <c r="AJ59" s="564"/>
      <c r="AK59" s="564"/>
      <c r="AL59" s="564"/>
      <c r="AM59" s="564"/>
      <c r="AN59" s="564"/>
      <c r="AO59" s="564"/>
    </row>
    <row r="60" spans="2:41" x14ac:dyDescent="0.3">
      <c r="B60" s="564"/>
      <c r="C60" s="564"/>
      <c r="AA60" s="564"/>
      <c r="AB60" s="564"/>
      <c r="AC60" s="564"/>
      <c r="AD60" s="564"/>
      <c r="AG60" s="564"/>
      <c r="AH60" s="564"/>
      <c r="AI60" s="564"/>
      <c r="AJ60" s="564"/>
      <c r="AK60" s="564"/>
      <c r="AL60" s="564"/>
      <c r="AM60" s="564"/>
      <c r="AN60" s="564"/>
      <c r="AO60" s="564"/>
    </row>
    <row r="61" spans="2:41" x14ac:dyDescent="0.3">
      <c r="B61" s="564"/>
      <c r="C61" s="564"/>
      <c r="AA61" s="564"/>
      <c r="AB61" s="564"/>
      <c r="AC61" s="564"/>
      <c r="AD61" s="564"/>
      <c r="AG61" s="564"/>
      <c r="AH61" s="564"/>
      <c r="AI61" s="564"/>
      <c r="AJ61" s="564"/>
      <c r="AK61" s="564"/>
      <c r="AL61" s="564"/>
      <c r="AM61" s="564"/>
      <c r="AN61" s="564"/>
      <c r="AO61" s="564"/>
    </row>
    <row r="62" spans="2:41" x14ac:dyDescent="0.3">
      <c r="B62" s="564"/>
      <c r="C62" s="564"/>
      <c r="AA62" s="564"/>
      <c r="AB62" s="564"/>
      <c r="AC62" s="564"/>
      <c r="AD62" s="564"/>
      <c r="AG62" s="564"/>
      <c r="AH62" s="564"/>
      <c r="AI62" s="564"/>
      <c r="AJ62" s="564"/>
      <c r="AK62" s="564"/>
      <c r="AL62" s="564"/>
      <c r="AM62" s="564"/>
      <c r="AN62" s="564"/>
      <c r="AO62" s="564"/>
    </row>
    <row r="63" spans="2:41" x14ac:dyDescent="0.3">
      <c r="B63" s="564"/>
      <c r="C63" s="564"/>
      <c r="AA63" s="564"/>
      <c r="AB63" s="564"/>
      <c r="AC63" s="564"/>
      <c r="AD63" s="564"/>
      <c r="AG63" s="564"/>
      <c r="AH63" s="564"/>
      <c r="AI63" s="564"/>
      <c r="AJ63" s="564"/>
      <c r="AK63" s="564"/>
      <c r="AL63" s="564"/>
      <c r="AM63" s="564"/>
      <c r="AN63" s="564"/>
      <c r="AO63" s="564"/>
    </row>
    <row r="64" spans="2:41" x14ac:dyDescent="0.3">
      <c r="B64" s="448"/>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9"/>
      <c r="AF64" s="450"/>
      <c r="AG64" s="448"/>
      <c r="AH64" s="448"/>
      <c r="AI64" s="448"/>
      <c r="AJ64" s="448"/>
      <c r="AK64" s="448"/>
      <c r="AL64" s="448"/>
      <c r="AM64" s="448"/>
      <c r="AN64" s="448"/>
      <c r="AO64" s="448"/>
    </row>
    <row r="65" spans="2:41" x14ac:dyDescent="0.3">
      <c r="B65" s="564"/>
      <c r="C65" s="564"/>
      <c r="AA65" s="564"/>
      <c r="AB65" s="564"/>
      <c r="AC65" s="564"/>
      <c r="AD65" s="564"/>
      <c r="AG65" s="564"/>
      <c r="AH65" s="564"/>
      <c r="AI65" s="564"/>
      <c r="AJ65" s="564"/>
      <c r="AK65" s="564"/>
      <c r="AL65" s="564"/>
      <c r="AM65" s="564"/>
      <c r="AN65" s="564"/>
      <c r="AO65" s="564"/>
    </row>
    <row r="66" spans="2:41" x14ac:dyDescent="0.3">
      <c r="B66" s="564"/>
      <c r="C66" s="564"/>
      <c r="D66" s="952" t="str">
        <f>"&lt; "&amp;'Translate &amp; Prices'!$B$554&amp;" -- "&amp;Ram_3!$A$2</f>
        <v>&lt; Zpět -- Rámeček  3</v>
      </c>
      <c r="E66" s="952"/>
      <c r="F66" s="952"/>
      <c r="G66" s="952"/>
      <c r="H66" s="952"/>
      <c r="AA66" s="564"/>
      <c r="AB66" s="564"/>
      <c r="AC66" s="564"/>
      <c r="AD66" s="564"/>
      <c r="AG66" s="564"/>
      <c r="AH66" s="564"/>
      <c r="AI66" s="564"/>
      <c r="AJ66" s="564"/>
      <c r="AK66" s="564"/>
      <c r="AL66" s="564"/>
      <c r="AM66" s="564"/>
      <c r="AN66" s="564"/>
      <c r="AO66" s="564"/>
    </row>
    <row r="67" spans="2:41" x14ac:dyDescent="0.3">
      <c r="B67" s="564"/>
      <c r="C67" s="564"/>
      <c r="AA67" s="564"/>
      <c r="AB67" s="564"/>
      <c r="AC67" s="564"/>
      <c r="AD67" s="564"/>
      <c r="AG67" s="564"/>
      <c r="AH67" s="564"/>
      <c r="AI67" s="564"/>
      <c r="AJ67" s="564"/>
      <c r="AK67" s="564"/>
      <c r="AL67" s="564"/>
      <c r="AM67" s="564"/>
      <c r="AN67" s="564"/>
      <c r="AO67" s="564"/>
    </row>
    <row r="68" spans="2:41" x14ac:dyDescent="0.3">
      <c r="B68" s="564"/>
      <c r="C68" s="564"/>
      <c r="AA68" s="564"/>
      <c r="AB68" s="564"/>
      <c r="AC68" s="564"/>
      <c r="AD68" s="564"/>
      <c r="AG68" s="564"/>
      <c r="AH68" s="564"/>
      <c r="AI68" s="564"/>
      <c r="AJ68" s="564"/>
      <c r="AK68" s="564"/>
      <c r="AL68" s="564"/>
      <c r="AM68" s="564"/>
      <c r="AN68" s="564"/>
      <c r="AO68" s="564"/>
    </row>
    <row r="69" spans="2:41" x14ac:dyDescent="0.3">
      <c r="B69" s="564"/>
      <c r="C69" s="564"/>
      <c r="AA69" s="564"/>
      <c r="AB69" s="564"/>
      <c r="AC69" s="564"/>
      <c r="AD69" s="564"/>
      <c r="AG69" s="564"/>
      <c r="AH69" s="564"/>
      <c r="AI69" s="564"/>
      <c r="AJ69" s="564"/>
      <c r="AK69" s="564"/>
      <c r="AL69" s="564"/>
      <c r="AM69" s="564"/>
      <c r="AN69" s="564"/>
      <c r="AO69" s="564"/>
    </row>
    <row r="70" spans="2:41" x14ac:dyDescent="0.3">
      <c r="B70" s="564"/>
      <c r="C70" s="564"/>
      <c r="AA70" s="564"/>
      <c r="AB70" s="564"/>
      <c r="AC70" s="564"/>
      <c r="AD70" s="564"/>
      <c r="AG70" s="564"/>
      <c r="AH70" s="564"/>
      <c r="AI70" s="564"/>
      <c r="AJ70" s="564"/>
      <c r="AK70" s="564"/>
      <c r="AL70" s="564"/>
      <c r="AM70" s="564"/>
      <c r="AN70" s="564"/>
      <c r="AO70" s="564"/>
    </row>
    <row r="71" spans="2:41" x14ac:dyDescent="0.3">
      <c r="B71" s="564"/>
      <c r="C71" s="564"/>
      <c r="AA71" s="564"/>
      <c r="AB71" s="564"/>
      <c r="AC71" s="564"/>
      <c r="AD71" s="564"/>
      <c r="AG71" s="564"/>
      <c r="AH71" s="564"/>
      <c r="AI71" s="564"/>
      <c r="AJ71" s="564"/>
      <c r="AK71" s="564"/>
      <c r="AL71" s="564"/>
      <c r="AM71" s="564"/>
      <c r="AN71" s="564"/>
      <c r="AO71" s="564"/>
    </row>
    <row r="72" spans="2:41" x14ac:dyDescent="0.3">
      <c r="B72" s="564"/>
      <c r="C72" s="564"/>
      <c r="AA72" s="564"/>
      <c r="AB72" s="564"/>
      <c r="AC72" s="564"/>
      <c r="AD72" s="564"/>
      <c r="AG72" s="564"/>
      <c r="AH72" s="564"/>
      <c r="AI72" s="564"/>
      <c r="AJ72" s="564"/>
      <c r="AK72" s="564"/>
      <c r="AL72" s="564"/>
      <c r="AM72" s="564"/>
      <c r="AN72" s="564"/>
      <c r="AO72" s="564"/>
    </row>
    <row r="73" spans="2:41" x14ac:dyDescent="0.3">
      <c r="B73" s="564"/>
      <c r="C73" s="564"/>
      <c r="AA73" s="564"/>
      <c r="AB73" s="564"/>
      <c r="AC73" s="564"/>
      <c r="AD73" s="564"/>
      <c r="AG73" s="564"/>
      <c r="AH73" s="564"/>
      <c r="AI73" s="564"/>
      <c r="AJ73" s="564"/>
      <c r="AK73" s="564"/>
      <c r="AL73" s="564"/>
      <c r="AM73" s="564"/>
      <c r="AN73" s="564"/>
      <c r="AO73" s="564"/>
    </row>
    <row r="74" spans="2:41" x14ac:dyDescent="0.3">
      <c r="B74" s="564"/>
      <c r="C74" s="564"/>
      <c r="AA74" s="564"/>
      <c r="AB74" s="564"/>
      <c r="AC74" s="564"/>
      <c r="AD74" s="564"/>
      <c r="AG74" s="564"/>
      <c r="AH74" s="564"/>
      <c r="AI74" s="564"/>
      <c r="AJ74" s="564"/>
      <c r="AK74" s="564"/>
      <c r="AL74" s="564"/>
      <c r="AM74" s="564"/>
      <c r="AN74" s="564"/>
      <c r="AO74" s="564"/>
    </row>
    <row r="75" spans="2:41" x14ac:dyDescent="0.3">
      <c r="B75" s="564"/>
      <c r="C75" s="564"/>
      <c r="AA75" s="564"/>
      <c r="AB75" s="564"/>
      <c r="AC75" s="564"/>
      <c r="AD75" s="564"/>
      <c r="AG75" s="564"/>
      <c r="AH75" s="564"/>
      <c r="AI75" s="564"/>
      <c r="AJ75" s="564"/>
      <c r="AK75" s="564"/>
      <c r="AL75" s="564"/>
      <c r="AM75" s="564"/>
      <c r="AN75" s="564"/>
      <c r="AO75" s="564"/>
    </row>
    <row r="76" spans="2:41" x14ac:dyDescent="0.3">
      <c r="B76" s="564"/>
      <c r="C76" s="564"/>
      <c r="AA76" s="564"/>
      <c r="AB76" s="564"/>
      <c r="AC76" s="564"/>
      <c r="AD76" s="564"/>
      <c r="AG76" s="564"/>
      <c r="AH76" s="564"/>
      <c r="AI76" s="564"/>
      <c r="AJ76" s="564"/>
      <c r="AK76" s="564"/>
      <c r="AL76" s="564"/>
      <c r="AM76" s="564"/>
      <c r="AN76" s="564"/>
      <c r="AO76" s="564"/>
    </row>
    <row r="77" spans="2:41" x14ac:dyDescent="0.3">
      <c r="B77" s="564"/>
      <c r="C77" s="564"/>
      <c r="AA77" s="564"/>
      <c r="AB77" s="564"/>
      <c r="AC77" s="564"/>
      <c r="AD77" s="564"/>
      <c r="AG77" s="564"/>
      <c r="AH77" s="564"/>
      <c r="AI77" s="564"/>
      <c r="AJ77" s="564"/>
      <c r="AK77" s="564"/>
      <c r="AL77" s="564"/>
      <c r="AM77" s="564"/>
      <c r="AN77" s="564"/>
      <c r="AO77" s="564"/>
    </row>
    <row r="78" spans="2:41" x14ac:dyDescent="0.3">
      <c r="B78" s="564"/>
      <c r="C78" s="564"/>
      <c r="AA78" s="564"/>
      <c r="AB78" s="564"/>
      <c r="AC78" s="564"/>
      <c r="AD78" s="564"/>
      <c r="AG78" s="564"/>
      <c r="AH78" s="564"/>
      <c r="AI78" s="564"/>
      <c r="AJ78" s="564"/>
      <c r="AK78" s="564"/>
      <c r="AL78" s="564"/>
      <c r="AM78" s="564"/>
      <c r="AN78" s="564"/>
      <c r="AO78" s="564"/>
    </row>
    <row r="79" spans="2:41" x14ac:dyDescent="0.3">
      <c r="B79" s="564"/>
      <c r="C79" s="564"/>
      <c r="AA79" s="564"/>
      <c r="AB79" s="564"/>
      <c r="AC79" s="564"/>
      <c r="AD79" s="564"/>
      <c r="AG79" s="564"/>
      <c r="AH79" s="564"/>
      <c r="AI79" s="564"/>
      <c r="AJ79" s="564"/>
      <c r="AK79" s="564"/>
      <c r="AL79" s="564"/>
      <c r="AM79" s="564"/>
      <c r="AN79" s="564"/>
      <c r="AO79" s="564"/>
    </row>
    <row r="80" spans="2:41" x14ac:dyDescent="0.3">
      <c r="B80" s="564"/>
      <c r="C80" s="564"/>
      <c r="AA80" s="564"/>
      <c r="AB80" s="564"/>
      <c r="AC80" s="564"/>
      <c r="AD80" s="564"/>
      <c r="AG80" s="564"/>
      <c r="AH80" s="564"/>
      <c r="AI80" s="564"/>
      <c r="AJ80" s="564"/>
      <c r="AK80" s="564"/>
      <c r="AL80" s="564"/>
      <c r="AM80" s="564"/>
      <c r="AN80" s="564"/>
      <c r="AO80" s="564"/>
    </row>
    <row r="81" spans="2:42" x14ac:dyDescent="0.3">
      <c r="B81" s="564"/>
      <c r="C81" s="564"/>
      <c r="AA81" s="564"/>
      <c r="AB81" s="564"/>
      <c r="AC81" s="564"/>
      <c r="AD81" s="564"/>
      <c r="AG81" s="564"/>
      <c r="AH81" s="564"/>
      <c r="AI81" s="564"/>
      <c r="AJ81" s="564"/>
      <c r="AK81" s="564"/>
      <c r="AL81" s="564"/>
      <c r="AM81" s="564"/>
      <c r="AN81" s="564"/>
      <c r="AO81" s="564"/>
    </row>
    <row r="82" spans="2:42" x14ac:dyDescent="0.3">
      <c r="B82" s="564"/>
      <c r="C82" s="564"/>
      <c r="AA82" s="564"/>
      <c r="AB82" s="564"/>
      <c r="AC82" s="564"/>
      <c r="AD82" s="564"/>
      <c r="AG82" s="564"/>
      <c r="AH82" s="564"/>
      <c r="AI82" s="564"/>
      <c r="AJ82" s="564"/>
      <c r="AK82" s="564"/>
      <c r="AL82" s="564"/>
      <c r="AM82" s="564"/>
      <c r="AN82" s="564"/>
      <c r="AO82" s="564"/>
    </row>
    <row r="83" spans="2:42" x14ac:dyDescent="0.3">
      <c r="B83" s="564"/>
      <c r="C83" s="564"/>
      <c r="AA83" s="564"/>
      <c r="AB83" s="564"/>
      <c r="AC83" s="564"/>
      <c r="AD83" s="564"/>
      <c r="AG83" s="564"/>
      <c r="AH83" s="564"/>
      <c r="AI83" s="564"/>
      <c r="AJ83" s="564"/>
      <c r="AK83" s="564"/>
      <c r="AL83" s="564"/>
      <c r="AM83" s="564"/>
      <c r="AN83" s="564"/>
      <c r="AO83" s="564"/>
    </row>
    <row r="84" spans="2:42" x14ac:dyDescent="0.3">
      <c r="B84" s="564"/>
      <c r="C84" s="564"/>
      <c r="AA84" s="564"/>
      <c r="AB84" s="564"/>
      <c r="AC84" s="564"/>
      <c r="AD84" s="564"/>
      <c r="AG84" s="564"/>
      <c r="AH84" s="564"/>
      <c r="AI84" s="564"/>
      <c r="AJ84" s="564"/>
      <c r="AK84" s="564"/>
      <c r="AL84" s="564"/>
      <c r="AM84" s="564"/>
      <c r="AN84" s="564"/>
      <c r="AO84" s="564"/>
    </row>
    <row r="85" spans="2:42" x14ac:dyDescent="0.3">
      <c r="B85" s="564"/>
      <c r="C85" s="564"/>
      <c r="AA85" s="564"/>
      <c r="AB85" s="564"/>
      <c r="AC85" s="564"/>
      <c r="AD85" s="564"/>
      <c r="AG85" s="564"/>
      <c r="AH85" s="564"/>
      <c r="AI85" s="564"/>
      <c r="AJ85" s="564"/>
      <c r="AK85" s="564"/>
      <c r="AL85" s="564"/>
      <c r="AM85" s="564"/>
      <c r="AN85" s="564"/>
      <c r="AO85" s="564"/>
    </row>
    <row r="86" spans="2:42" x14ac:dyDescent="0.3">
      <c r="B86" s="564"/>
      <c r="C86" s="564"/>
      <c r="AA86" s="564"/>
      <c r="AB86" s="564"/>
      <c r="AC86" s="564"/>
      <c r="AD86" s="564"/>
      <c r="AG86" s="564"/>
      <c r="AH86" s="564"/>
      <c r="AI86" s="564"/>
      <c r="AJ86" s="564"/>
      <c r="AK86" s="564"/>
      <c r="AL86" s="564"/>
      <c r="AM86" s="564"/>
      <c r="AN86" s="564"/>
      <c r="AO86" s="564"/>
    </row>
    <row r="87" spans="2:42" x14ac:dyDescent="0.3">
      <c r="B87" s="564"/>
      <c r="C87" s="564"/>
      <c r="AA87" s="564"/>
      <c r="AB87" s="564"/>
      <c r="AC87" s="564"/>
      <c r="AD87" s="564"/>
      <c r="AG87" s="564"/>
      <c r="AH87" s="564"/>
      <c r="AI87" s="564"/>
      <c r="AJ87" s="564"/>
      <c r="AK87" s="564"/>
      <c r="AL87" s="564"/>
      <c r="AM87" s="564"/>
      <c r="AN87" s="564"/>
      <c r="AO87" s="564"/>
    </row>
    <row r="88" spans="2:42" x14ac:dyDescent="0.3">
      <c r="B88" s="564"/>
      <c r="C88" s="564"/>
      <c r="AA88" s="564"/>
      <c r="AB88" s="564"/>
      <c r="AC88" s="564"/>
      <c r="AD88" s="564"/>
      <c r="AG88" s="564"/>
      <c r="AH88" s="564"/>
      <c r="AI88" s="564"/>
      <c r="AJ88" s="564"/>
      <c r="AK88" s="564"/>
      <c r="AL88" s="564"/>
      <c r="AM88" s="564"/>
      <c r="AN88" s="564"/>
      <c r="AO88" s="564"/>
    </row>
    <row r="89" spans="2:42" x14ac:dyDescent="0.3">
      <c r="B89" s="564"/>
      <c r="C89" s="564"/>
      <c r="AA89" s="564"/>
      <c r="AB89" s="564"/>
      <c r="AC89" s="564"/>
      <c r="AD89" s="564"/>
      <c r="AG89" s="564"/>
      <c r="AH89" s="564"/>
      <c r="AI89" s="564"/>
      <c r="AJ89" s="564"/>
      <c r="AK89" s="564"/>
      <c r="AL89" s="564"/>
      <c r="AM89" s="564"/>
      <c r="AN89" s="564"/>
      <c r="AO89" s="564"/>
    </row>
    <row r="90" spans="2:42" x14ac:dyDescent="0.3">
      <c r="B90" s="564"/>
      <c r="C90" s="564"/>
      <c r="AA90" s="564"/>
      <c r="AB90" s="564"/>
      <c r="AC90" s="564"/>
      <c r="AD90" s="564"/>
      <c r="AG90" s="564"/>
      <c r="AH90" s="564"/>
      <c r="AI90" s="564"/>
      <c r="AJ90" s="564"/>
      <c r="AK90" s="564"/>
      <c r="AL90" s="564"/>
      <c r="AM90" s="564"/>
      <c r="AN90" s="564"/>
      <c r="AO90" s="564"/>
    </row>
    <row r="91" spans="2:42" x14ac:dyDescent="0.3">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9"/>
      <c r="AF91" s="450"/>
      <c r="AG91" s="448"/>
      <c r="AH91" s="448"/>
      <c r="AI91" s="448"/>
      <c r="AJ91" s="448"/>
      <c r="AK91" s="448"/>
      <c r="AL91" s="448"/>
      <c r="AM91" s="448"/>
      <c r="AN91" s="448"/>
      <c r="AO91" s="448"/>
    </row>
    <row r="92" spans="2:42" ht="14.4" customHeight="1" x14ac:dyDescent="0.3">
      <c r="B92" s="564"/>
      <c r="C92" s="564"/>
      <c r="AA92" s="564"/>
      <c r="AB92" s="564"/>
      <c r="AC92" s="564"/>
      <c r="AD92" s="564"/>
      <c r="AG92" s="564"/>
      <c r="AH92" s="564"/>
      <c r="AI92" s="564"/>
      <c r="AJ92" s="564"/>
      <c r="AK92" s="564"/>
      <c r="AL92" s="564"/>
      <c r="AM92" s="564"/>
      <c r="AN92" s="564"/>
      <c r="AO92" s="564"/>
      <c r="AP92" s="564"/>
    </row>
    <row r="93" spans="2:42" ht="14.4" customHeight="1" x14ac:dyDescent="0.3">
      <c r="B93" s="564"/>
      <c r="C93" s="564"/>
      <c r="D93" s="952" t="str">
        <f>"&lt; "&amp;'Translate &amp; Prices'!$B$554&amp;" -- "&amp;Ram_4!$A$2</f>
        <v>&lt; Zpět -- Rámeček  4</v>
      </c>
      <c r="E93" s="952"/>
      <c r="F93" s="952"/>
      <c r="G93" s="952"/>
      <c r="H93" s="952"/>
      <c r="AA93" s="564"/>
      <c r="AB93" s="564"/>
      <c r="AC93" s="564"/>
      <c r="AD93" s="564"/>
      <c r="AG93" s="564"/>
      <c r="AH93" s="564"/>
      <c r="AI93" s="564"/>
      <c r="AJ93" s="564"/>
      <c r="AK93" s="564"/>
      <c r="AL93" s="564"/>
      <c r="AM93" s="564"/>
      <c r="AN93" s="564"/>
      <c r="AO93" s="564"/>
      <c r="AP93" s="564"/>
    </row>
    <row r="94" spans="2:42" ht="14.4" customHeight="1" x14ac:dyDescent="0.3">
      <c r="B94" s="564"/>
      <c r="C94" s="564"/>
      <c r="AA94" s="564"/>
      <c r="AB94" s="564"/>
      <c r="AC94" s="564"/>
      <c r="AD94" s="564"/>
      <c r="AG94" s="564"/>
      <c r="AH94" s="564"/>
      <c r="AI94" s="564"/>
      <c r="AJ94" s="564"/>
      <c r="AK94" s="564"/>
      <c r="AL94" s="564"/>
      <c r="AM94" s="564"/>
      <c r="AN94" s="564"/>
      <c r="AO94" s="564"/>
      <c r="AP94" s="564"/>
    </row>
    <row r="95" spans="2:42" ht="14.4" customHeight="1" x14ac:dyDescent="0.3">
      <c r="B95" s="564"/>
      <c r="C95" s="564"/>
      <c r="AA95" s="564"/>
      <c r="AB95" s="564"/>
      <c r="AC95" s="564"/>
      <c r="AD95" s="564"/>
      <c r="AG95" s="564"/>
      <c r="AH95" s="564"/>
      <c r="AI95" s="564"/>
      <c r="AJ95" s="564"/>
      <c r="AK95" s="564"/>
      <c r="AL95" s="564"/>
      <c r="AM95" s="564"/>
      <c r="AN95" s="564"/>
      <c r="AO95" s="564"/>
      <c r="AP95" s="564"/>
    </row>
    <row r="96" spans="2:42" ht="14.4" customHeight="1" x14ac:dyDescent="0.3">
      <c r="B96" s="564"/>
      <c r="C96" s="564"/>
      <c r="AA96" s="564"/>
      <c r="AB96" s="564"/>
      <c r="AC96" s="564"/>
      <c r="AD96" s="564"/>
      <c r="AG96" s="564"/>
      <c r="AH96" s="564"/>
      <c r="AI96" s="564"/>
      <c r="AJ96" s="564"/>
      <c r="AK96" s="564"/>
      <c r="AL96" s="564"/>
      <c r="AM96" s="564"/>
      <c r="AN96" s="564"/>
      <c r="AO96" s="564"/>
      <c r="AP96" s="564"/>
    </row>
    <row r="97" spans="2:42" ht="14.4" customHeight="1" x14ac:dyDescent="0.3">
      <c r="B97" s="564"/>
      <c r="C97" s="564"/>
      <c r="AA97" s="564"/>
      <c r="AB97" s="564"/>
      <c r="AC97" s="564"/>
      <c r="AD97" s="564"/>
      <c r="AG97" s="564"/>
      <c r="AH97" s="564"/>
      <c r="AI97" s="564"/>
      <c r="AJ97" s="564"/>
      <c r="AK97" s="564"/>
      <c r="AL97" s="564"/>
      <c r="AM97" s="564"/>
      <c r="AN97" s="564"/>
      <c r="AO97" s="564"/>
      <c r="AP97" s="564"/>
    </row>
    <row r="98" spans="2:42" ht="14.4" customHeight="1" x14ac:dyDescent="0.3">
      <c r="B98" s="564"/>
      <c r="C98" s="564"/>
      <c r="AA98" s="564"/>
      <c r="AB98" s="564"/>
      <c r="AC98" s="564"/>
      <c r="AD98" s="564"/>
      <c r="AG98" s="564"/>
      <c r="AH98" s="564"/>
      <c r="AI98" s="564"/>
      <c r="AJ98" s="564"/>
      <c r="AK98" s="564"/>
      <c r="AL98" s="564"/>
      <c r="AM98" s="564"/>
      <c r="AN98" s="564"/>
      <c r="AO98" s="564"/>
      <c r="AP98" s="564"/>
    </row>
    <row r="99" spans="2:42" ht="14.4" customHeight="1" x14ac:dyDescent="0.3">
      <c r="B99" s="564"/>
      <c r="C99" s="564"/>
      <c r="AA99" s="564"/>
      <c r="AB99" s="564"/>
      <c r="AC99" s="564"/>
      <c r="AD99" s="564"/>
      <c r="AG99" s="564"/>
      <c r="AH99" s="564"/>
      <c r="AI99" s="564"/>
      <c r="AJ99" s="564"/>
      <c r="AK99" s="564"/>
      <c r="AL99" s="564"/>
      <c r="AM99" s="564"/>
      <c r="AN99" s="564"/>
      <c r="AO99" s="564"/>
      <c r="AP99" s="564"/>
    </row>
    <row r="100" spans="2:42" ht="14.4" customHeight="1" x14ac:dyDescent="0.3">
      <c r="B100" s="564"/>
      <c r="C100" s="564"/>
      <c r="AA100" s="564"/>
      <c r="AB100" s="564"/>
      <c r="AC100" s="564"/>
      <c r="AD100" s="564"/>
      <c r="AG100" s="564"/>
      <c r="AH100" s="564"/>
      <c r="AI100" s="564"/>
      <c r="AJ100" s="564"/>
      <c r="AK100" s="564"/>
      <c r="AL100" s="564"/>
      <c r="AM100" s="564"/>
      <c r="AN100" s="564"/>
      <c r="AO100" s="564"/>
      <c r="AP100" s="564"/>
    </row>
    <row r="101" spans="2:42" ht="14.4" customHeight="1" x14ac:dyDescent="0.3">
      <c r="B101" s="564"/>
      <c r="C101" s="564"/>
      <c r="AA101" s="564"/>
      <c r="AB101" s="564"/>
      <c r="AC101" s="564"/>
      <c r="AD101" s="564"/>
      <c r="AG101" s="564"/>
      <c r="AH101" s="564"/>
      <c r="AI101" s="564"/>
      <c r="AJ101" s="564"/>
      <c r="AK101" s="564"/>
      <c r="AL101" s="564"/>
      <c r="AM101" s="564"/>
      <c r="AN101" s="564"/>
      <c r="AO101" s="564"/>
      <c r="AP101" s="564"/>
    </row>
    <row r="102" spans="2:42" ht="14.4" customHeight="1" x14ac:dyDescent="0.3">
      <c r="B102" s="564"/>
      <c r="C102" s="564"/>
      <c r="AA102" s="564"/>
      <c r="AB102" s="564"/>
      <c r="AC102" s="564"/>
      <c r="AD102" s="564"/>
      <c r="AG102" s="564"/>
      <c r="AH102" s="564"/>
      <c r="AI102" s="564"/>
      <c r="AJ102" s="564"/>
      <c r="AK102" s="564"/>
      <c r="AL102" s="564"/>
      <c r="AM102" s="564"/>
      <c r="AN102" s="564"/>
      <c r="AO102" s="564"/>
      <c r="AP102" s="564"/>
    </row>
    <row r="103" spans="2:42" ht="14.4" customHeight="1" x14ac:dyDescent="0.3">
      <c r="B103" s="564"/>
      <c r="C103" s="564"/>
      <c r="AA103" s="564"/>
      <c r="AB103" s="564"/>
      <c r="AC103" s="564"/>
      <c r="AD103" s="564"/>
      <c r="AG103" s="564"/>
      <c r="AH103" s="564"/>
      <c r="AI103" s="564"/>
      <c r="AJ103" s="564"/>
      <c r="AK103" s="564"/>
      <c r="AL103" s="564"/>
      <c r="AM103" s="564"/>
      <c r="AN103" s="564"/>
      <c r="AO103" s="564"/>
      <c r="AP103" s="564"/>
    </row>
    <row r="104" spans="2:42" ht="14.4" customHeight="1" x14ac:dyDescent="0.3">
      <c r="B104" s="564"/>
      <c r="C104" s="564"/>
      <c r="AA104" s="564"/>
      <c r="AB104" s="564"/>
      <c r="AC104" s="564"/>
      <c r="AD104" s="564"/>
      <c r="AG104" s="564"/>
      <c r="AH104" s="564"/>
      <c r="AI104" s="564"/>
      <c r="AJ104" s="564"/>
      <c r="AK104" s="564"/>
      <c r="AL104" s="564"/>
      <c r="AM104" s="564"/>
      <c r="AN104" s="564"/>
      <c r="AO104" s="564"/>
      <c r="AP104" s="564"/>
    </row>
    <row r="105" spans="2:42" ht="14.4" customHeight="1" x14ac:dyDescent="0.3">
      <c r="B105" s="564"/>
      <c r="C105" s="564"/>
      <c r="AA105" s="564"/>
      <c r="AB105" s="564"/>
      <c r="AC105" s="564"/>
      <c r="AD105" s="564"/>
      <c r="AG105" s="564"/>
      <c r="AH105" s="564"/>
      <c r="AI105" s="564"/>
      <c r="AJ105" s="564"/>
      <c r="AK105" s="564"/>
      <c r="AL105" s="564"/>
      <c r="AM105" s="564"/>
      <c r="AN105" s="564"/>
      <c r="AO105" s="564"/>
      <c r="AP105" s="564"/>
    </row>
    <row r="106" spans="2:42" ht="14.4" customHeight="1" x14ac:dyDescent="0.3">
      <c r="B106" s="564"/>
      <c r="C106" s="564"/>
      <c r="AA106" s="564"/>
      <c r="AB106" s="564"/>
      <c r="AC106" s="564"/>
      <c r="AD106" s="564"/>
      <c r="AG106" s="564"/>
      <c r="AH106" s="564"/>
      <c r="AI106" s="564"/>
      <c r="AJ106" s="564"/>
      <c r="AK106" s="564"/>
      <c r="AL106" s="564"/>
      <c r="AM106" s="564"/>
      <c r="AN106" s="564"/>
      <c r="AO106" s="564"/>
      <c r="AP106" s="564"/>
    </row>
    <row r="107" spans="2:42" ht="14.4" customHeight="1" x14ac:dyDescent="0.3">
      <c r="B107" s="564"/>
      <c r="C107" s="564"/>
      <c r="AA107" s="564"/>
      <c r="AB107" s="564"/>
      <c r="AC107" s="564"/>
      <c r="AD107" s="564"/>
      <c r="AG107" s="564"/>
      <c r="AH107" s="564"/>
      <c r="AI107" s="564"/>
      <c r="AJ107" s="564"/>
      <c r="AK107" s="564"/>
      <c r="AL107" s="564"/>
      <c r="AM107" s="564"/>
      <c r="AN107" s="564"/>
      <c r="AO107" s="564"/>
      <c r="AP107" s="564"/>
    </row>
    <row r="108" spans="2:42" ht="14.4" customHeight="1" x14ac:dyDescent="0.3">
      <c r="B108" s="564"/>
      <c r="C108" s="564"/>
      <c r="AA108" s="564"/>
      <c r="AB108" s="564"/>
      <c r="AC108" s="564"/>
      <c r="AD108" s="564"/>
      <c r="AG108" s="564"/>
      <c r="AH108" s="564"/>
      <c r="AI108" s="564"/>
      <c r="AJ108" s="564"/>
      <c r="AK108" s="564"/>
      <c r="AL108" s="564"/>
      <c r="AM108" s="564"/>
      <c r="AN108" s="564"/>
      <c r="AO108" s="564"/>
      <c r="AP108" s="564"/>
    </row>
    <row r="109" spans="2:42" ht="14.4" customHeight="1" x14ac:dyDescent="0.3">
      <c r="B109" s="564"/>
      <c r="C109" s="564"/>
      <c r="AA109" s="564"/>
      <c r="AB109" s="564"/>
      <c r="AC109" s="564"/>
      <c r="AD109" s="564"/>
      <c r="AG109" s="564"/>
      <c r="AH109" s="564"/>
      <c r="AI109" s="564"/>
      <c r="AJ109" s="564"/>
      <c r="AK109" s="564"/>
      <c r="AL109" s="564"/>
      <c r="AM109" s="564"/>
      <c r="AN109" s="564"/>
      <c r="AO109" s="564"/>
      <c r="AP109" s="564"/>
    </row>
    <row r="110" spans="2:42" ht="14.4" customHeight="1" x14ac:dyDescent="0.3">
      <c r="B110" s="564"/>
      <c r="C110" s="564"/>
      <c r="AA110" s="564"/>
      <c r="AB110" s="564"/>
      <c r="AC110" s="564"/>
      <c r="AD110" s="564"/>
      <c r="AG110" s="564"/>
      <c r="AH110" s="564"/>
      <c r="AI110" s="564"/>
      <c r="AJ110" s="564"/>
      <c r="AK110" s="564"/>
      <c r="AL110" s="564"/>
      <c r="AM110" s="564"/>
      <c r="AN110" s="564"/>
      <c r="AO110" s="564"/>
      <c r="AP110" s="564"/>
    </row>
    <row r="111" spans="2:42" ht="14.4" customHeight="1" x14ac:dyDescent="0.3">
      <c r="B111" s="564"/>
      <c r="C111" s="564"/>
      <c r="AA111" s="564"/>
      <c r="AB111" s="564"/>
      <c r="AC111" s="564"/>
      <c r="AD111" s="564"/>
      <c r="AG111" s="564"/>
      <c r="AH111" s="564"/>
      <c r="AI111" s="564"/>
      <c r="AJ111" s="564"/>
      <c r="AK111" s="564"/>
      <c r="AL111" s="564"/>
      <c r="AM111" s="564"/>
      <c r="AN111" s="564"/>
      <c r="AO111" s="564"/>
      <c r="AP111" s="564"/>
    </row>
    <row r="112" spans="2:42" ht="14.4" customHeight="1" x14ac:dyDescent="0.3">
      <c r="B112" s="564"/>
      <c r="C112" s="564"/>
      <c r="AA112" s="564"/>
      <c r="AB112" s="564"/>
      <c r="AC112" s="564"/>
      <c r="AD112" s="564"/>
      <c r="AG112" s="564"/>
      <c r="AH112" s="564"/>
      <c r="AI112" s="564"/>
      <c r="AJ112" s="564"/>
      <c r="AK112" s="564"/>
      <c r="AL112" s="564"/>
      <c r="AM112" s="564"/>
      <c r="AN112" s="564"/>
      <c r="AO112" s="564"/>
      <c r="AP112" s="564"/>
    </row>
    <row r="113" spans="2:42" ht="14.4" customHeight="1" x14ac:dyDescent="0.3">
      <c r="B113" s="564"/>
      <c r="C113" s="564"/>
      <c r="AA113" s="564"/>
      <c r="AB113" s="564"/>
      <c r="AC113" s="564"/>
      <c r="AD113" s="564"/>
      <c r="AG113" s="564"/>
      <c r="AH113" s="564"/>
      <c r="AI113" s="564"/>
      <c r="AJ113" s="564"/>
      <c r="AK113" s="564"/>
      <c r="AL113" s="564"/>
      <c r="AM113" s="564"/>
      <c r="AN113" s="564"/>
      <c r="AO113" s="564"/>
      <c r="AP113" s="564"/>
    </row>
    <row r="114" spans="2:42" ht="14.4" customHeight="1" x14ac:dyDescent="0.3">
      <c r="B114" s="564"/>
      <c r="C114" s="564"/>
      <c r="AA114" s="564"/>
      <c r="AB114" s="564"/>
      <c r="AC114" s="564"/>
      <c r="AD114" s="564"/>
      <c r="AG114" s="564"/>
      <c r="AH114" s="564"/>
      <c r="AI114" s="564"/>
      <c r="AJ114" s="564"/>
      <c r="AK114" s="564"/>
      <c r="AL114" s="564"/>
      <c r="AM114" s="564"/>
      <c r="AN114" s="564"/>
      <c r="AO114" s="564"/>
      <c r="AP114" s="564"/>
    </row>
    <row r="115" spans="2:42" ht="14.4" customHeight="1" x14ac:dyDescent="0.3">
      <c r="B115" s="564"/>
      <c r="C115" s="564"/>
      <c r="AA115" s="564"/>
      <c r="AB115" s="564"/>
      <c r="AC115" s="564"/>
      <c r="AD115" s="564"/>
      <c r="AG115" s="564"/>
      <c r="AH115" s="564"/>
      <c r="AI115" s="564"/>
      <c r="AJ115" s="564"/>
      <c r="AK115" s="564"/>
      <c r="AL115" s="564"/>
      <c r="AM115" s="564"/>
      <c r="AN115" s="564"/>
      <c r="AO115" s="564"/>
      <c r="AP115" s="564"/>
    </row>
    <row r="116" spans="2:42" ht="14.4" customHeight="1" x14ac:dyDescent="0.3">
      <c r="B116" s="564"/>
      <c r="C116" s="564"/>
      <c r="AA116" s="564"/>
      <c r="AB116" s="564"/>
      <c r="AC116" s="564"/>
      <c r="AD116" s="564"/>
      <c r="AG116" s="564"/>
      <c r="AH116" s="564"/>
      <c r="AI116" s="564"/>
      <c r="AJ116" s="564"/>
      <c r="AK116" s="564"/>
      <c r="AL116" s="564"/>
      <c r="AM116" s="564"/>
      <c r="AN116" s="564"/>
      <c r="AO116" s="564"/>
      <c r="AP116" s="564"/>
    </row>
    <row r="117" spans="2:42" ht="14.4" customHeight="1" x14ac:dyDescent="0.3">
      <c r="B117" s="564"/>
      <c r="C117" s="564"/>
      <c r="AA117" s="564"/>
      <c r="AB117" s="564"/>
      <c r="AC117" s="564"/>
      <c r="AD117" s="564"/>
      <c r="AG117" s="564"/>
      <c r="AH117" s="564"/>
      <c r="AI117" s="564"/>
      <c r="AJ117" s="564"/>
      <c r="AK117" s="564"/>
      <c r="AL117" s="564"/>
      <c r="AM117" s="564"/>
      <c r="AN117" s="564"/>
      <c r="AO117" s="564"/>
      <c r="AP117" s="564"/>
    </row>
    <row r="118" spans="2:42" ht="14.4" customHeight="1" x14ac:dyDescent="0.3">
      <c r="B118" s="448"/>
      <c r="C118" s="448"/>
      <c r="D118" s="448"/>
      <c r="E118" s="448"/>
      <c r="F118" s="448"/>
      <c r="G118" s="448"/>
      <c r="H118" s="448"/>
      <c r="I118" s="448"/>
      <c r="J118" s="448"/>
      <c r="K118" s="448"/>
      <c r="L118" s="448"/>
      <c r="M118" s="448"/>
      <c r="N118" s="448"/>
      <c r="O118" s="448"/>
      <c r="P118" s="448"/>
      <c r="Q118" s="448"/>
      <c r="R118" s="448"/>
      <c r="S118" s="448"/>
      <c r="T118" s="448"/>
      <c r="U118" s="448"/>
      <c r="V118" s="448"/>
      <c r="W118" s="448"/>
      <c r="X118" s="448"/>
      <c r="Y118" s="448"/>
      <c r="Z118" s="448"/>
      <c r="AA118" s="448"/>
      <c r="AB118" s="448"/>
      <c r="AC118" s="448"/>
      <c r="AD118" s="448"/>
      <c r="AE118" s="449"/>
      <c r="AF118" s="450"/>
      <c r="AG118" s="448"/>
      <c r="AH118" s="448"/>
      <c r="AI118" s="448"/>
      <c r="AJ118" s="448"/>
      <c r="AK118" s="448"/>
      <c r="AL118" s="448"/>
      <c r="AM118" s="448"/>
      <c r="AN118" s="448"/>
      <c r="AO118" s="448"/>
      <c r="AP118" s="564"/>
    </row>
    <row r="119" spans="2:42" ht="14.4" customHeight="1" x14ac:dyDescent="0.3">
      <c r="B119" s="564"/>
      <c r="C119" s="564"/>
      <c r="AA119" s="564"/>
      <c r="AB119" s="564"/>
      <c r="AC119" s="564"/>
      <c r="AD119" s="564"/>
      <c r="AG119" s="564"/>
      <c r="AH119" s="564"/>
      <c r="AI119" s="564"/>
      <c r="AJ119" s="564"/>
      <c r="AK119" s="564"/>
      <c r="AL119" s="564"/>
      <c r="AM119" s="564"/>
      <c r="AN119" s="564"/>
      <c r="AO119" s="564"/>
      <c r="AP119" s="564"/>
    </row>
    <row r="120" spans="2:42" ht="14.4" customHeight="1" x14ac:dyDescent="0.3">
      <c r="B120" s="564"/>
      <c r="C120" s="564"/>
      <c r="D120" s="952" t="str">
        <f>"&lt; "&amp;'Translate &amp; Prices'!$B$554&amp;" -- "&amp;Ram_5!$A$2</f>
        <v>&lt; Zpět -- Rámeček  5</v>
      </c>
      <c r="E120" s="952"/>
      <c r="F120" s="952"/>
      <c r="G120" s="952"/>
      <c r="H120" s="952"/>
      <c r="AA120" s="564"/>
      <c r="AB120" s="564"/>
      <c r="AC120" s="564"/>
      <c r="AD120" s="564"/>
      <c r="AG120" s="564"/>
      <c r="AH120" s="564"/>
      <c r="AI120" s="564"/>
      <c r="AJ120" s="564"/>
      <c r="AK120" s="564"/>
      <c r="AL120" s="564"/>
      <c r="AM120" s="564"/>
      <c r="AN120" s="564"/>
      <c r="AO120" s="564"/>
      <c r="AP120" s="564"/>
    </row>
    <row r="121" spans="2:42" ht="14.4" customHeight="1" x14ac:dyDescent="0.3">
      <c r="B121" s="564"/>
      <c r="C121" s="564"/>
      <c r="AA121" s="564"/>
      <c r="AB121" s="564"/>
      <c r="AC121" s="564"/>
      <c r="AD121" s="564"/>
      <c r="AG121" s="564"/>
      <c r="AH121" s="564"/>
      <c r="AI121" s="564"/>
      <c r="AJ121" s="564"/>
      <c r="AK121" s="564"/>
      <c r="AL121" s="564"/>
      <c r="AM121" s="564"/>
      <c r="AN121" s="564"/>
      <c r="AO121" s="564"/>
      <c r="AP121" s="564"/>
    </row>
    <row r="122" spans="2:42" ht="14.4" customHeight="1" x14ac:dyDescent="0.3">
      <c r="B122" s="564"/>
      <c r="C122" s="564"/>
      <c r="AA122" s="564"/>
      <c r="AB122" s="564"/>
      <c r="AC122" s="564"/>
      <c r="AD122" s="564"/>
      <c r="AG122" s="564"/>
      <c r="AH122" s="564"/>
      <c r="AI122" s="564"/>
      <c r="AJ122" s="564"/>
      <c r="AK122" s="564"/>
      <c r="AL122" s="564"/>
      <c r="AM122" s="564"/>
      <c r="AN122" s="564"/>
      <c r="AO122" s="564"/>
      <c r="AP122" s="564"/>
    </row>
    <row r="123" spans="2:42" ht="14.4" customHeight="1" x14ac:dyDescent="0.3">
      <c r="B123" s="564"/>
      <c r="C123" s="564"/>
      <c r="AA123" s="564"/>
      <c r="AB123" s="564"/>
      <c r="AC123" s="564"/>
      <c r="AD123" s="564"/>
      <c r="AG123" s="564"/>
      <c r="AH123" s="564"/>
      <c r="AI123" s="564"/>
      <c r="AJ123" s="564"/>
      <c r="AK123" s="564"/>
      <c r="AL123" s="564"/>
      <c r="AM123" s="564"/>
      <c r="AN123" s="564"/>
      <c r="AO123" s="564"/>
      <c r="AP123" s="564"/>
    </row>
    <row r="124" spans="2:42" ht="14.4" customHeight="1" x14ac:dyDescent="0.3">
      <c r="B124" s="564"/>
      <c r="C124" s="564"/>
      <c r="AA124" s="564"/>
      <c r="AB124" s="564"/>
      <c r="AC124" s="564"/>
      <c r="AD124" s="564"/>
      <c r="AG124" s="564"/>
      <c r="AH124" s="564"/>
      <c r="AI124" s="564"/>
      <c r="AJ124" s="564"/>
      <c r="AK124" s="564"/>
      <c r="AL124" s="564"/>
      <c r="AM124" s="564"/>
      <c r="AN124" s="564"/>
      <c r="AO124" s="564"/>
      <c r="AP124" s="564"/>
    </row>
    <row r="125" spans="2:42" ht="14.4" customHeight="1" x14ac:dyDescent="0.3">
      <c r="B125" s="564"/>
      <c r="C125" s="564"/>
      <c r="AA125" s="564"/>
      <c r="AB125" s="564"/>
      <c r="AC125" s="564"/>
      <c r="AD125" s="564"/>
      <c r="AG125" s="564"/>
      <c r="AH125" s="564"/>
      <c r="AI125" s="564"/>
      <c r="AJ125" s="564"/>
      <c r="AK125" s="564"/>
      <c r="AL125" s="564"/>
      <c r="AM125" s="564"/>
      <c r="AN125" s="564"/>
      <c r="AO125" s="564"/>
      <c r="AP125" s="564"/>
    </row>
    <row r="126" spans="2:42" ht="14.4" customHeight="1" x14ac:dyDescent="0.3">
      <c r="B126" s="564"/>
      <c r="C126" s="564"/>
      <c r="AA126" s="564"/>
      <c r="AB126" s="564"/>
      <c r="AC126" s="564"/>
      <c r="AD126" s="564"/>
      <c r="AG126" s="564"/>
      <c r="AH126" s="564"/>
      <c r="AI126" s="564"/>
      <c r="AJ126" s="564"/>
      <c r="AK126" s="564"/>
      <c r="AL126" s="564"/>
      <c r="AM126" s="564"/>
      <c r="AN126" s="564"/>
      <c r="AO126" s="564"/>
      <c r="AP126" s="564"/>
    </row>
    <row r="127" spans="2:42" ht="14.4" customHeight="1" x14ac:dyDescent="0.3">
      <c r="B127" s="564"/>
      <c r="C127" s="564"/>
      <c r="AA127" s="564"/>
      <c r="AB127" s="564"/>
      <c r="AC127" s="564"/>
      <c r="AD127" s="564"/>
      <c r="AG127" s="564"/>
      <c r="AH127" s="564"/>
      <c r="AI127" s="564"/>
      <c r="AJ127" s="564"/>
      <c r="AK127" s="564"/>
      <c r="AL127" s="564"/>
      <c r="AM127" s="564"/>
      <c r="AN127" s="564"/>
      <c r="AO127" s="564"/>
      <c r="AP127" s="564"/>
    </row>
    <row r="128" spans="2:42" ht="14.4" customHeight="1" x14ac:dyDescent="0.3">
      <c r="B128" s="564"/>
      <c r="C128" s="564"/>
      <c r="AA128" s="564"/>
      <c r="AB128" s="564"/>
      <c r="AC128" s="564"/>
      <c r="AD128" s="564"/>
      <c r="AG128" s="564"/>
      <c r="AH128" s="564"/>
      <c r="AI128" s="564"/>
      <c r="AJ128" s="564"/>
      <c r="AK128" s="564"/>
      <c r="AL128" s="564"/>
      <c r="AM128" s="564"/>
      <c r="AN128" s="564"/>
      <c r="AO128" s="564"/>
      <c r="AP128" s="564"/>
    </row>
    <row r="129" spans="2:42" ht="14.4" customHeight="1" x14ac:dyDescent="0.3">
      <c r="B129" s="564"/>
      <c r="C129" s="564"/>
      <c r="AA129" s="564"/>
      <c r="AB129" s="564"/>
      <c r="AC129" s="564"/>
      <c r="AD129" s="564"/>
      <c r="AG129" s="564"/>
      <c r="AH129" s="564"/>
      <c r="AI129" s="564"/>
      <c r="AJ129" s="564"/>
      <c r="AK129" s="564"/>
      <c r="AL129" s="564"/>
      <c r="AM129" s="564"/>
      <c r="AN129" s="564"/>
      <c r="AO129" s="564"/>
      <c r="AP129" s="564"/>
    </row>
    <row r="130" spans="2:42" ht="14.4" customHeight="1" x14ac:dyDescent="0.3">
      <c r="B130" s="564"/>
      <c r="C130" s="564"/>
      <c r="AA130" s="564"/>
      <c r="AB130" s="564"/>
      <c r="AC130" s="564"/>
      <c r="AD130" s="564"/>
      <c r="AG130" s="564"/>
      <c r="AH130" s="564"/>
      <c r="AI130" s="564"/>
      <c r="AJ130" s="564"/>
      <c r="AK130" s="564"/>
      <c r="AL130" s="564"/>
      <c r="AM130" s="564"/>
      <c r="AN130" s="564"/>
      <c r="AO130" s="564"/>
      <c r="AP130" s="564"/>
    </row>
    <row r="131" spans="2:42" ht="14.4" customHeight="1" x14ac:dyDescent="0.3">
      <c r="B131" s="564"/>
      <c r="C131" s="564"/>
      <c r="AA131" s="564"/>
      <c r="AB131" s="564"/>
      <c r="AC131" s="564"/>
      <c r="AD131" s="564"/>
      <c r="AG131" s="564"/>
      <c r="AH131" s="564"/>
      <c r="AI131" s="564"/>
      <c r="AJ131" s="564"/>
      <c r="AK131" s="564"/>
      <c r="AL131" s="564"/>
      <c r="AM131" s="564"/>
      <c r="AN131" s="564"/>
      <c r="AO131" s="564"/>
      <c r="AP131" s="564"/>
    </row>
    <row r="132" spans="2:42" ht="14.4" customHeight="1" x14ac:dyDescent="0.3">
      <c r="B132" s="564"/>
      <c r="C132" s="564"/>
      <c r="AA132" s="564"/>
      <c r="AB132" s="564"/>
      <c r="AC132" s="564"/>
      <c r="AD132" s="564"/>
      <c r="AG132" s="564"/>
      <c r="AH132" s="564"/>
      <c r="AI132" s="564"/>
      <c r="AJ132" s="564"/>
      <c r="AK132" s="564"/>
      <c r="AL132" s="564"/>
      <c r="AM132" s="564"/>
      <c r="AN132" s="564"/>
      <c r="AO132" s="564"/>
      <c r="AP132" s="564"/>
    </row>
    <row r="133" spans="2:42" ht="14.4" customHeight="1" x14ac:dyDescent="0.3">
      <c r="B133" s="564"/>
      <c r="C133" s="564"/>
      <c r="AA133" s="564"/>
      <c r="AB133" s="564"/>
      <c r="AC133" s="564"/>
      <c r="AD133" s="564"/>
      <c r="AG133" s="564"/>
      <c r="AH133" s="564"/>
      <c r="AI133" s="564"/>
      <c r="AJ133" s="564"/>
      <c r="AK133" s="564"/>
      <c r="AL133" s="564"/>
      <c r="AM133" s="564"/>
      <c r="AN133" s="564"/>
      <c r="AO133" s="564"/>
      <c r="AP133" s="564"/>
    </row>
    <row r="134" spans="2:42" ht="14.4" customHeight="1" x14ac:dyDescent="0.3">
      <c r="B134" s="564"/>
      <c r="C134" s="564"/>
      <c r="AA134" s="564"/>
      <c r="AB134" s="564"/>
      <c r="AC134" s="564"/>
      <c r="AD134" s="564"/>
      <c r="AG134" s="564"/>
      <c r="AH134" s="564"/>
      <c r="AI134" s="564"/>
      <c r="AJ134" s="564"/>
      <c r="AK134" s="564"/>
      <c r="AL134" s="564"/>
      <c r="AM134" s="564"/>
      <c r="AN134" s="564"/>
      <c r="AO134" s="564"/>
      <c r="AP134" s="564"/>
    </row>
    <row r="135" spans="2:42" ht="14.4" customHeight="1" x14ac:dyDescent="0.3">
      <c r="B135" s="564"/>
      <c r="C135" s="564"/>
      <c r="AA135" s="564"/>
      <c r="AB135" s="564"/>
      <c r="AC135" s="564"/>
      <c r="AD135" s="564"/>
      <c r="AG135" s="564"/>
      <c r="AH135" s="564"/>
      <c r="AI135" s="564"/>
      <c r="AJ135" s="564"/>
      <c r="AK135" s="564"/>
      <c r="AL135" s="564"/>
      <c r="AM135" s="564"/>
      <c r="AN135" s="564"/>
      <c r="AO135" s="564"/>
      <c r="AP135" s="564"/>
    </row>
    <row r="136" spans="2:42" ht="14.4" customHeight="1" x14ac:dyDescent="0.3">
      <c r="B136" s="564"/>
      <c r="C136" s="564"/>
      <c r="AA136" s="564"/>
      <c r="AB136" s="564"/>
      <c r="AC136" s="564"/>
      <c r="AD136" s="564"/>
      <c r="AG136" s="564"/>
      <c r="AH136" s="564"/>
      <c r="AI136" s="564"/>
      <c r="AJ136" s="564"/>
      <c r="AK136" s="564"/>
      <c r="AL136" s="564"/>
      <c r="AM136" s="564"/>
      <c r="AN136" s="564"/>
      <c r="AO136" s="564"/>
      <c r="AP136" s="564"/>
    </row>
    <row r="137" spans="2:42" ht="14.4" customHeight="1" x14ac:dyDescent="0.3">
      <c r="B137" s="564"/>
      <c r="C137" s="564"/>
      <c r="AA137" s="564"/>
      <c r="AB137" s="564"/>
      <c r="AC137" s="564"/>
      <c r="AD137" s="564"/>
      <c r="AG137" s="564"/>
      <c r="AH137" s="564"/>
      <c r="AI137" s="564"/>
      <c r="AJ137" s="564"/>
      <c r="AK137" s="564"/>
      <c r="AL137" s="564"/>
      <c r="AM137" s="564"/>
      <c r="AN137" s="564"/>
      <c r="AO137" s="564"/>
      <c r="AP137" s="564"/>
    </row>
    <row r="138" spans="2:42" ht="14.4" customHeight="1" x14ac:dyDescent="0.3">
      <c r="B138" s="564"/>
      <c r="C138" s="564"/>
      <c r="AA138" s="564"/>
      <c r="AB138" s="564"/>
      <c r="AC138" s="564"/>
      <c r="AD138" s="564"/>
      <c r="AG138" s="564"/>
      <c r="AH138" s="564"/>
      <c r="AI138" s="564"/>
      <c r="AJ138" s="564"/>
      <c r="AK138" s="564"/>
      <c r="AL138" s="564"/>
      <c r="AM138" s="564"/>
      <c r="AN138" s="564"/>
      <c r="AO138" s="564"/>
      <c r="AP138" s="564"/>
    </row>
    <row r="139" spans="2:42" ht="14.4" customHeight="1" x14ac:dyDescent="0.3">
      <c r="B139" s="564"/>
      <c r="C139" s="564"/>
      <c r="AA139" s="564"/>
      <c r="AB139" s="564"/>
      <c r="AC139" s="564"/>
      <c r="AD139" s="564"/>
      <c r="AG139" s="564"/>
      <c r="AH139" s="564"/>
      <c r="AI139" s="564"/>
      <c r="AJ139" s="564"/>
      <c r="AK139" s="564"/>
      <c r="AL139" s="564"/>
      <c r="AM139" s="564"/>
      <c r="AN139" s="564"/>
      <c r="AO139" s="564"/>
      <c r="AP139" s="564"/>
    </row>
    <row r="140" spans="2:42" ht="14.4" customHeight="1" x14ac:dyDescent="0.3">
      <c r="B140" s="564"/>
      <c r="C140" s="564"/>
      <c r="AA140" s="564"/>
      <c r="AB140" s="564"/>
      <c r="AC140" s="564"/>
      <c r="AD140" s="564"/>
      <c r="AG140" s="564"/>
      <c r="AH140" s="564"/>
      <c r="AI140" s="564"/>
      <c r="AJ140" s="564"/>
      <c r="AK140" s="564"/>
      <c r="AL140" s="564"/>
      <c r="AM140" s="564"/>
      <c r="AN140" s="564"/>
      <c r="AO140" s="564"/>
      <c r="AP140" s="564"/>
    </row>
    <row r="141" spans="2:42" ht="14.4" customHeight="1" x14ac:dyDescent="0.3">
      <c r="B141" s="564"/>
      <c r="C141" s="564"/>
      <c r="AA141" s="564"/>
      <c r="AB141" s="564"/>
      <c r="AC141" s="564"/>
      <c r="AD141" s="564"/>
      <c r="AG141" s="564"/>
      <c r="AH141" s="564"/>
      <c r="AI141" s="564"/>
      <c r="AJ141" s="564"/>
      <c r="AK141" s="564"/>
      <c r="AL141" s="564"/>
      <c r="AM141" s="564"/>
      <c r="AN141" s="564"/>
      <c r="AO141" s="564"/>
      <c r="AP141" s="564"/>
    </row>
    <row r="142" spans="2:42" ht="14.4" customHeight="1" x14ac:dyDescent="0.3">
      <c r="B142" s="564"/>
      <c r="C142" s="564"/>
      <c r="AA142" s="564"/>
      <c r="AB142" s="564"/>
      <c r="AC142" s="564"/>
      <c r="AD142" s="564"/>
      <c r="AG142" s="564"/>
      <c r="AH142" s="564"/>
      <c r="AI142" s="564"/>
      <c r="AJ142" s="564"/>
      <c r="AK142" s="564"/>
      <c r="AL142" s="564"/>
      <c r="AM142" s="564"/>
      <c r="AN142" s="564"/>
      <c r="AO142" s="564"/>
      <c r="AP142" s="564"/>
    </row>
    <row r="143" spans="2:42" ht="14.4" customHeight="1" x14ac:dyDescent="0.3">
      <c r="B143" s="564"/>
      <c r="C143" s="564"/>
      <c r="AA143" s="564"/>
      <c r="AB143" s="564"/>
      <c r="AC143" s="564"/>
      <c r="AD143" s="564"/>
      <c r="AG143" s="564"/>
      <c r="AH143" s="564"/>
      <c r="AI143" s="564"/>
      <c r="AJ143" s="564"/>
      <c r="AK143" s="564"/>
      <c r="AL143" s="564"/>
      <c r="AM143" s="564"/>
      <c r="AN143" s="564"/>
      <c r="AO143" s="564"/>
      <c r="AP143" s="564"/>
    </row>
    <row r="144" spans="2:42" ht="14.4" customHeight="1" x14ac:dyDescent="0.3">
      <c r="B144" s="564"/>
      <c r="C144" s="564"/>
      <c r="AA144" s="564"/>
      <c r="AB144" s="564"/>
      <c r="AC144" s="564"/>
      <c r="AD144" s="564"/>
      <c r="AG144" s="564"/>
      <c r="AH144" s="564"/>
      <c r="AI144" s="564"/>
      <c r="AJ144" s="564"/>
      <c r="AK144" s="564"/>
      <c r="AL144" s="564"/>
      <c r="AM144" s="564"/>
      <c r="AN144" s="564"/>
      <c r="AO144" s="564"/>
      <c r="AP144" s="564"/>
    </row>
    <row r="145" spans="2:43" ht="14.4" customHeight="1" x14ac:dyDescent="0.3">
      <c r="B145" s="448"/>
      <c r="C145" s="448"/>
      <c r="D145" s="448"/>
      <c r="E145" s="448"/>
      <c r="F145" s="448"/>
      <c r="G145" s="448"/>
      <c r="H145" s="448"/>
      <c r="I145" s="448"/>
      <c r="J145" s="448"/>
      <c r="K145" s="448"/>
      <c r="L145" s="448"/>
      <c r="M145" s="448"/>
      <c r="N145" s="448"/>
      <c r="O145" s="448"/>
      <c r="P145" s="448"/>
      <c r="Q145" s="448"/>
      <c r="R145" s="448"/>
      <c r="S145" s="448"/>
      <c r="T145" s="448"/>
      <c r="U145" s="448"/>
      <c r="V145" s="448"/>
      <c r="W145" s="448"/>
      <c r="X145" s="448"/>
      <c r="Y145" s="448"/>
      <c r="Z145" s="448"/>
      <c r="AA145" s="448"/>
      <c r="AB145" s="448"/>
      <c r="AC145" s="448"/>
      <c r="AD145" s="448"/>
      <c r="AE145" s="449"/>
      <c r="AF145" s="450"/>
      <c r="AG145" s="448"/>
      <c r="AH145" s="448"/>
      <c r="AI145" s="448"/>
      <c r="AJ145" s="448"/>
      <c r="AK145" s="448"/>
      <c r="AL145" s="448"/>
      <c r="AM145" s="448"/>
      <c r="AN145" s="448"/>
      <c r="AO145" s="448"/>
      <c r="AP145" s="564"/>
    </row>
    <row r="146" spans="2:43" ht="14.4" customHeight="1" x14ac:dyDescent="0.3">
      <c r="B146" s="564"/>
      <c r="C146" s="564"/>
      <c r="AA146" s="564"/>
      <c r="AB146" s="564"/>
      <c r="AC146" s="564"/>
      <c r="AD146" s="564"/>
      <c r="AG146" s="564"/>
      <c r="AH146" s="564"/>
      <c r="AI146" s="564"/>
      <c r="AJ146" s="564"/>
      <c r="AK146" s="564"/>
      <c r="AL146" s="564"/>
      <c r="AM146" s="564"/>
      <c r="AN146" s="564"/>
      <c r="AO146" s="564"/>
      <c r="AP146" s="564"/>
      <c r="AQ146" s="564"/>
    </row>
    <row r="147" spans="2:43" ht="14.4" customHeight="1" x14ac:dyDescent="0.3">
      <c r="B147" s="564"/>
      <c r="C147" s="564"/>
      <c r="D147" s="952" t="str">
        <f>"&lt; "&amp;'Translate &amp; Prices'!$B$554&amp;" -- "&amp;Ram_6!$A$2</f>
        <v>&lt; Zpět -- Rámeček  6</v>
      </c>
      <c r="E147" s="952"/>
      <c r="F147" s="952"/>
      <c r="G147" s="952"/>
      <c r="H147" s="952"/>
      <c r="AA147" s="564"/>
      <c r="AB147" s="564"/>
      <c r="AC147" s="564"/>
      <c r="AD147" s="564"/>
      <c r="AG147" s="564"/>
      <c r="AH147" s="564"/>
      <c r="AI147" s="564"/>
      <c r="AJ147" s="564"/>
      <c r="AK147" s="564"/>
      <c r="AL147" s="564"/>
      <c r="AM147" s="564"/>
      <c r="AN147" s="564"/>
      <c r="AO147" s="564"/>
      <c r="AP147" s="564"/>
      <c r="AQ147" s="564"/>
    </row>
    <row r="148" spans="2:43" ht="14.4" customHeight="1" x14ac:dyDescent="0.3">
      <c r="B148" s="564"/>
      <c r="C148" s="564"/>
      <c r="AA148" s="564"/>
      <c r="AB148" s="564"/>
      <c r="AC148" s="564"/>
      <c r="AD148" s="564"/>
      <c r="AG148" s="564"/>
      <c r="AH148" s="564"/>
      <c r="AI148" s="564"/>
      <c r="AJ148" s="564"/>
      <c r="AK148" s="564"/>
      <c r="AL148" s="564"/>
      <c r="AM148" s="564"/>
      <c r="AN148" s="564"/>
      <c r="AO148" s="564"/>
      <c r="AP148" s="564"/>
      <c r="AQ148" s="564"/>
    </row>
    <row r="149" spans="2:43" ht="14.4" customHeight="1" x14ac:dyDescent="0.3">
      <c r="B149" s="564"/>
      <c r="C149" s="564"/>
      <c r="AA149" s="564"/>
      <c r="AB149" s="564"/>
      <c r="AC149" s="564"/>
      <c r="AD149" s="564"/>
      <c r="AG149" s="564"/>
      <c r="AH149" s="564"/>
      <c r="AI149" s="564"/>
      <c r="AJ149" s="564"/>
      <c r="AK149" s="564"/>
      <c r="AL149" s="564"/>
      <c r="AM149" s="564"/>
      <c r="AN149" s="564"/>
      <c r="AO149" s="564"/>
      <c r="AP149" s="564"/>
      <c r="AQ149" s="564"/>
    </row>
    <row r="150" spans="2:43" ht="14.4" customHeight="1" x14ac:dyDescent="0.3">
      <c r="B150" s="564"/>
      <c r="C150" s="564"/>
      <c r="AA150" s="564"/>
      <c r="AB150" s="564"/>
      <c r="AC150" s="564"/>
      <c r="AD150" s="564"/>
      <c r="AG150" s="564"/>
      <c r="AH150" s="564"/>
      <c r="AI150" s="564"/>
      <c r="AJ150" s="564"/>
      <c r="AK150" s="564"/>
      <c r="AL150" s="564"/>
      <c r="AM150" s="564"/>
      <c r="AN150" s="564"/>
      <c r="AO150" s="564"/>
      <c r="AP150" s="564"/>
      <c r="AQ150" s="564"/>
    </row>
    <row r="151" spans="2:43" ht="14.4" customHeight="1" x14ac:dyDescent="0.3">
      <c r="B151" s="564"/>
      <c r="C151" s="564"/>
      <c r="AA151" s="564"/>
      <c r="AB151" s="564"/>
      <c r="AC151" s="564"/>
      <c r="AD151" s="564"/>
      <c r="AG151" s="564"/>
      <c r="AH151" s="564"/>
      <c r="AI151" s="564"/>
      <c r="AJ151" s="564"/>
      <c r="AK151" s="564"/>
      <c r="AL151" s="564"/>
      <c r="AM151" s="564"/>
      <c r="AN151" s="564"/>
      <c r="AO151" s="564"/>
      <c r="AP151" s="564"/>
      <c r="AQ151" s="564"/>
    </row>
    <row r="152" spans="2:43" ht="14.4" customHeight="1" x14ac:dyDescent="0.3">
      <c r="B152" s="564"/>
      <c r="C152" s="564"/>
      <c r="AA152" s="564"/>
      <c r="AB152" s="564"/>
      <c r="AC152" s="564"/>
      <c r="AD152" s="564"/>
      <c r="AG152" s="564"/>
      <c r="AH152" s="564"/>
      <c r="AI152" s="564"/>
      <c r="AJ152" s="564"/>
      <c r="AK152" s="564"/>
      <c r="AL152" s="564"/>
      <c r="AM152" s="564"/>
      <c r="AN152" s="564"/>
      <c r="AO152" s="564"/>
      <c r="AP152" s="564"/>
      <c r="AQ152" s="564"/>
    </row>
    <row r="153" spans="2:43" ht="14.4" customHeight="1" x14ac:dyDescent="0.3">
      <c r="B153" s="564"/>
      <c r="C153" s="564"/>
      <c r="AA153" s="564"/>
      <c r="AB153" s="564"/>
      <c r="AC153" s="564"/>
      <c r="AD153" s="564"/>
      <c r="AG153" s="564"/>
      <c r="AH153" s="564"/>
      <c r="AI153" s="564"/>
      <c r="AJ153" s="564"/>
      <c r="AK153" s="564"/>
      <c r="AL153" s="564"/>
      <c r="AM153" s="564"/>
      <c r="AN153" s="564"/>
      <c r="AO153" s="564"/>
      <c r="AP153" s="564"/>
      <c r="AQ153" s="564"/>
    </row>
    <row r="154" spans="2:43" ht="14.4" customHeight="1" x14ac:dyDescent="0.3">
      <c r="B154" s="564"/>
      <c r="C154" s="564"/>
      <c r="AA154" s="564"/>
      <c r="AB154" s="564"/>
      <c r="AC154" s="564"/>
      <c r="AD154" s="564"/>
      <c r="AG154" s="564"/>
      <c r="AH154" s="564"/>
      <c r="AI154" s="564"/>
      <c r="AJ154" s="564"/>
      <c r="AK154" s="564"/>
      <c r="AL154" s="564"/>
      <c r="AM154" s="564"/>
      <c r="AN154" s="564"/>
      <c r="AO154" s="564"/>
      <c r="AP154" s="564"/>
      <c r="AQ154" s="564"/>
    </row>
    <row r="155" spans="2:43" ht="14.4" customHeight="1" x14ac:dyDescent="0.3">
      <c r="B155" s="564"/>
      <c r="C155" s="564"/>
      <c r="AA155" s="564"/>
      <c r="AB155" s="564"/>
      <c r="AC155" s="564"/>
      <c r="AD155" s="564"/>
      <c r="AG155" s="564"/>
      <c r="AH155" s="564"/>
      <c r="AI155" s="564"/>
      <c r="AJ155" s="564"/>
      <c r="AK155" s="564"/>
      <c r="AL155" s="564"/>
      <c r="AM155" s="564"/>
      <c r="AN155" s="564"/>
      <c r="AO155" s="564"/>
      <c r="AP155" s="564"/>
      <c r="AQ155" s="564"/>
    </row>
    <row r="156" spans="2:43" ht="14.4" customHeight="1" x14ac:dyDescent="0.3">
      <c r="B156" s="564"/>
      <c r="C156" s="564"/>
      <c r="AA156" s="564"/>
      <c r="AB156" s="564"/>
      <c r="AC156" s="564"/>
      <c r="AD156" s="564"/>
      <c r="AG156" s="564"/>
      <c r="AH156" s="564"/>
      <c r="AI156" s="564"/>
      <c r="AJ156" s="564"/>
      <c r="AK156" s="564"/>
      <c r="AL156" s="564"/>
      <c r="AM156" s="564"/>
      <c r="AN156" s="564"/>
      <c r="AO156" s="564"/>
      <c r="AP156" s="564"/>
      <c r="AQ156" s="564"/>
    </row>
    <row r="157" spans="2:43" ht="14.4" customHeight="1" x14ac:dyDescent="0.3">
      <c r="B157" s="564"/>
      <c r="C157" s="564"/>
      <c r="AA157" s="564"/>
      <c r="AB157" s="564"/>
      <c r="AC157" s="564"/>
      <c r="AD157" s="564"/>
      <c r="AG157" s="564"/>
      <c r="AH157" s="564"/>
      <c r="AI157" s="564"/>
      <c r="AJ157" s="564"/>
      <c r="AK157" s="564"/>
      <c r="AL157" s="564"/>
      <c r="AM157" s="564"/>
      <c r="AN157" s="564"/>
      <c r="AO157" s="564"/>
      <c r="AP157" s="564"/>
      <c r="AQ157" s="564"/>
    </row>
    <row r="158" spans="2:43" ht="14.4" customHeight="1" x14ac:dyDescent="0.3">
      <c r="B158" s="564"/>
      <c r="C158" s="564"/>
      <c r="AA158" s="564"/>
      <c r="AB158" s="564"/>
      <c r="AC158" s="564"/>
      <c r="AD158" s="564"/>
      <c r="AG158" s="564"/>
      <c r="AH158" s="564"/>
      <c r="AI158" s="564"/>
      <c r="AJ158" s="564"/>
      <c r="AK158" s="564"/>
      <c r="AL158" s="564"/>
      <c r="AM158" s="564"/>
      <c r="AN158" s="564"/>
      <c r="AO158" s="564"/>
      <c r="AP158" s="564"/>
      <c r="AQ158" s="564"/>
    </row>
    <row r="159" spans="2:43" ht="14.4" customHeight="1" x14ac:dyDescent="0.3">
      <c r="B159" s="564"/>
      <c r="C159" s="564"/>
      <c r="AA159" s="564"/>
      <c r="AB159" s="564"/>
      <c r="AC159" s="564"/>
      <c r="AD159" s="564"/>
      <c r="AG159" s="564"/>
      <c r="AH159" s="564"/>
      <c r="AI159" s="564"/>
      <c r="AJ159" s="564"/>
      <c r="AK159" s="564"/>
      <c r="AL159" s="564"/>
      <c r="AM159" s="564"/>
      <c r="AN159" s="564"/>
      <c r="AO159" s="564"/>
      <c r="AP159" s="564"/>
      <c r="AQ159" s="564"/>
    </row>
    <row r="160" spans="2:43" ht="14.4" customHeight="1" x14ac:dyDescent="0.3">
      <c r="B160" s="564"/>
      <c r="C160" s="564"/>
      <c r="AA160" s="564"/>
      <c r="AB160" s="564"/>
      <c r="AC160" s="564"/>
      <c r="AD160" s="564"/>
      <c r="AG160" s="564"/>
      <c r="AH160" s="564"/>
      <c r="AI160" s="564"/>
      <c r="AJ160" s="564"/>
      <c r="AK160" s="564"/>
      <c r="AL160" s="564"/>
      <c r="AM160" s="564"/>
      <c r="AN160" s="564"/>
      <c r="AO160" s="564"/>
      <c r="AP160" s="564"/>
      <c r="AQ160" s="564"/>
    </row>
    <row r="161" spans="2:43" ht="14.4" customHeight="1" x14ac:dyDescent="0.3">
      <c r="B161" s="564"/>
      <c r="C161" s="564"/>
      <c r="AA161" s="564"/>
      <c r="AB161" s="564"/>
      <c r="AC161" s="564"/>
      <c r="AD161" s="564"/>
      <c r="AG161" s="564"/>
      <c r="AH161" s="564"/>
      <c r="AI161" s="564"/>
      <c r="AJ161" s="564"/>
      <c r="AK161" s="564"/>
      <c r="AL161" s="564"/>
      <c r="AM161" s="564"/>
      <c r="AN161" s="564"/>
      <c r="AO161" s="564"/>
      <c r="AP161" s="564"/>
      <c r="AQ161" s="564"/>
    </row>
    <row r="162" spans="2:43" ht="14.4" customHeight="1" x14ac:dyDescent="0.3">
      <c r="B162" s="564"/>
      <c r="C162" s="564"/>
      <c r="AA162" s="564"/>
      <c r="AB162" s="564"/>
      <c r="AC162" s="564"/>
      <c r="AD162" s="564"/>
      <c r="AG162" s="564"/>
      <c r="AH162" s="564"/>
      <c r="AI162" s="564"/>
      <c r="AJ162" s="564"/>
      <c r="AK162" s="564"/>
      <c r="AL162" s="564"/>
      <c r="AM162" s="564"/>
      <c r="AN162" s="564"/>
      <c r="AO162" s="564"/>
      <c r="AP162" s="564"/>
      <c r="AQ162" s="564"/>
    </row>
    <row r="163" spans="2:43" ht="14.4" customHeight="1" x14ac:dyDescent="0.3">
      <c r="B163" s="564"/>
      <c r="C163" s="564"/>
      <c r="AA163" s="564"/>
      <c r="AB163" s="564"/>
      <c r="AC163" s="564"/>
      <c r="AD163" s="564"/>
      <c r="AG163" s="564"/>
      <c r="AH163" s="564"/>
      <c r="AI163" s="564"/>
      <c r="AJ163" s="564"/>
      <c r="AK163" s="564"/>
      <c r="AL163" s="564"/>
      <c r="AM163" s="564"/>
      <c r="AN163" s="564"/>
      <c r="AO163" s="564"/>
      <c r="AP163" s="564"/>
      <c r="AQ163" s="564"/>
    </row>
    <row r="164" spans="2:43" ht="14.4" customHeight="1" x14ac:dyDescent="0.3">
      <c r="B164" s="564"/>
      <c r="C164" s="564"/>
      <c r="AA164" s="564"/>
      <c r="AB164" s="564"/>
      <c r="AC164" s="564"/>
      <c r="AD164" s="564"/>
      <c r="AG164" s="564"/>
      <c r="AH164" s="564"/>
      <c r="AI164" s="564"/>
      <c r="AJ164" s="564"/>
      <c r="AK164" s="564"/>
      <c r="AL164" s="564"/>
      <c r="AM164" s="564"/>
      <c r="AN164" s="564"/>
      <c r="AO164" s="564"/>
      <c r="AP164" s="564"/>
      <c r="AQ164" s="564"/>
    </row>
    <row r="165" spans="2:43" ht="14.4" customHeight="1" x14ac:dyDescent="0.3">
      <c r="B165" s="564"/>
      <c r="C165" s="564"/>
      <c r="AA165" s="564"/>
      <c r="AB165" s="564"/>
      <c r="AC165" s="564"/>
      <c r="AD165" s="564"/>
      <c r="AG165" s="564"/>
      <c r="AH165" s="564"/>
      <c r="AI165" s="564"/>
      <c r="AJ165" s="564"/>
      <c r="AK165" s="564"/>
      <c r="AL165" s="564"/>
      <c r="AM165" s="564"/>
      <c r="AN165" s="564"/>
      <c r="AO165" s="564"/>
      <c r="AP165" s="564"/>
      <c r="AQ165" s="564"/>
    </row>
    <row r="166" spans="2:43" ht="14.4" customHeight="1" x14ac:dyDescent="0.3">
      <c r="B166" s="564"/>
      <c r="C166" s="564"/>
      <c r="AA166" s="564"/>
      <c r="AB166" s="564"/>
      <c r="AC166" s="564"/>
      <c r="AD166" s="564"/>
      <c r="AG166" s="564"/>
      <c r="AH166" s="564"/>
      <c r="AI166" s="564"/>
      <c r="AJ166" s="564"/>
      <c r="AK166" s="564"/>
      <c r="AL166" s="564"/>
      <c r="AM166" s="564"/>
      <c r="AN166" s="564"/>
      <c r="AO166" s="564"/>
      <c r="AP166" s="564"/>
      <c r="AQ166" s="564"/>
    </row>
    <row r="167" spans="2:43" ht="14.4" customHeight="1" x14ac:dyDescent="0.3">
      <c r="B167" s="564"/>
      <c r="C167" s="564"/>
      <c r="AA167" s="564"/>
      <c r="AB167" s="564"/>
      <c r="AC167" s="564"/>
      <c r="AD167" s="564"/>
      <c r="AG167" s="564"/>
      <c r="AH167" s="564"/>
      <c r="AI167" s="564"/>
      <c r="AJ167" s="564"/>
      <c r="AK167" s="564"/>
      <c r="AL167" s="564"/>
      <c r="AM167" s="564"/>
      <c r="AN167" s="564"/>
      <c r="AO167" s="564"/>
      <c r="AP167" s="564"/>
      <c r="AQ167" s="564"/>
    </row>
    <row r="168" spans="2:43" ht="14.4" customHeight="1" x14ac:dyDescent="0.3">
      <c r="B168" s="564"/>
      <c r="C168" s="564"/>
      <c r="AA168" s="564"/>
      <c r="AB168" s="564"/>
      <c r="AC168" s="564"/>
      <c r="AD168" s="564"/>
      <c r="AG168" s="564"/>
      <c r="AH168" s="564"/>
      <c r="AI168" s="564"/>
      <c r="AJ168" s="564"/>
      <c r="AK168" s="564"/>
      <c r="AL168" s="564"/>
      <c r="AM168" s="564"/>
      <c r="AN168" s="564"/>
      <c r="AO168" s="564"/>
      <c r="AP168" s="564"/>
      <c r="AQ168" s="564"/>
    </row>
    <row r="169" spans="2:43" ht="14.4" customHeight="1" x14ac:dyDescent="0.3">
      <c r="B169" s="564"/>
      <c r="C169" s="564"/>
      <c r="AA169" s="564"/>
      <c r="AB169" s="564"/>
      <c r="AC169" s="564"/>
      <c r="AD169" s="564"/>
      <c r="AG169" s="564"/>
      <c r="AH169" s="564"/>
      <c r="AI169" s="564"/>
      <c r="AJ169" s="564"/>
      <c r="AK169" s="564"/>
      <c r="AL169" s="564"/>
      <c r="AM169" s="564"/>
      <c r="AN169" s="564"/>
      <c r="AO169" s="564"/>
      <c r="AP169" s="564"/>
      <c r="AQ169" s="564"/>
    </row>
    <row r="170" spans="2:43" ht="14.4" customHeight="1" x14ac:dyDescent="0.3">
      <c r="B170" s="564"/>
      <c r="C170" s="564"/>
      <c r="AA170" s="564"/>
      <c r="AB170" s="564"/>
      <c r="AC170" s="564"/>
      <c r="AD170" s="564"/>
      <c r="AG170" s="564"/>
      <c r="AH170" s="564"/>
      <c r="AI170" s="564"/>
      <c r="AJ170" s="564"/>
      <c r="AK170" s="564"/>
      <c r="AL170" s="564"/>
      <c r="AM170" s="564"/>
      <c r="AN170" s="564"/>
      <c r="AO170" s="564"/>
      <c r="AP170" s="564"/>
      <c r="AQ170" s="564"/>
    </row>
    <row r="171" spans="2:43" ht="14.4" customHeight="1" x14ac:dyDescent="0.3">
      <c r="B171" s="564"/>
      <c r="C171" s="564"/>
      <c r="AA171" s="564"/>
      <c r="AB171" s="564"/>
      <c r="AC171" s="564"/>
      <c r="AD171" s="564"/>
      <c r="AG171" s="564"/>
      <c r="AH171" s="564"/>
      <c r="AI171" s="564"/>
      <c r="AJ171" s="564"/>
      <c r="AK171" s="564"/>
      <c r="AL171" s="564"/>
      <c r="AM171" s="564"/>
      <c r="AN171" s="564"/>
      <c r="AO171" s="564"/>
      <c r="AP171" s="564"/>
      <c r="AQ171" s="564"/>
    </row>
    <row r="172" spans="2:43" ht="14.4" customHeight="1" x14ac:dyDescent="0.3">
      <c r="B172" s="448"/>
      <c r="C172" s="448"/>
      <c r="D172" s="448"/>
      <c r="E172" s="448"/>
      <c r="F172" s="448"/>
      <c r="G172" s="448"/>
      <c r="H172" s="448"/>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9"/>
      <c r="AF172" s="450"/>
      <c r="AG172" s="448"/>
      <c r="AH172" s="448"/>
      <c r="AI172" s="448"/>
      <c r="AJ172" s="448"/>
      <c r="AK172" s="448"/>
      <c r="AL172" s="448"/>
      <c r="AM172" s="448"/>
      <c r="AN172" s="448"/>
      <c r="AO172" s="448"/>
      <c r="AP172" s="564"/>
      <c r="AQ172" s="564"/>
    </row>
    <row r="174" spans="2:43" ht="32.4" customHeight="1" x14ac:dyDescent="0.3">
      <c r="J174" s="953" t="str">
        <f>'Translate &amp; Prices'!$B$158</f>
        <v>Cena rámečků celkem</v>
      </c>
      <c r="K174" s="953"/>
      <c r="L174" s="953"/>
      <c r="M174" s="953"/>
      <c r="N174" s="953"/>
      <c r="O174" s="953"/>
      <c r="P174" s="953"/>
      <c r="Q174" s="953"/>
      <c r="R174" s="953"/>
      <c r="S174" s="953"/>
      <c r="T174" s="953"/>
      <c r="U174" s="953"/>
      <c r="V174" s="953"/>
      <c r="W174" s="953"/>
      <c r="X174" s="953"/>
      <c r="Y174" s="953"/>
      <c r="Z174" s="566"/>
      <c r="AA174" s="766">
        <f>SUM(Ram_1!$L$30,Ram_2!$L$30,Ram_3!$L$30,Ram_4!$L$30,Ram_5!$L$30,Ram_6!$L$30)</f>
        <v>0</v>
      </c>
      <c r="AB174" s="766"/>
      <c r="AC174" s="766"/>
      <c r="AD174" s="766"/>
      <c r="AE174" s="766"/>
      <c r="AF174" s="766"/>
      <c r="AG174" s="766"/>
      <c r="AH174" s="766"/>
      <c r="AI174" s="766"/>
      <c r="AJ174" s="766"/>
      <c r="AK174" s="766"/>
      <c r="AL174" s="766"/>
      <c r="AM174" s="766"/>
    </row>
  </sheetData>
  <sheetProtection algorithmName="SHA-512" hashValue="57Eg5VXj0URPqFL9KQbsebFQlu5jl2eekaqLM82uwBjmXm0tDeXbvGQ3F/nJwQwrFkfoxrwDIITvAgNUzk+M4A==" saltValue="OTFH1sQlvZ2YtXSNIJS3Zg==" spinCount="100000" sheet="1" objects="1" scenarios="1" selectLockedCells="1"/>
  <mergeCells count="26">
    <mergeCell ref="J174:Y174"/>
    <mergeCell ref="AA174:AM174"/>
    <mergeCell ref="J9:Y9"/>
    <mergeCell ref="AA9:AM9"/>
    <mergeCell ref="L7:O7"/>
    <mergeCell ref="AL6:AO7"/>
    <mergeCell ref="L6:O6"/>
    <mergeCell ref="AD6:AJ6"/>
    <mergeCell ref="Y7:AB7"/>
    <mergeCell ref="AD7:AJ7"/>
    <mergeCell ref="L5:O5"/>
    <mergeCell ref="Q5:W5"/>
    <mergeCell ref="Q6:W6"/>
    <mergeCell ref="Q7:W7"/>
    <mergeCell ref="D93:H93"/>
    <mergeCell ref="D120:H120"/>
    <mergeCell ref="D147:H147"/>
    <mergeCell ref="D12:H12"/>
    <mergeCell ref="D39:H39"/>
    <mergeCell ref="D66:H66"/>
    <mergeCell ref="AM1:AP1"/>
    <mergeCell ref="Y5:AB5"/>
    <mergeCell ref="AD5:AJ5"/>
    <mergeCell ref="Y6:AB6"/>
    <mergeCell ref="AL2:AP3"/>
    <mergeCell ref="AL5:AO5"/>
  </mergeCells>
  <conditionalFormatting sqref="Q5:W7 AD5:AJ7">
    <cfRule type="cellIs" dxfId="92" priority="13" operator="equal">
      <formula>0</formula>
    </cfRule>
  </conditionalFormatting>
  <hyperlinks>
    <hyperlink ref="D12:H12" location="Ram_1!H8" display="Ram_1!H8" xr:uid="{3D0EA41F-2C45-44AD-A1D1-85500C2D5AD1}"/>
    <hyperlink ref="AL2:AO3" location="Hlavní!A1" display="Hlavní!A1" xr:uid="{AFA4AEF5-FAD9-4A15-BB0A-CED7DACF8E9A}"/>
    <hyperlink ref="D39:H39" location="Ram_2!H8" display="Ram_2!H8" xr:uid="{1EE628EC-449D-4E91-9E8A-FB853724F5A8}"/>
    <hyperlink ref="D66:H66" location="Ram_3!H8" display="Ram_3!H8" xr:uid="{EAD839D3-0905-4D32-AF19-8F2C0D4461EE}"/>
    <hyperlink ref="D93:H93" location="Ram_4!H8" display="Ram_4!H8" xr:uid="{E01A44AF-3D3E-481B-8305-6B8AEDE2E759}"/>
    <hyperlink ref="D120:H120" location="Ram_5!H8" display="Ram_5!H8" xr:uid="{04CF2842-1047-475A-B25A-3BD143042FF4}"/>
    <hyperlink ref="D147:H147" location="Ram_6!H8" display="Ram_6!H8" xr:uid="{DD3087A4-6C98-4B78-81AF-F7F8675ED4D3}"/>
  </hyperlinks>
  <pageMargins left="0.7" right="0.7" top="0.78740157499999996" bottom="0.78740157499999996" header="0.3" footer="0.3"/>
  <pageSetup paperSize="9" scale="70" fitToHeight="6" orientation="landscape" verticalDpi="300" r:id="rId1"/>
  <rowBreaks count="5" manualBreakCount="5">
    <brk id="37" max="41" man="1"/>
    <brk id="64" max="41" man="1"/>
    <brk id="91" max="41" man="1"/>
    <brk id="118" max="41" man="1"/>
    <brk id="145" max="4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5A18891C-1639-40ED-A1F6-784252F6DAEA}">
            <xm:f>'Translate &amp; Prices'!$D$1=4</xm:f>
            <x14:dxf>
              <numFmt numFmtId="173" formatCode="#,##0.00\ [$Ft-40E]"/>
            </x14:dxf>
          </x14:cfRule>
          <x14:cfRule type="expression" priority="10" id="{F94BBEB5-4674-4D92-99CA-A28E3E5EF52C}">
            <xm:f>'Translate &amp; Prices'!$D$1=3</xm:f>
            <x14:dxf>
              <numFmt numFmtId="172" formatCode="#,##0.00\ [$zł-415]"/>
            </x14:dxf>
          </x14:cfRule>
          <x14:cfRule type="expression" priority="11" id="{44FA27AB-A2DC-4AB8-9A5A-467F3D226D39}">
            <xm:f>'Translate &amp; Prices'!$D$1=2</xm:f>
            <x14:dxf>
              <numFmt numFmtId="171" formatCode="#,##0.00\ [$€-1]"/>
            </x14:dxf>
          </x14:cfRule>
          <x14:cfRule type="expression" priority="12" id="{DEF8A90A-1F63-4C5E-9972-34E79E53F770}">
            <xm:f>'Translate &amp; Prices'!$D$1=1</xm:f>
            <x14:dxf>
              <numFmt numFmtId="170" formatCode="#,##0.00\ &quot;Kč&quot;"/>
            </x14:dxf>
          </x14:cfRule>
          <xm:sqref>AA174</xm:sqref>
        </x14:conditionalFormatting>
        <x14:conditionalFormatting xmlns:xm="http://schemas.microsoft.com/office/excel/2006/main">
          <x14:cfRule type="expression" priority="1" id="{E39A59AF-8A80-4C7E-95C7-8030056C8C78}">
            <xm:f>'Translate &amp; Prices'!$D$1=4</xm:f>
            <x14:dxf>
              <numFmt numFmtId="173" formatCode="#,##0.00\ [$Ft-40E]"/>
            </x14:dxf>
          </x14:cfRule>
          <x14:cfRule type="expression" priority="2" id="{CBABFC41-8AC9-4E37-8020-F61C07B560B2}">
            <xm:f>'Translate &amp; Prices'!$D$1=3</xm:f>
            <x14:dxf>
              <numFmt numFmtId="172" formatCode="#,##0.00\ [$zł-415]"/>
            </x14:dxf>
          </x14:cfRule>
          <x14:cfRule type="expression" priority="3" id="{EA6A8875-9128-4AC7-9004-404EE8C6E0A6}">
            <xm:f>'Translate &amp; Prices'!$D$1=2</xm:f>
            <x14:dxf>
              <numFmt numFmtId="171" formatCode="#,##0.00\ [$€-1]"/>
            </x14:dxf>
          </x14:cfRule>
          <x14:cfRule type="expression" priority="4" id="{B7457E62-6A65-462A-8F39-38DEFE2BD639}">
            <xm:f>'Translate &amp; Prices'!$D$1=1</xm:f>
            <x14:dxf>
              <numFmt numFmtId="170" formatCode="#,##0.00\ &quot;Kč&quot;"/>
            </x14:dxf>
          </x14:cfRule>
          <xm:sqref>AA9</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452E-61BB-44B8-A1A4-DF49DF96541F}">
  <sheetPr codeName="List20">
    <tabColor rgb="FF92D050"/>
  </sheetPr>
  <dimension ref="A1:BS54"/>
  <sheetViews>
    <sheetView showGridLines="0" showRowColHeaders="0" zoomScale="86" zoomScaleNormal="86" workbookViewId="0">
      <selection activeCell="AT2" sqref="AT2:AW3"/>
    </sheetView>
  </sheetViews>
  <sheetFormatPr defaultColWidth="0" defaultRowHeight="0" customHeight="1" zeroHeight="1" x14ac:dyDescent="0.3"/>
  <cols>
    <col min="1" max="1" width="4.44140625" style="178" customWidth="1"/>
    <col min="2" max="3" width="4.44140625" style="4" customWidth="1"/>
    <col min="4" max="26" width="4.44140625" style="178" customWidth="1"/>
    <col min="27" max="30" width="4.44140625" style="4" customWidth="1"/>
    <col min="31" max="31" width="4.44140625" style="257" customWidth="1"/>
    <col min="32" max="32" width="4.44140625" style="199" customWidth="1"/>
    <col min="33" max="43" width="4.44140625" style="4" customWidth="1"/>
    <col min="44" max="50" width="4.44140625" style="178" customWidth="1"/>
    <col min="51" max="16384" width="8.88671875" style="1" hidden="1"/>
  </cols>
  <sheetData>
    <row r="1" spans="1:50" s="4" customFormat="1" ht="14.4" x14ac:dyDescent="0.3">
      <c r="A1" s="439"/>
      <c r="B1" s="439"/>
      <c r="C1" s="439"/>
      <c r="D1" s="439"/>
      <c r="E1" s="439"/>
      <c r="F1" s="439"/>
      <c r="G1" s="439"/>
      <c r="H1" s="439"/>
      <c r="I1" s="439"/>
      <c r="J1" s="439"/>
      <c r="K1" s="439"/>
      <c r="L1" s="439"/>
      <c r="M1" s="439"/>
      <c r="N1" s="439"/>
      <c r="O1" s="439"/>
      <c r="P1" s="439"/>
      <c r="Q1" s="439"/>
      <c r="R1" s="439"/>
      <c r="S1" s="439"/>
      <c r="T1" s="439"/>
      <c r="U1" s="439"/>
      <c r="V1" s="439"/>
      <c r="W1" s="178"/>
      <c r="X1" s="178"/>
      <c r="Y1" s="178"/>
      <c r="Z1" s="178"/>
      <c r="AE1" s="257"/>
      <c r="AF1" s="199"/>
      <c r="AP1" s="439"/>
      <c r="AQ1" s="439"/>
      <c r="AR1" s="439"/>
      <c r="AS1" s="439"/>
      <c r="AT1" s="439"/>
      <c r="AU1" s="439"/>
      <c r="AV1" s="439"/>
      <c r="AW1" s="439"/>
      <c r="AX1" s="439"/>
    </row>
    <row r="2" spans="1:50" s="4" customFormat="1" ht="14.4" x14ac:dyDescent="0.3">
      <c r="A2" s="440"/>
      <c r="B2" s="440"/>
      <c r="C2" s="440"/>
      <c r="D2" s="440"/>
      <c r="E2" s="440"/>
      <c r="F2" s="440"/>
      <c r="G2" s="440"/>
      <c r="H2" s="440"/>
      <c r="I2" s="440"/>
      <c r="J2" s="440"/>
      <c r="K2" s="440"/>
      <c r="L2" s="440"/>
      <c r="M2" s="440"/>
      <c r="N2" s="440"/>
      <c r="O2" s="440"/>
      <c r="P2" s="440"/>
      <c r="Q2" s="440"/>
      <c r="R2" s="440"/>
      <c r="S2" s="440"/>
      <c r="T2" s="377"/>
      <c r="U2" s="377"/>
      <c r="V2" s="377"/>
      <c r="W2" s="377"/>
      <c r="X2" s="377"/>
      <c r="Y2" s="377"/>
      <c r="Z2" s="377"/>
      <c r="AA2" s="378"/>
      <c r="AB2" s="378"/>
      <c r="AC2" s="378"/>
      <c r="AD2" s="378"/>
      <c r="AE2" s="379"/>
      <c r="AF2" s="380"/>
      <c r="AG2" s="378"/>
      <c r="AH2" s="378"/>
      <c r="AI2" s="378"/>
      <c r="AJ2" s="378"/>
      <c r="AK2" s="378"/>
      <c r="AL2" s="378"/>
      <c r="AM2" s="378"/>
      <c r="AN2" s="378"/>
      <c r="AO2" s="378"/>
      <c r="AP2" s="378"/>
      <c r="AQ2" s="378"/>
      <c r="AR2" s="378"/>
      <c r="AS2" s="440"/>
      <c r="AT2" s="963" t="str">
        <f>'Translate &amp; Prices'!$B$520</f>
        <v>Úvod</v>
      </c>
      <c r="AU2" s="797"/>
      <c r="AV2" s="797"/>
      <c r="AW2" s="797"/>
      <c r="AX2" s="440"/>
    </row>
    <row r="3" spans="1:50" s="4" customFormat="1" ht="14.4" x14ac:dyDescent="0.3">
      <c r="A3" s="440"/>
      <c r="B3" s="440"/>
      <c r="C3" s="440"/>
      <c r="D3" s="440"/>
      <c r="E3" s="440"/>
      <c r="F3" s="440"/>
      <c r="G3" s="440"/>
      <c r="H3" s="440"/>
      <c r="I3" s="440"/>
      <c r="J3" s="440"/>
      <c r="K3" s="440"/>
      <c r="L3" s="440"/>
      <c r="M3" s="440"/>
      <c r="N3" s="440"/>
      <c r="O3" s="440"/>
      <c r="P3" s="440"/>
      <c r="Q3" s="440"/>
      <c r="R3" s="440"/>
      <c r="S3" s="440"/>
      <c r="T3" s="377"/>
      <c r="U3" s="377"/>
      <c r="V3" s="377"/>
      <c r="W3" s="377"/>
      <c r="X3" s="377"/>
      <c r="Y3" s="377"/>
      <c r="Z3" s="377"/>
      <c r="AA3" s="378"/>
      <c r="AB3" s="378"/>
      <c r="AC3" s="378"/>
      <c r="AD3" s="378"/>
      <c r="AE3" s="379"/>
      <c r="AF3" s="380"/>
      <c r="AG3" s="378"/>
      <c r="AH3" s="378"/>
      <c r="AI3" s="378"/>
      <c r="AJ3" s="378"/>
      <c r="AK3" s="378"/>
      <c r="AL3" s="378"/>
      <c r="AM3" s="378"/>
      <c r="AN3" s="378"/>
      <c r="AO3" s="378"/>
      <c r="AP3" s="378"/>
      <c r="AQ3" s="378"/>
      <c r="AR3" s="378"/>
      <c r="AS3" s="440"/>
      <c r="AT3" s="963"/>
      <c r="AU3" s="797"/>
      <c r="AV3" s="797"/>
      <c r="AW3" s="797"/>
      <c r="AX3" s="440"/>
    </row>
    <row r="4" spans="1:50" s="4" customFormat="1" ht="6.6" customHeight="1" x14ac:dyDescent="0.3">
      <c r="A4" s="439"/>
      <c r="B4" s="439"/>
      <c r="C4" s="439"/>
      <c r="D4" s="439"/>
      <c r="E4" s="439"/>
      <c r="F4" s="439"/>
      <c r="G4" s="439"/>
      <c r="H4" s="439"/>
      <c r="I4" s="439"/>
      <c r="J4" s="178"/>
      <c r="K4" s="178"/>
      <c r="L4" s="178"/>
      <c r="M4" s="178"/>
      <c r="N4" s="178"/>
      <c r="O4" s="178"/>
      <c r="P4" s="921"/>
      <c r="Q4" s="921"/>
      <c r="R4" s="921"/>
      <c r="S4" s="921"/>
      <c r="T4" s="921"/>
      <c r="U4" s="921"/>
      <c r="V4" s="921"/>
      <c r="W4" s="921"/>
      <c r="X4" s="921"/>
      <c r="Y4" s="921"/>
      <c r="Z4" s="921"/>
      <c r="AA4" s="921"/>
      <c r="AB4" s="921"/>
      <c r="AC4" s="921"/>
      <c r="AD4" s="921"/>
      <c r="AE4" s="257"/>
      <c r="AF4" s="199"/>
      <c r="AP4" s="439"/>
      <c r="AQ4" s="439"/>
      <c r="AR4" s="439"/>
      <c r="AS4" s="439"/>
      <c r="AT4" s="439"/>
      <c r="AU4" s="439"/>
      <c r="AV4" s="439"/>
      <c r="AW4" s="439"/>
      <c r="AX4" s="178"/>
    </row>
    <row r="5" spans="1:50" s="4" customFormat="1" ht="15" customHeight="1" x14ac:dyDescent="0.3">
      <c r="A5" s="439"/>
      <c r="B5" s="439"/>
      <c r="C5" s="439"/>
      <c r="D5" s="439"/>
      <c r="E5" s="439"/>
      <c r="F5" s="439"/>
      <c r="G5" s="439"/>
      <c r="H5" s="439"/>
      <c r="I5" s="439"/>
      <c r="J5" s="178"/>
      <c r="K5" s="178"/>
      <c r="L5" s="178"/>
      <c r="M5" s="178"/>
      <c r="N5" s="178"/>
      <c r="O5" s="178"/>
      <c r="P5" s="921"/>
      <c r="Q5" s="921"/>
      <c r="R5" s="921"/>
      <c r="S5" s="921"/>
      <c r="T5" s="921"/>
      <c r="U5" s="921"/>
      <c r="V5" s="921"/>
      <c r="W5" s="921"/>
      <c r="X5" s="921"/>
      <c r="Y5" s="921"/>
      <c r="Z5" s="921"/>
      <c r="AA5" s="921"/>
      <c r="AB5" s="921"/>
      <c r="AC5" s="921"/>
      <c r="AD5" s="921"/>
      <c r="AE5" s="257"/>
      <c r="AF5" s="199"/>
      <c r="AP5" s="439"/>
      <c r="AQ5" s="439"/>
      <c r="AR5" s="439"/>
      <c r="AS5" s="439"/>
      <c r="AT5" s="439"/>
      <c r="AU5" s="439"/>
      <c r="AV5" s="439"/>
      <c r="AW5" s="439"/>
      <c r="AX5" s="178"/>
    </row>
    <row r="6" spans="1:50" s="4" customFormat="1" ht="14.4" x14ac:dyDescent="0.3">
      <c r="A6" s="439"/>
      <c r="B6" s="439"/>
      <c r="C6" s="439"/>
      <c r="D6" s="439"/>
      <c r="E6" s="439"/>
      <c r="F6" s="439"/>
      <c r="G6" s="439"/>
      <c r="H6" s="439"/>
      <c r="I6" s="439"/>
      <c r="J6" s="439"/>
      <c r="K6" s="439"/>
      <c r="L6" s="439"/>
      <c r="M6" s="439"/>
      <c r="N6" s="439"/>
      <c r="O6" s="439"/>
      <c r="P6" s="439"/>
      <c r="Q6" s="439"/>
      <c r="R6" s="439"/>
      <c r="S6" s="439"/>
      <c r="T6" s="439"/>
      <c r="U6" s="439"/>
      <c r="V6" s="439"/>
      <c r="W6" s="178"/>
      <c r="X6" s="178"/>
      <c r="Y6" s="178"/>
      <c r="Z6" s="178"/>
      <c r="AE6" s="257"/>
      <c r="AF6" s="199"/>
      <c r="AP6" s="439"/>
      <c r="AQ6" s="439"/>
      <c r="AR6" s="439"/>
      <c r="AS6" s="439"/>
      <c r="AT6" s="439"/>
      <c r="AU6" s="439"/>
      <c r="AV6" s="439"/>
      <c r="AW6" s="439"/>
      <c r="AX6" s="439"/>
    </row>
    <row r="7" spans="1:50" ht="14.4" customHeight="1" x14ac:dyDescent="0.3"/>
    <row r="8" spans="1:50" ht="14.4" customHeight="1" x14ac:dyDescent="0.3"/>
    <row r="9" spans="1:50" ht="14.4" customHeight="1" x14ac:dyDescent="0.3"/>
    <row r="10" spans="1:50" s="402" customFormat="1" ht="14.4" customHeight="1" x14ac:dyDescent="0.25">
      <c r="A10" s="401"/>
    </row>
    <row r="11" spans="1:50" ht="14.4" customHeight="1" x14ac:dyDescent="0.3">
      <c r="A11" s="4"/>
    </row>
    <row r="12" spans="1:50" ht="14.4" customHeight="1" x14ac:dyDescent="0.3">
      <c r="A12" s="4"/>
    </row>
    <row r="13" spans="1:50" ht="14.4" customHeight="1" x14ac:dyDescent="0.3">
      <c r="A13" s="4"/>
    </row>
    <row r="14" spans="1:50" ht="14.4" customHeight="1" x14ac:dyDescent="0.3">
      <c r="A14" s="4"/>
    </row>
    <row r="15" spans="1:50" ht="14.4" customHeight="1" x14ac:dyDescent="0.3">
      <c r="A15" s="4"/>
    </row>
    <row r="16" spans="1:50" s="402" customFormat="1" ht="14.4" customHeight="1" x14ac:dyDescent="0.25">
      <c r="A16" s="401"/>
    </row>
    <row r="17" spans="1:50" ht="14.4" customHeight="1" x14ac:dyDescent="0.3">
      <c r="A17" s="4"/>
    </row>
    <row r="18" spans="1:50" ht="14.4" customHeight="1" x14ac:dyDescent="0.3">
      <c r="A18" s="4"/>
    </row>
    <row r="19" spans="1:50" ht="14.4" customHeight="1" x14ac:dyDescent="0.3">
      <c r="A19" s="4"/>
    </row>
    <row r="20" spans="1:50" ht="14.4" customHeight="1" x14ac:dyDescent="0.3">
      <c r="A20" s="4"/>
    </row>
    <row r="21" spans="1:50" ht="14.4" customHeight="1" x14ac:dyDescent="0.3">
      <c r="A21" s="4"/>
    </row>
    <row r="22" spans="1:50" ht="14.4" customHeight="1" x14ac:dyDescent="0.3"/>
    <row r="23" spans="1:50" ht="14.4" customHeight="1" x14ac:dyDescent="0.3"/>
    <row r="24" spans="1:50" s="474" customFormat="1" ht="14.4" customHeight="1" x14ac:dyDescent="0.3">
      <c r="A24" s="395"/>
    </row>
    <row r="25" spans="1:50" s="402" customFormat="1" ht="14.4" customHeight="1" x14ac:dyDescent="0.25">
      <c r="A25" s="401"/>
    </row>
    <row r="26" spans="1:50" ht="14.4" customHeight="1" x14ac:dyDescent="0.3">
      <c r="A26" s="4"/>
    </row>
    <row r="27" spans="1:50" ht="14.4" customHeight="1" x14ac:dyDescent="0.3">
      <c r="A27" s="4"/>
    </row>
    <row r="28" spans="1:50" ht="14.4" customHeight="1" x14ac:dyDescent="0.3">
      <c r="A28" s="4"/>
    </row>
    <row r="29" spans="1:50" s="402" customFormat="1" ht="12" x14ac:dyDescent="0.25">
      <c r="A29" s="401"/>
      <c r="B29" s="401"/>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959"/>
      <c r="AR29" s="959"/>
      <c r="AS29" s="959"/>
      <c r="AT29" s="401"/>
      <c r="AU29" s="401"/>
      <c r="AV29" s="401"/>
      <c r="AW29" s="401"/>
      <c r="AX29" s="401"/>
    </row>
    <row r="30" spans="1:50" ht="16.8" customHeight="1" x14ac:dyDescent="0.3">
      <c r="A30" s="4"/>
      <c r="B30" s="960" t="s">
        <v>418</v>
      </c>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row>
    <row r="31" spans="1:50" ht="14.4" x14ac:dyDescent="0.3">
      <c r="A31" s="4"/>
    </row>
    <row r="32" spans="1:50" ht="14.4" x14ac:dyDescent="0.3">
      <c r="A32" s="4"/>
      <c r="B32" s="401"/>
      <c r="C32" s="959" t="s">
        <v>386</v>
      </c>
      <c r="D32" s="959"/>
      <c r="E32" s="959"/>
      <c r="F32" s="401"/>
      <c r="G32" s="959" t="s">
        <v>387</v>
      </c>
      <c r="H32" s="959"/>
      <c r="I32" s="959"/>
      <c r="J32" s="401"/>
      <c r="K32" s="959" t="s">
        <v>388</v>
      </c>
      <c r="L32" s="959"/>
      <c r="M32" s="959"/>
      <c r="N32" s="401"/>
      <c r="O32" s="959" t="s">
        <v>389</v>
      </c>
      <c r="P32" s="959"/>
      <c r="Q32" s="959"/>
      <c r="R32" s="401"/>
      <c r="S32" s="959" t="s">
        <v>391</v>
      </c>
      <c r="T32" s="959"/>
      <c r="U32" s="959"/>
      <c r="V32" s="401"/>
      <c r="W32" s="959" t="s">
        <v>393</v>
      </c>
      <c r="X32" s="959"/>
      <c r="Y32" s="959"/>
      <c r="Z32" s="401"/>
      <c r="AA32" s="959" t="s">
        <v>390</v>
      </c>
      <c r="AB32" s="959"/>
      <c r="AC32" s="959"/>
      <c r="AD32" s="401"/>
      <c r="AE32" s="959" t="s">
        <v>395</v>
      </c>
      <c r="AF32" s="959"/>
      <c r="AG32" s="959"/>
      <c r="AH32" s="401"/>
      <c r="AI32" s="959" t="s">
        <v>396</v>
      </c>
      <c r="AJ32" s="959"/>
      <c r="AK32" s="959"/>
      <c r="AL32" s="401"/>
      <c r="AM32" s="959" t="s">
        <v>398</v>
      </c>
      <c r="AN32" s="959"/>
      <c r="AO32" s="959"/>
      <c r="AP32" s="401"/>
      <c r="AQ32" s="959" t="s">
        <v>400</v>
      </c>
      <c r="AR32" s="959"/>
      <c r="AS32" s="959"/>
      <c r="AT32" s="401"/>
      <c r="AU32" s="959" t="s">
        <v>401</v>
      </c>
      <c r="AV32" s="959"/>
      <c r="AW32" s="959"/>
      <c r="AX32" s="401"/>
    </row>
    <row r="33" spans="1:71" ht="8.4" customHeight="1" x14ac:dyDescent="0.3">
      <c r="A33" s="4"/>
      <c r="D33" s="4"/>
      <c r="E33" s="4"/>
      <c r="F33" s="4"/>
      <c r="G33" s="4"/>
      <c r="H33" s="4"/>
      <c r="I33" s="4"/>
      <c r="J33" s="4"/>
      <c r="K33" s="4"/>
      <c r="L33" s="4"/>
      <c r="M33" s="4"/>
      <c r="N33" s="4"/>
      <c r="O33" s="4"/>
      <c r="P33" s="4"/>
      <c r="Q33" s="4"/>
      <c r="R33" s="4"/>
      <c r="S33" s="4"/>
      <c r="T33" s="4"/>
      <c r="U33" s="4"/>
      <c r="V33" s="4"/>
      <c r="W33" s="4"/>
      <c r="X33" s="4"/>
      <c r="Y33" s="4"/>
      <c r="Z33" s="4"/>
      <c r="AR33" s="4"/>
      <c r="AS33" s="4"/>
      <c r="AT33" s="4"/>
      <c r="AU33" s="4"/>
      <c r="AV33" s="4"/>
      <c r="AW33" s="4"/>
      <c r="AX33" s="4"/>
    </row>
    <row r="34" spans="1:71" ht="14.4" x14ac:dyDescent="0.3">
      <c r="A34" s="4"/>
      <c r="C34" s="948"/>
      <c r="D34" s="948"/>
      <c r="E34" s="948"/>
      <c r="F34" s="400"/>
      <c r="G34" s="948"/>
      <c r="H34" s="948"/>
      <c r="I34" s="948"/>
      <c r="J34" s="4"/>
      <c r="K34" s="948"/>
      <c r="L34" s="948"/>
      <c r="M34" s="948"/>
      <c r="N34" s="400"/>
      <c r="O34" s="948"/>
      <c r="P34" s="948"/>
      <c r="Q34" s="948"/>
      <c r="R34" s="4"/>
      <c r="S34" s="948"/>
      <c r="T34" s="948"/>
      <c r="U34" s="948"/>
      <c r="V34" s="400"/>
      <c r="W34" s="948"/>
      <c r="X34" s="948"/>
      <c r="Y34" s="948"/>
      <c r="Z34" s="4"/>
      <c r="AA34" s="948"/>
      <c r="AB34" s="948"/>
      <c r="AC34" s="948"/>
      <c r="AD34" s="400"/>
      <c r="AE34" s="948"/>
      <c r="AF34" s="948"/>
      <c r="AG34" s="948"/>
      <c r="AI34" s="948"/>
      <c r="AJ34" s="948"/>
      <c r="AK34" s="948"/>
      <c r="AL34" s="400"/>
      <c r="AM34" s="948"/>
      <c r="AN34" s="948"/>
      <c r="AO34" s="948"/>
      <c r="AQ34" s="948"/>
      <c r="AR34" s="948"/>
      <c r="AS34" s="948"/>
      <c r="AT34" s="400"/>
      <c r="AU34" s="948"/>
      <c r="AV34" s="948"/>
      <c r="AW34" s="948"/>
      <c r="AX34" s="4"/>
    </row>
    <row r="35" spans="1:71" ht="14.4" customHeight="1" x14ac:dyDescent="0.3">
      <c r="C35" s="948"/>
      <c r="D35" s="948"/>
      <c r="E35" s="948"/>
      <c r="F35" s="400"/>
      <c r="G35" s="948"/>
      <c r="H35" s="948"/>
      <c r="I35" s="948"/>
      <c r="J35" s="4"/>
      <c r="K35" s="948"/>
      <c r="L35" s="948"/>
      <c r="M35" s="948"/>
      <c r="N35" s="400"/>
      <c r="O35" s="948"/>
      <c r="P35" s="948"/>
      <c r="Q35" s="948"/>
      <c r="R35" s="4"/>
      <c r="S35" s="948"/>
      <c r="T35" s="948"/>
      <c r="U35" s="948"/>
      <c r="V35" s="400"/>
      <c r="W35" s="948"/>
      <c r="X35" s="948"/>
      <c r="Y35" s="948"/>
      <c r="Z35" s="4"/>
      <c r="AA35" s="948"/>
      <c r="AB35" s="948"/>
      <c r="AC35" s="948"/>
      <c r="AD35" s="400"/>
      <c r="AE35" s="948"/>
      <c r="AF35" s="948"/>
      <c r="AG35" s="948"/>
      <c r="AI35" s="948"/>
      <c r="AJ35" s="948"/>
      <c r="AK35" s="948"/>
      <c r="AL35" s="400"/>
      <c r="AM35" s="948"/>
      <c r="AN35" s="948"/>
      <c r="AO35" s="948"/>
      <c r="AQ35" s="948"/>
      <c r="AR35" s="948"/>
      <c r="AS35" s="948"/>
      <c r="AT35" s="400"/>
      <c r="AU35" s="948"/>
      <c r="AV35" s="948"/>
      <c r="AW35" s="948"/>
      <c r="AX35" s="4"/>
    </row>
    <row r="36" spans="1:71" ht="14.4" customHeight="1" x14ac:dyDescent="0.3">
      <c r="C36" s="948"/>
      <c r="D36" s="948"/>
      <c r="E36" s="948"/>
      <c r="F36" s="4"/>
      <c r="G36" s="948"/>
      <c r="H36" s="948"/>
      <c r="I36" s="948"/>
      <c r="J36" s="4"/>
      <c r="K36" s="948"/>
      <c r="L36" s="948"/>
      <c r="M36" s="948"/>
      <c r="N36" s="4"/>
      <c r="O36" s="948"/>
      <c r="P36" s="948"/>
      <c r="Q36" s="948"/>
      <c r="R36" s="4"/>
      <c r="S36" s="948"/>
      <c r="T36" s="948"/>
      <c r="U36" s="948"/>
      <c r="V36" s="4"/>
      <c r="W36" s="948"/>
      <c r="X36" s="948"/>
      <c r="Y36" s="948"/>
      <c r="Z36" s="4"/>
      <c r="AA36" s="948"/>
      <c r="AB36" s="948"/>
      <c r="AC36" s="948"/>
      <c r="AE36" s="948"/>
      <c r="AF36" s="948"/>
      <c r="AG36" s="948"/>
      <c r="AI36" s="948"/>
      <c r="AJ36" s="948"/>
      <c r="AK36" s="948"/>
      <c r="AM36" s="948"/>
      <c r="AN36" s="948"/>
      <c r="AO36" s="948"/>
      <c r="AQ36" s="948"/>
      <c r="AR36" s="948"/>
      <c r="AS36" s="948"/>
      <c r="AT36" s="4"/>
      <c r="AU36" s="948"/>
      <c r="AV36" s="948"/>
      <c r="AW36" s="948"/>
      <c r="AX36" s="4"/>
    </row>
    <row r="37" spans="1:71" ht="14.4" customHeight="1" x14ac:dyDescent="0.3">
      <c r="D37" s="4"/>
      <c r="E37" s="4"/>
      <c r="F37" s="4"/>
      <c r="G37" s="4"/>
      <c r="H37" s="4"/>
      <c r="I37" s="4"/>
      <c r="J37" s="4"/>
      <c r="K37" s="4"/>
      <c r="L37" s="4"/>
      <c r="M37" s="4"/>
      <c r="N37" s="4"/>
      <c r="O37" s="4"/>
      <c r="P37" s="4"/>
      <c r="Q37" s="4"/>
      <c r="R37" s="4"/>
      <c r="S37" s="4"/>
      <c r="T37" s="4"/>
      <c r="U37" s="4"/>
      <c r="V37" s="4"/>
      <c r="W37" s="4"/>
      <c r="X37" s="4"/>
      <c r="Y37" s="4"/>
      <c r="Z37" s="4"/>
      <c r="AR37" s="4"/>
      <c r="AS37" s="4"/>
      <c r="AT37" s="4"/>
      <c r="AU37" s="4"/>
      <c r="AV37" s="4"/>
      <c r="AW37" s="4"/>
      <c r="AX37" s="4"/>
      <c r="BC37" s="957" t="str">
        <f>'Translate &amp; Prices'!$B$237</f>
        <v>Barevné náhledy u jednotlivých názvů RAL a REF jsou pouze orientační!!!!</v>
      </c>
      <c r="BD37" s="957"/>
      <c r="BE37" s="957"/>
      <c r="BF37" s="957"/>
      <c r="BG37" s="957"/>
      <c r="BH37" s="957"/>
      <c r="BI37" s="957"/>
      <c r="BJ37" s="957"/>
      <c r="BK37" s="957"/>
      <c r="BL37" s="957"/>
      <c r="BM37" s="957"/>
      <c r="BN37" s="957"/>
      <c r="BO37" s="957"/>
      <c r="BP37" s="957"/>
      <c r="BQ37" s="957"/>
      <c r="BR37" s="957"/>
      <c r="BS37" s="957"/>
    </row>
    <row r="38" spans="1:71" ht="14.4" customHeight="1" x14ac:dyDescent="0.3">
      <c r="B38" s="401"/>
      <c r="C38" s="959" t="s">
        <v>394</v>
      </c>
      <c r="D38" s="959"/>
      <c r="E38" s="959"/>
      <c r="F38" s="401"/>
      <c r="G38" s="959" t="s">
        <v>397</v>
      </c>
      <c r="H38" s="959"/>
      <c r="I38" s="959"/>
      <c r="J38" s="401"/>
      <c r="K38" s="959" t="s">
        <v>409</v>
      </c>
      <c r="L38" s="959"/>
      <c r="M38" s="959"/>
      <c r="N38" s="401"/>
      <c r="O38" s="959" t="s">
        <v>399</v>
      </c>
      <c r="P38" s="959"/>
      <c r="Q38" s="959"/>
      <c r="R38" s="402"/>
      <c r="S38" s="959" t="s">
        <v>405</v>
      </c>
      <c r="T38" s="959"/>
      <c r="U38" s="959"/>
      <c r="V38" s="401"/>
      <c r="W38" s="959" t="s">
        <v>406</v>
      </c>
      <c r="X38" s="959"/>
      <c r="Y38" s="959"/>
      <c r="Z38" s="401"/>
      <c r="AA38" s="959" t="s">
        <v>407</v>
      </c>
      <c r="AB38" s="959"/>
      <c r="AC38" s="959"/>
      <c r="AD38" s="401"/>
      <c r="AE38" s="959" t="s">
        <v>408</v>
      </c>
      <c r="AF38" s="959"/>
      <c r="AG38" s="959"/>
      <c r="AH38" s="401"/>
      <c r="AI38" s="959" t="s">
        <v>392</v>
      </c>
      <c r="AJ38" s="959"/>
      <c r="AK38" s="959"/>
      <c r="AL38" s="402"/>
      <c r="AM38" s="959" t="s">
        <v>402</v>
      </c>
      <c r="AN38" s="959"/>
      <c r="AO38" s="959"/>
      <c r="AP38" s="401"/>
      <c r="AQ38" s="959" t="s">
        <v>403</v>
      </c>
      <c r="AR38" s="959"/>
      <c r="AS38" s="959"/>
      <c r="AT38" s="401"/>
      <c r="AU38" s="959" t="s">
        <v>404</v>
      </c>
      <c r="AV38" s="959"/>
      <c r="AW38" s="959"/>
      <c r="AX38" s="402"/>
      <c r="BC38" s="958" t="str">
        <f>'Translate &amp; Prices'!$B$309</f>
        <v>Vzorkovník skel je možné objednat pod kódy Lacebel VZK003P a Matelac VZK004P.</v>
      </c>
      <c r="BD38" s="958"/>
      <c r="BE38" s="958"/>
      <c r="BF38" s="958"/>
      <c r="BG38" s="958"/>
      <c r="BH38" s="958"/>
      <c r="BI38" s="958"/>
      <c r="BJ38" s="958"/>
      <c r="BK38" s="958"/>
      <c r="BL38" s="958"/>
      <c r="BM38" s="958"/>
      <c r="BN38" s="958"/>
      <c r="BO38" s="958"/>
      <c r="BP38" s="958"/>
      <c r="BQ38" s="958"/>
      <c r="BR38" s="958"/>
      <c r="BS38" s="958"/>
    </row>
    <row r="39" spans="1:71" ht="8.4" customHeight="1" x14ac:dyDescent="0.3">
      <c r="D39" s="4"/>
      <c r="E39" s="4"/>
      <c r="F39" s="4"/>
      <c r="G39" s="4"/>
      <c r="H39" s="4"/>
      <c r="I39" s="4"/>
      <c r="J39" s="4"/>
      <c r="K39" s="4"/>
      <c r="L39" s="4"/>
      <c r="M39" s="4"/>
      <c r="N39" s="4"/>
      <c r="O39" s="4"/>
      <c r="P39" s="4"/>
      <c r="Q39" s="4"/>
      <c r="S39" s="4"/>
      <c r="T39" s="4"/>
      <c r="U39" s="4"/>
      <c r="V39" s="4"/>
      <c r="W39" s="4"/>
      <c r="X39" s="4"/>
      <c r="Y39" s="4"/>
      <c r="Z39" s="4"/>
      <c r="AA39" s="257"/>
      <c r="AB39" s="199"/>
      <c r="AE39" s="4"/>
      <c r="AF39" s="4"/>
      <c r="AR39" s="4"/>
      <c r="AS39" s="4"/>
      <c r="AT39" s="4"/>
      <c r="AU39" s="4"/>
      <c r="AV39" s="4"/>
      <c r="AW39" s="4"/>
    </row>
    <row r="40" spans="1:71" ht="14.4" customHeight="1" x14ac:dyDescent="0.3">
      <c r="C40" s="948"/>
      <c r="D40" s="948"/>
      <c r="E40" s="948"/>
      <c r="F40" s="400"/>
      <c r="G40" s="948"/>
      <c r="H40" s="948"/>
      <c r="I40" s="948"/>
      <c r="J40" s="4"/>
      <c r="K40" s="948"/>
      <c r="L40" s="948"/>
      <c r="M40" s="948"/>
      <c r="N40" s="400"/>
      <c r="O40" s="948"/>
      <c r="P40" s="948"/>
      <c r="Q40" s="948"/>
      <c r="S40" s="948"/>
      <c r="T40" s="948"/>
      <c r="U40" s="948"/>
      <c r="V40" s="4"/>
      <c r="W40" s="948"/>
      <c r="X40" s="948"/>
      <c r="Y40" s="948"/>
      <c r="Z40" s="400"/>
      <c r="AA40" s="948"/>
      <c r="AB40" s="948"/>
      <c r="AC40" s="948"/>
      <c r="AE40" s="948"/>
      <c r="AF40" s="948"/>
      <c r="AG40" s="948"/>
      <c r="AH40" s="400"/>
      <c r="AI40" s="948"/>
      <c r="AJ40" s="948"/>
      <c r="AK40" s="948"/>
      <c r="AM40" s="948"/>
      <c r="AN40" s="948"/>
      <c r="AO40" s="948"/>
      <c r="AP40" s="400"/>
      <c r="AQ40" s="948"/>
      <c r="AR40" s="948"/>
      <c r="AS40" s="948"/>
      <c r="AT40" s="4"/>
      <c r="AU40" s="948"/>
      <c r="AV40" s="948"/>
      <c r="AW40" s="948"/>
    </row>
    <row r="41" spans="1:71" ht="14.4" customHeight="1" x14ac:dyDescent="0.3">
      <c r="C41" s="948"/>
      <c r="D41" s="948"/>
      <c r="E41" s="948"/>
      <c r="F41" s="400"/>
      <c r="G41" s="948"/>
      <c r="H41" s="948"/>
      <c r="I41" s="948"/>
      <c r="J41" s="4"/>
      <c r="K41" s="948"/>
      <c r="L41" s="948"/>
      <c r="M41" s="948"/>
      <c r="N41" s="400"/>
      <c r="O41" s="948"/>
      <c r="P41" s="948"/>
      <c r="Q41" s="948"/>
      <c r="S41" s="948"/>
      <c r="T41" s="948"/>
      <c r="U41" s="948"/>
      <c r="V41" s="4"/>
      <c r="W41" s="948"/>
      <c r="X41" s="948"/>
      <c r="Y41" s="948"/>
      <c r="Z41" s="400"/>
      <c r="AA41" s="948"/>
      <c r="AB41" s="948"/>
      <c r="AC41" s="948"/>
      <c r="AE41" s="948"/>
      <c r="AF41" s="948"/>
      <c r="AG41" s="948"/>
      <c r="AH41" s="400"/>
      <c r="AI41" s="948"/>
      <c r="AJ41" s="948"/>
      <c r="AK41" s="948"/>
      <c r="AM41" s="948"/>
      <c r="AN41" s="948"/>
      <c r="AO41" s="948"/>
      <c r="AP41" s="400"/>
      <c r="AQ41" s="948"/>
      <c r="AR41" s="948"/>
      <c r="AS41" s="948"/>
      <c r="AT41" s="4"/>
      <c r="AU41" s="948"/>
      <c r="AV41" s="948"/>
      <c r="AW41" s="948"/>
    </row>
    <row r="42" spans="1:71" ht="14.4" customHeight="1" x14ac:dyDescent="0.3">
      <c r="C42" s="948"/>
      <c r="D42" s="948"/>
      <c r="E42" s="948"/>
      <c r="F42" s="4"/>
      <c r="G42" s="948"/>
      <c r="H42" s="948"/>
      <c r="I42" s="948"/>
      <c r="J42" s="4"/>
      <c r="K42" s="948"/>
      <c r="L42" s="948"/>
      <c r="M42" s="948"/>
      <c r="N42" s="4"/>
      <c r="O42" s="948"/>
      <c r="P42" s="948"/>
      <c r="Q42" s="948"/>
      <c r="S42" s="948"/>
      <c r="T42" s="948"/>
      <c r="U42" s="948"/>
      <c r="V42" s="4"/>
      <c r="W42" s="948"/>
      <c r="X42" s="948"/>
      <c r="Y42" s="948"/>
      <c r="Z42" s="4"/>
      <c r="AA42" s="948"/>
      <c r="AB42" s="948"/>
      <c r="AC42" s="948"/>
      <c r="AE42" s="948"/>
      <c r="AF42" s="948"/>
      <c r="AG42" s="948"/>
      <c r="AI42" s="948"/>
      <c r="AJ42" s="948"/>
      <c r="AK42" s="948"/>
      <c r="AM42" s="948"/>
      <c r="AN42" s="948"/>
      <c r="AO42" s="948"/>
      <c r="AQ42" s="948"/>
      <c r="AR42" s="948"/>
      <c r="AS42" s="948"/>
      <c r="AT42" s="4"/>
      <c r="AU42" s="948"/>
      <c r="AV42" s="948"/>
      <c r="AW42" s="948"/>
    </row>
    <row r="43" spans="1:71" ht="14.4" customHeight="1" x14ac:dyDescent="0.3">
      <c r="D43" s="4"/>
      <c r="E43" s="4"/>
      <c r="F43" s="4"/>
      <c r="G43" s="4"/>
      <c r="H43" s="4"/>
      <c r="I43" s="4"/>
      <c r="J43" s="4"/>
      <c r="K43" s="4"/>
      <c r="L43" s="4"/>
      <c r="M43" s="4"/>
      <c r="N43" s="4"/>
      <c r="O43" s="4"/>
      <c r="P43" s="4"/>
      <c r="Q43" s="4"/>
      <c r="R43" s="4"/>
      <c r="S43" s="4"/>
      <c r="T43" s="4"/>
      <c r="U43" s="4"/>
      <c r="V43" s="4"/>
      <c r="W43" s="4"/>
      <c r="X43" s="4"/>
      <c r="Y43" s="4"/>
      <c r="Z43" s="4"/>
      <c r="AR43" s="4"/>
      <c r="AS43" s="4"/>
      <c r="AT43" s="4"/>
      <c r="AU43" s="4"/>
      <c r="AV43" s="4"/>
      <c r="AW43" s="4"/>
      <c r="AX43" s="4"/>
    </row>
    <row r="44" spans="1:71" ht="14.4" customHeight="1" x14ac:dyDescent="0.3">
      <c r="O44" s="4"/>
      <c r="P44" s="4"/>
      <c r="AA44" s="178"/>
      <c r="AB44" s="178"/>
      <c r="AC44" s="178"/>
    </row>
    <row r="45" spans="1:71" ht="16.8" customHeight="1" x14ac:dyDescent="0.3">
      <c r="B45" s="961" t="s">
        <v>418</v>
      </c>
      <c r="C45" s="961"/>
      <c r="D45" s="961"/>
      <c r="E45" s="961"/>
      <c r="F45" s="961"/>
      <c r="G45" s="961"/>
      <c r="H45" s="961"/>
      <c r="I45" s="961"/>
      <c r="J45" s="961"/>
      <c r="K45" s="961"/>
      <c r="L45" s="961"/>
      <c r="M45" s="961"/>
      <c r="N45" s="961"/>
      <c r="O45" s="961"/>
      <c r="P45" s="961"/>
      <c r="Q45" s="961"/>
      <c r="S45" s="960" t="s">
        <v>419</v>
      </c>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row>
    <row r="46" spans="1:71" ht="14.4" customHeight="1" x14ac:dyDescent="0.3">
      <c r="B46" s="5"/>
      <c r="C46" s="5"/>
      <c r="D46" s="395"/>
      <c r="E46" s="395"/>
      <c r="F46" s="395"/>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5"/>
      <c r="AM46" s="5"/>
      <c r="AN46" s="5"/>
      <c r="AO46" s="5"/>
      <c r="AP46" s="5"/>
      <c r="AQ46" s="5"/>
      <c r="AR46" s="395"/>
      <c r="AS46" s="395"/>
      <c r="AT46" s="395"/>
      <c r="AU46" s="403"/>
      <c r="AV46" s="403"/>
      <c r="AW46" s="403"/>
      <c r="AX46" s="403"/>
    </row>
    <row r="47" spans="1:71" ht="14.4" customHeight="1" x14ac:dyDescent="0.3">
      <c r="B47" s="401"/>
      <c r="C47" s="959" t="s">
        <v>50</v>
      </c>
      <c r="D47" s="959"/>
      <c r="E47" s="959"/>
      <c r="F47" s="401"/>
      <c r="G47" s="959" t="s">
        <v>67</v>
      </c>
      <c r="H47" s="959"/>
      <c r="I47" s="959"/>
      <c r="J47" s="401"/>
      <c r="K47" s="959" t="s">
        <v>44</v>
      </c>
      <c r="L47" s="959"/>
      <c r="M47" s="959"/>
      <c r="N47" s="401"/>
      <c r="O47" s="959" t="s">
        <v>59</v>
      </c>
      <c r="P47" s="959"/>
      <c r="Q47" s="959"/>
      <c r="R47" s="401"/>
      <c r="S47" s="959" t="s">
        <v>74</v>
      </c>
      <c r="T47" s="959"/>
      <c r="U47" s="959"/>
      <c r="V47" s="401"/>
      <c r="W47" s="959" t="s">
        <v>76</v>
      </c>
      <c r="X47" s="959"/>
      <c r="Y47" s="959"/>
      <c r="Z47" s="401"/>
      <c r="AA47" s="959" t="s">
        <v>72</v>
      </c>
      <c r="AB47" s="959"/>
      <c r="AC47" s="959"/>
      <c r="AD47" s="401"/>
      <c r="AE47" s="959" t="s">
        <v>69</v>
      </c>
      <c r="AF47" s="959"/>
      <c r="AG47" s="959"/>
      <c r="AH47" s="401"/>
      <c r="AI47" s="959" t="s">
        <v>73</v>
      </c>
      <c r="AJ47" s="959"/>
      <c r="AK47" s="959"/>
      <c r="AL47" s="401"/>
      <c r="AM47" s="959" t="s">
        <v>71</v>
      </c>
      <c r="AN47" s="959"/>
      <c r="AO47" s="959"/>
      <c r="AP47" s="401"/>
      <c r="AQ47" s="959" t="s">
        <v>70</v>
      </c>
      <c r="AR47" s="959"/>
      <c r="AS47" s="959"/>
      <c r="AT47" s="401"/>
      <c r="AU47" s="959"/>
      <c r="AV47" s="959"/>
      <c r="AW47" s="959"/>
      <c r="AX47" s="401"/>
    </row>
    <row r="48" spans="1:71" ht="8.4" customHeight="1" x14ac:dyDescent="0.3">
      <c r="D48" s="4"/>
      <c r="E48" s="4"/>
      <c r="F48" s="4"/>
      <c r="G48" s="4"/>
      <c r="H48" s="4"/>
      <c r="I48" s="4"/>
      <c r="J48" s="4"/>
      <c r="K48" s="4"/>
      <c r="L48" s="4"/>
      <c r="M48" s="4"/>
      <c r="N48" s="4"/>
      <c r="O48" s="4"/>
      <c r="P48" s="4"/>
      <c r="Q48" s="4"/>
      <c r="R48" s="4"/>
      <c r="S48" s="4"/>
      <c r="T48" s="4"/>
      <c r="U48" s="4"/>
      <c r="V48" s="4"/>
      <c r="W48" s="4"/>
      <c r="X48" s="4"/>
      <c r="Y48" s="4"/>
      <c r="Z48" s="4"/>
      <c r="AR48" s="4"/>
      <c r="AS48" s="4"/>
      <c r="AT48" s="4"/>
      <c r="AU48" s="4"/>
      <c r="AV48" s="4"/>
      <c r="AW48" s="4"/>
      <c r="AX48" s="4"/>
    </row>
    <row r="49" spans="3:50" ht="14.4" customHeight="1" x14ac:dyDescent="0.3">
      <c r="C49" s="948"/>
      <c r="D49" s="948"/>
      <c r="E49" s="948"/>
      <c r="F49" s="400"/>
      <c r="G49" s="948"/>
      <c r="H49" s="948"/>
      <c r="I49" s="948"/>
      <c r="J49" s="4"/>
      <c r="K49" s="948"/>
      <c r="L49" s="948"/>
      <c r="M49" s="948"/>
      <c r="N49" s="400"/>
      <c r="O49" s="948"/>
      <c r="P49" s="948"/>
      <c r="Q49" s="948"/>
      <c r="R49" s="4"/>
      <c r="S49" s="948"/>
      <c r="T49" s="948"/>
      <c r="U49" s="948"/>
      <c r="V49" s="400"/>
      <c r="W49" s="948"/>
      <c r="X49" s="948"/>
      <c r="Y49" s="948"/>
      <c r="Z49" s="4"/>
      <c r="AA49" s="948"/>
      <c r="AB49" s="948"/>
      <c r="AC49" s="948"/>
      <c r="AD49" s="400"/>
      <c r="AE49" s="948"/>
      <c r="AF49" s="948"/>
      <c r="AG49" s="948"/>
      <c r="AI49" s="948"/>
      <c r="AJ49" s="948"/>
      <c r="AK49" s="948"/>
      <c r="AL49" s="400"/>
      <c r="AM49" s="948"/>
      <c r="AN49" s="948"/>
      <c r="AO49" s="948"/>
      <c r="AQ49" s="948"/>
      <c r="AR49" s="948"/>
      <c r="AS49" s="948"/>
      <c r="AT49" s="400"/>
      <c r="AU49" s="948"/>
      <c r="AV49" s="948"/>
      <c r="AW49" s="948"/>
      <c r="AX49" s="4"/>
    </row>
    <row r="50" spans="3:50" ht="14.4" customHeight="1" x14ac:dyDescent="0.3">
      <c r="C50" s="948"/>
      <c r="D50" s="948"/>
      <c r="E50" s="948"/>
      <c r="F50" s="400"/>
      <c r="G50" s="948"/>
      <c r="H50" s="948"/>
      <c r="I50" s="948"/>
      <c r="J50" s="4"/>
      <c r="K50" s="948"/>
      <c r="L50" s="948"/>
      <c r="M50" s="948"/>
      <c r="N50" s="400"/>
      <c r="O50" s="948"/>
      <c r="P50" s="948"/>
      <c r="Q50" s="948"/>
      <c r="R50" s="4"/>
      <c r="S50" s="948"/>
      <c r="T50" s="948"/>
      <c r="U50" s="948"/>
      <c r="V50" s="400"/>
      <c r="W50" s="948"/>
      <c r="X50" s="948"/>
      <c r="Y50" s="948"/>
      <c r="Z50" s="4"/>
      <c r="AA50" s="948"/>
      <c r="AB50" s="948"/>
      <c r="AC50" s="948"/>
      <c r="AD50" s="400"/>
      <c r="AE50" s="948"/>
      <c r="AF50" s="948"/>
      <c r="AG50" s="948"/>
      <c r="AI50" s="948"/>
      <c r="AJ50" s="948"/>
      <c r="AK50" s="948"/>
      <c r="AL50" s="400"/>
      <c r="AM50" s="948"/>
      <c r="AN50" s="948"/>
      <c r="AO50" s="948"/>
      <c r="AQ50" s="948"/>
      <c r="AR50" s="948"/>
      <c r="AS50" s="948"/>
      <c r="AT50" s="400"/>
      <c r="AU50" s="948"/>
      <c r="AV50" s="948"/>
      <c r="AW50" s="948"/>
      <c r="AX50" s="4"/>
    </row>
    <row r="51" spans="3:50" ht="14.4" customHeight="1" x14ac:dyDescent="0.3">
      <c r="C51" s="948"/>
      <c r="D51" s="948"/>
      <c r="E51" s="948"/>
      <c r="F51" s="4"/>
      <c r="G51" s="948"/>
      <c r="H51" s="948"/>
      <c r="I51" s="948"/>
      <c r="J51" s="4"/>
      <c r="K51" s="948"/>
      <c r="L51" s="948"/>
      <c r="M51" s="948"/>
      <c r="N51" s="4"/>
      <c r="O51" s="948"/>
      <c r="P51" s="948"/>
      <c r="Q51" s="948"/>
      <c r="R51" s="4"/>
      <c r="S51" s="948"/>
      <c r="T51" s="948"/>
      <c r="U51" s="948"/>
      <c r="V51" s="4"/>
      <c r="W51" s="948"/>
      <c r="X51" s="948"/>
      <c r="Y51" s="948"/>
      <c r="Z51" s="4"/>
      <c r="AA51" s="948"/>
      <c r="AB51" s="948"/>
      <c r="AC51" s="948"/>
      <c r="AE51" s="948"/>
      <c r="AF51" s="948"/>
      <c r="AG51" s="948"/>
      <c r="AI51" s="948"/>
      <c r="AJ51" s="948"/>
      <c r="AK51" s="948"/>
      <c r="AM51" s="948"/>
      <c r="AN51" s="948"/>
      <c r="AO51" s="948"/>
      <c r="AQ51" s="948"/>
      <c r="AR51" s="948"/>
      <c r="AS51" s="948"/>
      <c r="AT51" s="4"/>
      <c r="AU51" s="948"/>
      <c r="AV51" s="948"/>
      <c r="AW51" s="948"/>
      <c r="AX51" s="4"/>
    </row>
    <row r="52" spans="3:50" ht="14.4" customHeight="1" x14ac:dyDescent="0.3">
      <c r="D52" s="4"/>
      <c r="E52" s="4"/>
      <c r="F52" s="4"/>
      <c r="G52" s="4"/>
      <c r="H52" s="4"/>
      <c r="I52" s="4"/>
      <c r="J52" s="4"/>
      <c r="K52" s="4"/>
      <c r="L52" s="4"/>
      <c r="M52" s="4"/>
      <c r="N52" s="4"/>
      <c r="O52" s="4"/>
      <c r="P52" s="4"/>
      <c r="Q52" s="4"/>
      <c r="R52" s="4"/>
      <c r="S52" s="4"/>
      <c r="T52" s="4"/>
      <c r="U52" s="4"/>
      <c r="V52" s="4"/>
      <c r="W52" s="4"/>
      <c r="X52" s="4"/>
      <c r="Y52" s="4"/>
      <c r="Z52" s="4"/>
      <c r="AR52" s="4"/>
      <c r="AS52" s="4"/>
      <c r="AT52" s="4"/>
      <c r="AU52" s="4"/>
      <c r="AV52" s="4"/>
      <c r="AW52" s="4"/>
      <c r="AX52" s="4"/>
    </row>
    <row r="53" spans="3:50" ht="14.4" customHeight="1" x14ac:dyDescent="0.3">
      <c r="Q53" s="962" t="s">
        <v>3375</v>
      </c>
      <c r="R53" s="962"/>
      <c r="S53" s="962"/>
    </row>
    <row r="54" spans="3:50" ht="14.4" customHeight="1" x14ac:dyDescent="0.3"/>
  </sheetData>
  <sheetProtection algorithmName="SHA-512" hashValue="v9xTe+v7zrNinBe5PBhZ/N6f17yA7JGOdae3ozmCwNp3uJg4MeNkx5jBhfmTx4kDfps0oQ1dACDgxrvbnC3RyQ==" saltValue="J4qOX1ben4ZUuH1qyyU/AA==" spinCount="100000" sheet="1" objects="1" scenarios="1" selectLockedCells="1"/>
  <mergeCells count="81">
    <mergeCell ref="Q53:S53"/>
    <mergeCell ref="AT2:AW3"/>
    <mergeCell ref="P4:AD5"/>
    <mergeCell ref="S32:U32"/>
    <mergeCell ref="O32:Q32"/>
    <mergeCell ref="AQ29:AS29"/>
    <mergeCell ref="B30:AX30"/>
    <mergeCell ref="C32:E32"/>
    <mergeCell ref="AQ32:AS32"/>
    <mergeCell ref="AU32:AW32"/>
    <mergeCell ref="G32:I32"/>
    <mergeCell ref="AI38:AK38"/>
    <mergeCell ref="AA38:AC38"/>
    <mergeCell ref="AE38:AG38"/>
    <mergeCell ref="S34:U36"/>
    <mergeCell ref="AI34:AK36"/>
    <mergeCell ref="K32:M32"/>
    <mergeCell ref="AM32:AO32"/>
    <mergeCell ref="AI32:AK32"/>
    <mergeCell ref="AE32:AG32"/>
    <mergeCell ref="AA32:AC32"/>
    <mergeCell ref="W32:Y32"/>
    <mergeCell ref="W34:Y36"/>
    <mergeCell ref="AA34:AC36"/>
    <mergeCell ref="AE34:AG36"/>
    <mergeCell ref="K40:M42"/>
    <mergeCell ref="O40:Q42"/>
    <mergeCell ref="S40:U42"/>
    <mergeCell ref="C34:E36"/>
    <mergeCell ref="G34:I36"/>
    <mergeCell ref="K34:M36"/>
    <mergeCell ref="O34:Q36"/>
    <mergeCell ref="C38:E38"/>
    <mergeCell ref="G38:I38"/>
    <mergeCell ref="K38:M38"/>
    <mergeCell ref="O38:Q38"/>
    <mergeCell ref="G47:I47"/>
    <mergeCell ref="K47:M47"/>
    <mergeCell ref="W38:Y38"/>
    <mergeCell ref="AM38:AO38"/>
    <mergeCell ref="AM34:AO36"/>
    <mergeCell ref="S38:U38"/>
    <mergeCell ref="W40:Y42"/>
    <mergeCell ref="AA40:AC42"/>
    <mergeCell ref="B45:Q45"/>
    <mergeCell ref="O47:Q47"/>
    <mergeCell ref="S47:U47"/>
    <mergeCell ref="W47:Y47"/>
    <mergeCell ref="AA47:AC47"/>
    <mergeCell ref="C47:E47"/>
    <mergeCell ref="C40:E42"/>
    <mergeCell ref="G40:I42"/>
    <mergeCell ref="C49:E51"/>
    <mergeCell ref="G49:I51"/>
    <mergeCell ref="K49:M51"/>
    <mergeCell ref="O49:Q51"/>
    <mergeCell ref="S49:U51"/>
    <mergeCell ref="AQ40:AS42"/>
    <mergeCell ref="AU40:AW42"/>
    <mergeCell ref="AE40:AG42"/>
    <mergeCell ref="AI40:AK42"/>
    <mergeCell ref="AE47:AG47"/>
    <mergeCell ref="AI47:AK47"/>
    <mergeCell ref="AM47:AO47"/>
    <mergeCell ref="AQ47:AS47"/>
    <mergeCell ref="AU49:AW51"/>
    <mergeCell ref="AQ49:AS51"/>
    <mergeCell ref="AU34:AW36"/>
    <mergeCell ref="BC37:BS37"/>
    <mergeCell ref="BC38:BS38"/>
    <mergeCell ref="AU38:AW38"/>
    <mergeCell ref="AQ34:AS36"/>
    <mergeCell ref="AQ38:AS38"/>
    <mergeCell ref="S45:AX45"/>
    <mergeCell ref="AE49:AG51"/>
    <mergeCell ref="AI49:AK51"/>
    <mergeCell ref="AM49:AO51"/>
    <mergeCell ref="W49:Y51"/>
    <mergeCell ref="AA49:AC51"/>
    <mergeCell ref="AU47:AW47"/>
    <mergeCell ref="AM40:AO42"/>
  </mergeCells>
  <hyperlinks>
    <hyperlink ref="AT2:AW3" location="Hlavní!A1" display="Hlavní!A1" xr:uid="{58DF5603-A2C6-436F-A885-38F2D7333C73}"/>
  </hyperlink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2">
    <pageSetUpPr fitToPage="1"/>
  </sheetPr>
  <dimension ref="A1:AR107"/>
  <sheetViews>
    <sheetView showGridLines="0" showRowColHeaders="0" zoomScale="70" zoomScaleNormal="70" workbookViewId="0">
      <selection activeCell="Z2" sqref="Z2:AC3"/>
    </sheetView>
  </sheetViews>
  <sheetFormatPr defaultColWidth="0" defaultRowHeight="14.4" zeroHeight="1" x14ac:dyDescent="0.3"/>
  <cols>
    <col min="1" max="25" width="8.88671875" style="1" customWidth="1"/>
    <col min="26" max="29" width="9.109375" style="1" customWidth="1"/>
    <col min="30" max="16384" width="9.109375" style="1" hidden="1"/>
  </cols>
  <sheetData>
    <row r="1" spans="1:41" x14ac:dyDescent="0.3">
      <c r="A1" s="439"/>
      <c r="B1" s="439"/>
      <c r="C1" s="439"/>
      <c r="D1" s="439"/>
      <c r="E1" s="439"/>
      <c r="F1" s="439"/>
      <c r="G1" s="439"/>
      <c r="H1" s="439"/>
      <c r="I1" s="439"/>
      <c r="J1" s="439"/>
      <c r="K1" s="439"/>
      <c r="L1" s="439"/>
      <c r="M1" s="439"/>
      <c r="N1" s="439"/>
      <c r="O1" s="439"/>
      <c r="P1" s="439"/>
      <c r="Q1" s="439"/>
      <c r="R1" s="439"/>
      <c r="S1" s="439"/>
      <c r="T1" s="4"/>
      <c r="U1" s="4"/>
      <c r="V1" s="4"/>
      <c r="W1" s="4"/>
      <c r="X1" s="4"/>
      <c r="Y1" s="573"/>
    </row>
    <row r="2" spans="1:41" x14ac:dyDescent="0.3">
      <c r="A2" s="440"/>
      <c r="B2" s="440"/>
      <c r="C2" s="440"/>
      <c r="D2" s="440"/>
      <c r="E2" s="440"/>
      <c r="F2" s="440"/>
      <c r="G2" s="440"/>
      <c r="H2" s="440"/>
      <c r="I2" s="440"/>
      <c r="J2" s="440"/>
      <c r="K2" s="967" t="str">
        <f>'Translate &amp; Prices'!$B$290</f>
        <v>Nákresy profilů a spoj. kování</v>
      </c>
      <c r="L2" s="967"/>
      <c r="M2" s="967"/>
      <c r="N2" s="967"/>
      <c r="O2" s="967"/>
      <c r="P2" s="967"/>
      <c r="Q2" s="967"/>
      <c r="R2" s="440"/>
      <c r="S2" s="440"/>
      <c r="T2" s="378"/>
      <c r="U2" s="378"/>
      <c r="V2" s="378"/>
      <c r="W2" s="378"/>
      <c r="X2" s="378"/>
      <c r="Y2" s="378"/>
      <c r="Z2" s="745" t="str">
        <f>'Translate &amp; Prices'!$B$520</f>
        <v>Úvod</v>
      </c>
      <c r="AA2" s="746"/>
      <c r="AB2" s="746"/>
      <c r="AC2" s="746"/>
    </row>
    <row r="3" spans="1:41" x14ac:dyDescent="0.3">
      <c r="A3" s="440"/>
      <c r="B3" s="440"/>
      <c r="C3" s="440"/>
      <c r="D3" s="440"/>
      <c r="E3" s="440"/>
      <c r="F3" s="440"/>
      <c r="G3" s="440"/>
      <c r="H3" s="440"/>
      <c r="I3" s="440"/>
      <c r="J3" s="440"/>
      <c r="K3" s="967"/>
      <c r="L3" s="967"/>
      <c r="M3" s="967"/>
      <c r="N3" s="967"/>
      <c r="O3" s="967"/>
      <c r="P3" s="967"/>
      <c r="Q3" s="967"/>
      <c r="R3" s="440"/>
      <c r="S3" s="440"/>
      <c r="T3" s="378"/>
      <c r="U3" s="378"/>
      <c r="V3" s="378"/>
      <c r="W3" s="378"/>
      <c r="X3" s="378"/>
      <c r="Y3" s="378"/>
      <c r="Z3" s="745"/>
      <c r="AA3" s="746"/>
      <c r="AB3" s="746"/>
      <c r="AC3" s="746"/>
    </row>
    <row r="4" spans="1:41" x14ac:dyDescent="0.3">
      <c r="A4" s="439"/>
      <c r="B4" s="439"/>
      <c r="C4" s="439"/>
      <c r="D4" s="439"/>
      <c r="E4" s="439"/>
      <c r="F4" s="439"/>
      <c r="G4" s="439"/>
      <c r="H4" s="439"/>
      <c r="I4" s="439"/>
      <c r="J4" s="178"/>
      <c r="K4" s="178"/>
      <c r="L4" s="178"/>
      <c r="M4" s="178"/>
      <c r="N4" s="178"/>
      <c r="O4" s="178"/>
      <c r="P4" s="178"/>
      <c r="Q4" s="178"/>
      <c r="R4" s="178"/>
      <c r="S4" s="178"/>
      <c r="T4" s="4"/>
      <c r="U4" s="4"/>
      <c r="V4" s="4"/>
      <c r="W4" s="4"/>
      <c r="X4" s="4"/>
      <c r="Y4" s="573"/>
    </row>
    <row r="5" spans="1:41" x14ac:dyDescent="0.3">
      <c r="A5" s="439"/>
      <c r="B5" s="439"/>
      <c r="C5" s="439"/>
      <c r="D5" s="439"/>
      <c r="E5" s="439"/>
      <c r="F5" s="439"/>
      <c r="G5" s="439"/>
      <c r="H5" s="439"/>
      <c r="I5" s="439"/>
      <c r="J5" s="178"/>
      <c r="K5" s="178"/>
      <c r="L5" s="178"/>
      <c r="M5" s="178"/>
      <c r="N5" s="178"/>
      <c r="O5" s="178"/>
      <c r="P5" s="178"/>
      <c r="Q5" s="178"/>
      <c r="R5" s="178"/>
      <c r="S5" s="178"/>
      <c r="T5" s="4"/>
    </row>
    <row r="6" spans="1:41" x14ac:dyDescent="0.3">
      <c r="A6" s="178"/>
      <c r="B6" s="4"/>
      <c r="C6" s="4"/>
      <c r="D6" s="178"/>
      <c r="E6" s="178"/>
      <c r="F6" s="178"/>
      <c r="G6" s="178"/>
      <c r="H6" s="178"/>
      <c r="I6" s="178"/>
      <c r="J6" s="178"/>
      <c r="K6" s="178"/>
      <c r="L6" s="178"/>
      <c r="M6" s="178"/>
      <c r="N6" s="178"/>
      <c r="O6" s="178"/>
      <c r="P6" s="178"/>
      <c r="Q6" s="178"/>
      <c r="R6" s="178"/>
      <c r="S6" s="178"/>
      <c r="T6" s="4"/>
      <c r="U6" s="4"/>
      <c r="V6" s="4"/>
      <c r="W6" s="4"/>
      <c r="X6" s="4"/>
      <c r="Y6" s="573"/>
    </row>
    <row r="7" spans="1:41" x14ac:dyDescent="0.3">
      <c r="A7" s="178"/>
      <c r="B7" s="4"/>
      <c r="C7" s="4"/>
      <c r="D7" s="178"/>
      <c r="E7" s="178"/>
      <c r="F7" s="178"/>
      <c r="G7" s="178"/>
      <c r="H7" s="178"/>
      <c r="I7" s="178"/>
      <c r="J7" s="178"/>
      <c r="K7" s="178"/>
      <c r="L7" s="178"/>
      <c r="M7" s="178"/>
      <c r="N7" s="178"/>
      <c r="X7" s="4"/>
      <c r="Y7" s="573"/>
      <c r="AG7" s="178"/>
      <c r="AH7" s="178"/>
      <c r="AI7" s="178"/>
      <c r="AJ7" s="178"/>
      <c r="AK7" s="178"/>
      <c r="AL7" s="4"/>
      <c r="AM7" s="4"/>
      <c r="AN7" s="4"/>
      <c r="AO7" s="4"/>
    </row>
    <row r="8" spans="1:41" s="510" customFormat="1" ht="18.600000000000001" customHeight="1" x14ac:dyDescent="0.3">
      <c r="A8" s="507"/>
      <c r="B8" s="965" t="str">
        <f>'Translate &amp; Prices'!$B$213</f>
        <v>Úzký ALU rámeček</v>
      </c>
      <c r="C8" s="965"/>
      <c r="D8" s="965"/>
      <c r="E8" s="965"/>
      <c r="F8" s="965"/>
      <c r="G8" s="965"/>
      <c r="N8" s="529"/>
      <c r="S8" s="965" t="str">
        <f>'Translate &amp; Prices'!$B$296</f>
        <v>Nákresy profilů</v>
      </c>
      <c r="T8" s="965"/>
      <c r="U8" s="965"/>
      <c r="V8" s="965"/>
      <c r="W8" s="965"/>
      <c r="X8" s="965"/>
      <c r="AM8" s="529"/>
      <c r="AN8" s="529"/>
      <c r="AO8" s="529"/>
    </row>
    <row r="9" spans="1:41" x14ac:dyDescent="0.3">
      <c r="A9" s="178"/>
      <c r="N9" s="5"/>
      <c r="X9" s="2"/>
      <c r="AG9" s="5"/>
      <c r="AH9" s="5"/>
      <c r="AI9" s="5"/>
      <c r="AJ9" s="5"/>
      <c r="AK9" s="5"/>
      <c r="AL9" s="5"/>
      <c r="AM9" s="5"/>
      <c r="AN9" s="5"/>
      <c r="AO9" s="5"/>
    </row>
    <row r="10" spans="1:41" x14ac:dyDescent="0.3">
      <c r="A10" s="178"/>
      <c r="N10" s="502"/>
      <c r="X10" s="2"/>
      <c r="AG10" s="502"/>
      <c r="AH10" s="502"/>
      <c r="AI10" s="502"/>
      <c r="AJ10" s="502"/>
      <c r="AK10" s="502"/>
      <c r="AL10" s="502"/>
      <c r="AM10" s="5"/>
      <c r="AN10" s="5"/>
      <c r="AO10" s="5"/>
    </row>
    <row r="11" spans="1:41" x14ac:dyDescent="0.3">
      <c r="A11" s="178"/>
      <c r="B11"/>
      <c r="N11" s="5"/>
      <c r="X11" s="2"/>
      <c r="AG11" s="5"/>
      <c r="AH11" s="5"/>
      <c r="AI11" s="5"/>
      <c r="AJ11" s="5"/>
      <c r="AK11" s="5"/>
      <c r="AL11" s="5"/>
      <c r="AM11" s="5"/>
      <c r="AN11" s="5"/>
      <c r="AO11" s="5"/>
    </row>
    <row r="12" spans="1:41" x14ac:dyDescent="0.3">
      <c r="A12" s="178"/>
      <c r="N12" s="502"/>
      <c r="X12" s="2"/>
      <c r="AG12" s="502"/>
      <c r="AH12" s="502"/>
      <c r="AI12" s="502"/>
      <c r="AJ12" s="502"/>
      <c r="AK12" s="502"/>
      <c r="AL12" s="502"/>
      <c r="AM12" s="5"/>
      <c r="AN12" s="5"/>
      <c r="AO12" s="5"/>
    </row>
    <row r="13" spans="1:41" x14ac:dyDescent="0.3">
      <c r="A13" s="178"/>
      <c r="N13" s="5"/>
      <c r="X13" s="2"/>
      <c r="AG13" s="5"/>
      <c r="AH13" s="5"/>
      <c r="AI13" s="5"/>
      <c r="AJ13" s="5"/>
      <c r="AK13" s="5"/>
      <c r="AL13" s="5"/>
      <c r="AM13" s="5"/>
      <c r="AN13" s="5"/>
      <c r="AO13" s="5"/>
    </row>
    <row r="14" spans="1:41" x14ac:dyDescent="0.3">
      <c r="A14" s="178"/>
      <c r="N14" s="502"/>
      <c r="X14" s="2"/>
      <c r="AG14" s="502"/>
      <c r="AH14" s="502"/>
      <c r="AI14" s="502"/>
      <c r="AJ14" s="502"/>
      <c r="AK14" s="502"/>
      <c r="AL14" s="502"/>
      <c r="AM14" s="5"/>
      <c r="AN14" s="5"/>
      <c r="AO14" s="5"/>
    </row>
    <row r="15" spans="1:41" x14ac:dyDescent="0.3">
      <c r="A15" s="178"/>
      <c r="N15" s="5"/>
      <c r="X15" s="2"/>
      <c r="AG15" s="5"/>
      <c r="AH15" s="5"/>
      <c r="AI15" s="5"/>
      <c r="AJ15" s="5"/>
      <c r="AK15" s="5"/>
      <c r="AL15" s="5"/>
      <c r="AM15" s="5"/>
      <c r="AN15" s="5"/>
      <c r="AO15" s="5"/>
    </row>
    <row r="16" spans="1:41" x14ac:dyDescent="0.3">
      <c r="A16" s="178"/>
      <c r="N16" s="502"/>
      <c r="X16" s="2"/>
      <c r="AG16" s="502"/>
      <c r="AH16" s="502"/>
      <c r="AI16" s="502"/>
      <c r="AJ16" s="502"/>
      <c r="AK16" s="502"/>
      <c r="AL16" s="502"/>
      <c r="AM16" s="5"/>
      <c r="AN16" s="5"/>
      <c r="AO16" s="5"/>
    </row>
    <row r="17" spans="1:41" x14ac:dyDescent="0.3">
      <c r="A17" s="178"/>
      <c r="N17" s="5"/>
      <c r="X17" s="2"/>
      <c r="AG17" s="5"/>
      <c r="AH17" s="5"/>
      <c r="AI17" s="5"/>
      <c r="AJ17" s="5"/>
      <c r="AK17" s="5"/>
      <c r="AL17" s="5"/>
      <c r="AM17" s="5"/>
      <c r="AN17" s="5"/>
      <c r="AO17" s="5"/>
    </row>
    <row r="18" spans="1:41" x14ac:dyDescent="0.3">
      <c r="A18" s="178"/>
      <c r="N18" s="502"/>
      <c r="X18" s="2"/>
      <c r="AG18" s="502"/>
      <c r="AH18" s="502"/>
      <c r="AI18" s="502"/>
      <c r="AJ18" s="502"/>
      <c r="AK18" s="502"/>
      <c r="AL18" s="502"/>
      <c r="AM18" s="5"/>
      <c r="AN18" s="5"/>
      <c r="AO18" s="5"/>
    </row>
    <row r="19" spans="1:41" ht="21" customHeight="1" x14ac:dyDescent="0.3">
      <c r="A19" s="178"/>
      <c r="N19" s="2"/>
      <c r="X19" s="503"/>
      <c r="AG19" s="2"/>
      <c r="AH19" s="2"/>
      <c r="AI19" s="2"/>
      <c r="AJ19" s="2"/>
      <c r="AK19" s="5"/>
      <c r="AL19" s="5"/>
      <c r="AM19" s="5"/>
      <c r="AN19" s="5"/>
      <c r="AO19" s="503"/>
    </row>
    <row r="20" spans="1:41" ht="14.4" customHeight="1" x14ac:dyDescent="0.3">
      <c r="A20" s="178"/>
      <c r="N20" s="5"/>
      <c r="X20" s="503"/>
      <c r="AG20" s="5"/>
      <c r="AH20" s="5"/>
      <c r="AI20" s="5"/>
      <c r="AJ20" s="5"/>
      <c r="AK20" s="5"/>
      <c r="AL20" s="5"/>
      <c r="AM20" s="5"/>
      <c r="AN20" s="5"/>
      <c r="AO20" s="503"/>
    </row>
    <row r="21" spans="1:41" ht="14.4" customHeight="1" x14ac:dyDescent="0.3">
      <c r="X21" s="474"/>
      <c r="Y21" s="474"/>
      <c r="Z21" s="474"/>
      <c r="AM21" s="474"/>
      <c r="AN21" s="474"/>
      <c r="AO21" s="474"/>
    </row>
    <row r="22" spans="1:41" ht="14.4" customHeight="1" x14ac:dyDescent="0.3">
      <c r="B22" s="966" t="str">
        <f>'Translate &amp; Prices'!$B$6</f>
        <v>BRW (elox.)</v>
      </c>
      <c r="C22" s="966"/>
      <c r="D22" s="966"/>
      <c r="F22" s="966" t="s">
        <v>2745</v>
      </c>
      <c r="G22" s="966"/>
      <c r="H22" s="966"/>
      <c r="J22" s="966" t="s">
        <v>2746</v>
      </c>
      <c r="K22" s="966"/>
      <c r="L22" s="966"/>
      <c r="N22" s="966" t="s">
        <v>2747</v>
      </c>
      <c r="O22" s="966"/>
      <c r="P22" s="966"/>
      <c r="X22" s="474"/>
      <c r="Y22" s="474"/>
      <c r="Z22" s="474"/>
      <c r="AM22" s="474"/>
      <c r="AN22" s="474"/>
      <c r="AO22" s="474"/>
    </row>
    <row r="23" spans="1:41" x14ac:dyDescent="0.3">
      <c r="B23" s="966"/>
      <c r="C23" s="966"/>
      <c r="D23" s="966"/>
      <c r="F23" s="966"/>
      <c r="G23" s="966"/>
      <c r="H23" s="966"/>
      <c r="J23" s="966"/>
      <c r="K23" s="966"/>
      <c r="L23" s="966"/>
      <c r="N23" s="966"/>
      <c r="O23" s="966"/>
      <c r="P23" s="966"/>
    </row>
    <row r="24" spans="1:41" x14ac:dyDescent="0.3"/>
    <row r="25" spans="1:41" x14ac:dyDescent="0.3">
      <c r="I25"/>
    </row>
    <row r="26" spans="1:41" ht="14.4" customHeight="1" x14ac:dyDescent="0.3">
      <c r="B26" s="576"/>
      <c r="C26" s="576"/>
      <c r="D26" s="576"/>
      <c r="E26" s="576"/>
      <c r="G26" s="576"/>
      <c r="H26" s="576"/>
      <c r="I26" s="576"/>
      <c r="J26" s="576"/>
      <c r="L26" s="576"/>
      <c r="M26" s="576"/>
      <c r="N26" s="576"/>
      <c r="O26" s="576"/>
      <c r="Q26" s="576"/>
      <c r="R26" s="576"/>
      <c r="S26" s="576"/>
      <c r="T26" s="576"/>
    </row>
    <row r="27" spans="1:41" s="510" customFormat="1" ht="18.600000000000001" customHeight="1" x14ac:dyDescent="0.3">
      <c r="B27" s="965" t="str">
        <f>'Translate &amp; Prices'!$B$214</f>
        <v>Široký ALU rámeček</v>
      </c>
      <c r="C27" s="965"/>
      <c r="D27" s="965"/>
      <c r="E27" s="965"/>
      <c r="F27" s="965"/>
      <c r="G27" s="965"/>
      <c r="H27" s="576"/>
      <c r="I27" s="576"/>
      <c r="J27" s="576"/>
      <c r="L27" s="576"/>
      <c r="M27" s="576"/>
      <c r="N27" s="576"/>
      <c r="O27" s="576"/>
      <c r="Q27" s="576"/>
      <c r="R27" s="576"/>
      <c r="S27" s="576"/>
      <c r="T27" s="576"/>
    </row>
    <row r="28" spans="1:41" ht="14.4" customHeight="1" x14ac:dyDescent="0.3">
      <c r="N28" s="5"/>
      <c r="AA28" s="575"/>
      <c r="AB28" s="575"/>
      <c r="AC28" s="575"/>
      <c r="AD28" s="575"/>
      <c r="AE28" s="575"/>
      <c r="AF28" s="575"/>
    </row>
    <row r="29" spans="1:41" x14ac:dyDescent="0.3">
      <c r="N29" s="502"/>
    </row>
    <row r="30" spans="1:41" x14ac:dyDescent="0.3">
      <c r="B30" s="137"/>
      <c r="N30" s="5"/>
    </row>
    <row r="31" spans="1:41" x14ac:dyDescent="0.3">
      <c r="N31" s="502"/>
    </row>
    <row r="32" spans="1:41" x14ac:dyDescent="0.3">
      <c r="N32" s="5"/>
    </row>
    <row r="33" spans="2:44" x14ac:dyDescent="0.3">
      <c r="N33" s="502"/>
    </row>
    <row r="34" spans="2:44" x14ac:dyDescent="0.3">
      <c r="N34" s="5"/>
    </row>
    <row r="35" spans="2:44" x14ac:dyDescent="0.3">
      <c r="N35" s="502"/>
    </row>
    <row r="36" spans="2:44" x14ac:dyDescent="0.3">
      <c r="N36" s="5"/>
    </row>
    <row r="37" spans="2:44" x14ac:dyDescent="0.3">
      <c r="N37" s="502"/>
    </row>
    <row r="38" spans="2:44" x14ac:dyDescent="0.3">
      <c r="N38" s="2"/>
    </row>
    <row r="39" spans="2:44" x14ac:dyDescent="0.3">
      <c r="N39" s="5"/>
    </row>
    <row r="40" spans="2:44" x14ac:dyDescent="0.3"/>
    <row r="41" spans="2:44" x14ac:dyDescent="0.3">
      <c r="B41" s="966" t="s">
        <v>2748</v>
      </c>
      <c r="C41" s="966"/>
      <c r="D41" s="966"/>
      <c r="F41" s="966" t="s">
        <v>2749</v>
      </c>
      <c r="G41" s="966"/>
      <c r="H41" s="966"/>
      <c r="J41" s="966" t="s">
        <v>2750</v>
      </c>
      <c r="K41" s="966"/>
      <c r="L41" s="966"/>
      <c r="N41" s="966" t="s">
        <v>2751</v>
      </c>
      <c r="O41" s="966"/>
      <c r="P41" s="966"/>
    </row>
    <row r="42" spans="2:44" x14ac:dyDescent="0.3">
      <c r="B42" s="966"/>
      <c r="C42" s="966"/>
      <c r="D42" s="966"/>
      <c r="F42" s="966"/>
      <c r="G42" s="966"/>
      <c r="H42" s="966"/>
      <c r="J42" s="966"/>
      <c r="K42" s="966"/>
      <c r="L42" s="966"/>
      <c r="N42" s="966"/>
      <c r="O42" s="966"/>
      <c r="P42" s="966"/>
    </row>
    <row r="43" spans="2:44" ht="18" x14ac:dyDescent="0.3">
      <c r="S43" s="965" t="str">
        <f>'Translate &amp; Prices'!$B$274</f>
        <v>Minimální vzdálenost umístění závěsů</v>
      </c>
      <c r="T43" s="965"/>
      <c r="U43" s="965"/>
      <c r="V43" s="965"/>
      <c r="W43" s="965"/>
      <c r="X43" s="965"/>
      <c r="AC43" s="475"/>
      <c r="AN43" s="475"/>
      <c r="AO43" s="5"/>
      <c r="AP43" s="502"/>
      <c r="AQ43" s="502"/>
      <c r="AR43" s="502"/>
    </row>
    <row r="44" spans="2:44" x14ac:dyDescent="0.3">
      <c r="I44" s="137"/>
      <c r="AB44" s="5"/>
      <c r="AC44" s="5"/>
      <c r="AN44" s="5"/>
      <c r="AO44" s="5"/>
      <c r="AP44" s="5"/>
      <c r="AQ44" s="5"/>
      <c r="AR44" s="5"/>
    </row>
    <row r="45" spans="2:44" x14ac:dyDescent="0.3">
      <c r="N45" s="502"/>
      <c r="AC45" s="475"/>
      <c r="AN45" s="475"/>
      <c r="AO45" s="5"/>
      <c r="AP45" s="502"/>
      <c r="AQ45" s="502"/>
      <c r="AR45" s="502"/>
    </row>
    <row r="46" spans="2:44" x14ac:dyDescent="0.3">
      <c r="B46" s="137"/>
      <c r="N46" s="5"/>
      <c r="W46" s="4"/>
      <c r="Z46" s="5"/>
      <c r="AA46" s="5"/>
      <c r="AB46" s="5"/>
      <c r="AC46" s="5"/>
      <c r="AN46" s="5"/>
      <c r="AO46" s="5"/>
      <c r="AP46" s="5"/>
      <c r="AQ46" s="5"/>
      <c r="AR46" s="5"/>
    </row>
    <row r="47" spans="2:44" x14ac:dyDescent="0.3">
      <c r="N47" s="502"/>
      <c r="W47" s="4"/>
      <c r="Z47" s="475"/>
      <c r="AA47" s="475"/>
      <c r="AB47" s="475"/>
      <c r="AC47" s="475"/>
      <c r="AN47" s="475"/>
      <c r="AO47" s="5"/>
      <c r="AP47" s="502"/>
      <c r="AQ47" s="502"/>
      <c r="AR47" s="502"/>
    </row>
    <row r="48" spans="2:44" x14ac:dyDescent="0.3">
      <c r="N48" s="5"/>
      <c r="W48" s="4"/>
      <c r="Z48" s="5"/>
      <c r="AA48" s="5"/>
      <c r="AB48" s="5"/>
      <c r="AC48" s="5"/>
      <c r="AN48" s="5"/>
      <c r="AO48" s="5"/>
      <c r="AP48" s="5"/>
      <c r="AQ48" s="5"/>
      <c r="AR48" s="5"/>
    </row>
    <row r="49" spans="2:44" x14ac:dyDescent="0.3">
      <c r="I49"/>
      <c r="N49" s="502"/>
      <c r="W49" s="4"/>
      <c r="Z49" s="475"/>
      <c r="AA49" s="475"/>
      <c r="AB49" s="475"/>
      <c r="AC49" s="475"/>
      <c r="AN49" s="475"/>
      <c r="AO49" s="5"/>
      <c r="AP49" s="502"/>
      <c r="AQ49" s="502"/>
      <c r="AR49" s="502"/>
    </row>
    <row r="50" spans="2:44" x14ac:dyDescent="0.3">
      <c r="N50" s="5"/>
      <c r="W50" s="4"/>
      <c r="Z50" s="5"/>
      <c r="AA50" s="5"/>
      <c r="AB50" s="5"/>
      <c r="AC50" s="5"/>
      <c r="AN50" s="5"/>
      <c r="AO50" s="5"/>
      <c r="AP50" s="5"/>
      <c r="AQ50" s="5"/>
      <c r="AR50" s="5"/>
    </row>
    <row r="51" spans="2:44" x14ac:dyDescent="0.3">
      <c r="N51" s="502"/>
      <c r="W51" s="4"/>
      <c r="Z51" s="475"/>
      <c r="AA51" s="475"/>
      <c r="AB51" s="475"/>
      <c r="AC51" s="475"/>
      <c r="AN51" s="475"/>
      <c r="AO51" s="5"/>
      <c r="AP51" s="502"/>
      <c r="AQ51" s="502"/>
      <c r="AR51" s="502"/>
    </row>
    <row r="52" spans="2:44" x14ac:dyDescent="0.3">
      <c r="N52" s="5"/>
      <c r="W52" s="4"/>
      <c r="Z52" s="5"/>
      <c r="AA52" s="5"/>
      <c r="AB52" s="5"/>
      <c r="AC52" s="5"/>
      <c r="AN52" s="5"/>
      <c r="AO52" s="5"/>
      <c r="AP52" s="5"/>
      <c r="AQ52" s="5"/>
      <c r="AR52" s="5"/>
    </row>
    <row r="53" spans="2:44" x14ac:dyDescent="0.3">
      <c r="C53"/>
      <c r="N53" s="502"/>
      <c r="W53" s="4"/>
      <c r="Z53" s="475"/>
      <c r="AA53" s="475"/>
      <c r="AB53" s="475"/>
      <c r="AC53" s="475"/>
      <c r="AN53" s="475"/>
      <c r="AO53" s="5"/>
      <c r="AP53" s="502"/>
      <c r="AQ53" s="502"/>
      <c r="AR53" s="502"/>
    </row>
    <row r="54" spans="2:44" x14ac:dyDescent="0.3">
      <c r="N54" s="2"/>
      <c r="W54" s="4"/>
      <c r="Z54" s="2"/>
      <c r="AA54" s="2"/>
      <c r="AB54" s="2"/>
      <c r="AC54" s="2"/>
      <c r="AN54" s="2"/>
      <c r="AO54" s="2"/>
      <c r="AP54" s="2"/>
      <c r="AQ54" s="2"/>
      <c r="AR54" s="2"/>
    </row>
    <row r="55" spans="2:44" x14ac:dyDescent="0.3">
      <c r="N55" s="5"/>
      <c r="W55" s="4"/>
      <c r="X55" s="4"/>
      <c r="Y55" s="178"/>
      <c r="Z55" s="5"/>
      <c r="AA55" s="5"/>
      <c r="AB55" s="5"/>
      <c r="AC55" s="5"/>
      <c r="AN55" s="5"/>
      <c r="AO55" s="5"/>
      <c r="AP55" s="5"/>
      <c r="AQ55" s="5"/>
      <c r="AR55" s="5"/>
    </row>
    <row r="56" spans="2:44" x14ac:dyDescent="0.3"/>
    <row r="57" spans="2:44" x14ac:dyDescent="0.3">
      <c r="B57" s="966" t="s">
        <v>2752</v>
      </c>
      <c r="C57" s="966"/>
      <c r="D57" s="966"/>
      <c r="F57" s="966" t="s">
        <v>2753</v>
      </c>
      <c r="G57" s="966"/>
      <c r="H57" s="966"/>
      <c r="J57" s="966" t="s">
        <v>2754</v>
      </c>
      <c r="K57" s="966"/>
      <c r="L57" s="966"/>
      <c r="N57" s="966"/>
      <c r="O57" s="966"/>
      <c r="P57" s="966"/>
    </row>
    <row r="58" spans="2:44" x14ac:dyDescent="0.3">
      <c r="B58" s="966"/>
      <c r="C58" s="966"/>
      <c r="D58" s="966"/>
      <c r="F58" s="966"/>
      <c r="G58" s="966"/>
      <c r="H58" s="966"/>
      <c r="J58" s="966"/>
      <c r="K58" s="966"/>
      <c r="L58" s="966"/>
      <c r="N58" s="966"/>
      <c r="O58" s="966"/>
      <c r="P58" s="966"/>
    </row>
    <row r="59" spans="2:44" x14ac:dyDescent="0.3"/>
    <row r="60" spans="2:44" x14ac:dyDescent="0.3"/>
    <row r="61" spans="2:44" x14ac:dyDescent="0.3"/>
    <row r="62" spans="2:44" ht="18" x14ac:dyDescent="0.35">
      <c r="B62" s="964" t="str">
        <f>'Translate &amp; Prices'!$B$522</f>
        <v>Kombinace 2 profilů</v>
      </c>
      <c r="C62" s="964"/>
      <c r="D62" s="964"/>
      <c r="E62" s="964"/>
      <c r="F62" s="964"/>
      <c r="G62" s="964"/>
    </row>
    <row r="63" spans="2:44" x14ac:dyDescent="0.3"/>
    <row r="64" spans="2:4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spans="2:7" x14ac:dyDescent="0.3"/>
    <row r="82" spans="2:7" ht="18" x14ac:dyDescent="0.35">
      <c r="B82" s="964" t="str">
        <f>'Translate &amp; Prices'!$B$523</f>
        <v>Dělící lišty</v>
      </c>
      <c r="C82" s="964"/>
      <c r="D82" s="964"/>
      <c r="E82" s="964"/>
      <c r="F82" s="964"/>
      <c r="G82" s="964"/>
    </row>
    <row r="83" spans="2:7" x14ac:dyDescent="0.3"/>
    <row r="84" spans="2:7" x14ac:dyDescent="0.3"/>
    <row r="85" spans="2:7" x14ac:dyDescent="0.3"/>
    <row r="86" spans="2:7" x14ac:dyDescent="0.3"/>
    <row r="87" spans="2:7" x14ac:dyDescent="0.3"/>
    <row r="88" spans="2:7" x14ac:dyDescent="0.3"/>
    <row r="89" spans="2:7" x14ac:dyDescent="0.3"/>
    <row r="90" spans="2:7" x14ac:dyDescent="0.3"/>
    <row r="91" spans="2:7" x14ac:dyDescent="0.3"/>
    <row r="92" spans="2:7" x14ac:dyDescent="0.3"/>
    <row r="93" spans="2:7" x14ac:dyDescent="0.3"/>
    <row r="94" spans="2:7" x14ac:dyDescent="0.3"/>
    <row r="95" spans="2:7" x14ac:dyDescent="0.3"/>
    <row r="96" spans="2:7" x14ac:dyDescent="0.3"/>
    <row r="97" x14ac:dyDescent="0.3"/>
    <row r="98" x14ac:dyDescent="0.3"/>
    <row r="99" x14ac:dyDescent="0.3"/>
    <row r="100" x14ac:dyDescent="0.3"/>
    <row r="101" x14ac:dyDescent="0.3"/>
    <row r="102" hidden="1" x14ac:dyDescent="0.3"/>
    <row r="103" hidden="1" x14ac:dyDescent="0.3"/>
    <row r="104" hidden="1" x14ac:dyDescent="0.3"/>
    <row r="105" hidden="1" x14ac:dyDescent="0.3"/>
    <row r="106" hidden="1" x14ac:dyDescent="0.3"/>
    <row r="107" hidden="1" x14ac:dyDescent="0.3"/>
  </sheetData>
  <sheetProtection algorithmName="SHA-512" hashValue="f5+qER6Z/b5Ee3aeWd+7Qx5tJmGPt9yGbwx8C1FZyXIS8yCgrdqC5GR1fIEgIkmhQ1rhI7OGmKR1Y1k6AhzE4w==" saltValue="GjID3bqEPwEXcFxK7s9XwQ==" spinCount="100000" sheet="1" objects="1" scenarios="1" selectLockedCells="1"/>
  <mergeCells count="20">
    <mergeCell ref="K2:Q3"/>
    <mergeCell ref="S43:X43"/>
    <mergeCell ref="S8:X8"/>
    <mergeCell ref="Z2:AC3"/>
    <mergeCell ref="F22:H23"/>
    <mergeCell ref="B27:G27"/>
    <mergeCell ref="B41:D42"/>
    <mergeCell ref="F41:H42"/>
    <mergeCell ref="J41:L42"/>
    <mergeCell ref="N41:P42"/>
    <mergeCell ref="B82:G82"/>
    <mergeCell ref="B8:G8"/>
    <mergeCell ref="N22:P23"/>
    <mergeCell ref="J22:L23"/>
    <mergeCell ref="B62:G62"/>
    <mergeCell ref="B22:D23"/>
    <mergeCell ref="B57:D58"/>
    <mergeCell ref="F57:H58"/>
    <mergeCell ref="J57:L58"/>
    <mergeCell ref="N57:P58"/>
  </mergeCells>
  <hyperlinks>
    <hyperlink ref="Z2:AC3" location="Hlavní!A1" display="Hlavní!A1" xr:uid="{C8263079-D718-4FEC-83FB-1BFCD2EBB902}"/>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19</xdr:col>
                    <xdr:colOff>0</xdr:colOff>
                    <xdr:row>0</xdr:row>
                    <xdr:rowOff>0</xdr:rowOff>
                  </from>
                  <to>
                    <xdr:col>19</xdr:col>
                    <xdr:colOff>0</xdr:colOff>
                    <xdr:row>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B983-0A1B-461C-85B1-7208F04438B5}">
  <sheetPr codeName="List30">
    <tabColor rgb="FF92D050"/>
  </sheetPr>
  <dimension ref="A1:CB224"/>
  <sheetViews>
    <sheetView showGridLines="0" zoomScale="80" zoomScaleNormal="80" workbookViewId="0">
      <selection activeCell="AL59" sqref="AL59:AO59"/>
    </sheetView>
  </sheetViews>
  <sheetFormatPr defaultColWidth="0" defaultRowHeight="14.4" customHeight="1" x14ac:dyDescent="0.3"/>
  <cols>
    <col min="1" max="1" width="4.44140625" style="395" customWidth="1"/>
    <col min="2" max="3" width="4.44140625" style="5" customWidth="1"/>
    <col min="4" max="11" width="4.44140625" style="395" customWidth="1"/>
    <col min="12" max="15" width="5.6640625" style="395" customWidth="1"/>
    <col min="16" max="22" width="4.44140625" style="395" customWidth="1"/>
    <col min="23" max="26" width="6.21875" style="395" customWidth="1"/>
    <col min="27" max="27" width="6.21875" style="5" customWidth="1"/>
    <col min="28" max="30" width="6.5546875" style="5" customWidth="1"/>
    <col min="31" max="31" width="6.5546875" style="257" customWidth="1"/>
    <col min="32" max="32" width="6.5546875" style="199" customWidth="1"/>
    <col min="33" max="37" width="6.21875" style="5" customWidth="1"/>
    <col min="38" max="41" width="6.5546875" style="5" customWidth="1"/>
    <col min="42" max="42" width="4.44140625" style="5" customWidth="1"/>
    <col min="43" max="44" width="8.88671875" style="5" customWidth="1"/>
    <col min="45" max="52" width="8.88671875" style="5" hidden="1" customWidth="1"/>
    <col min="53" max="54" width="8.88671875" style="255" hidden="1" customWidth="1"/>
    <col min="55" max="55" width="8.88671875" style="395" hidden="1" customWidth="1"/>
    <col min="56" max="57" width="12.88671875" style="395" hidden="1" customWidth="1"/>
    <col min="58" max="61" width="8.88671875" style="395" hidden="1" customWidth="1"/>
    <col min="62" max="80" width="0" style="474" hidden="1" customWidth="1"/>
    <col min="81" max="16384" width="8.88671875" style="474" hidden="1"/>
  </cols>
  <sheetData>
    <row r="1" spans="1:80" s="5" customFormat="1" x14ac:dyDescent="0.3">
      <c r="A1" s="439"/>
      <c r="B1" s="439"/>
      <c r="C1" s="439"/>
      <c r="D1" s="439"/>
      <c r="E1" s="439"/>
      <c r="F1" s="439"/>
      <c r="G1" s="439"/>
      <c r="H1" s="439"/>
      <c r="I1" s="439"/>
      <c r="J1" s="439"/>
      <c r="K1" s="439"/>
      <c r="L1" s="439"/>
      <c r="M1" s="439"/>
      <c r="N1" s="439"/>
      <c r="O1" s="439"/>
      <c r="P1" s="439"/>
      <c r="Q1" s="439"/>
      <c r="R1" s="439"/>
      <c r="S1" s="439"/>
      <c r="T1" s="439"/>
      <c r="U1" s="439"/>
      <c r="V1" s="439"/>
      <c r="W1" s="178"/>
      <c r="X1" s="178"/>
      <c r="Y1" s="178"/>
      <c r="Z1" s="178"/>
      <c r="AA1" s="584"/>
      <c r="AB1" s="584"/>
      <c r="AC1" s="584"/>
      <c r="AD1" s="584"/>
      <c r="AE1" s="257"/>
      <c r="AF1" s="199"/>
      <c r="AG1" s="584"/>
      <c r="AH1" s="584"/>
      <c r="AI1" s="584"/>
      <c r="AJ1" s="584"/>
      <c r="AK1" s="584"/>
      <c r="AL1" s="584"/>
      <c r="AM1" s="584"/>
      <c r="AN1" s="584"/>
      <c r="AO1" s="947">
        <f ca="1">TODAY()</f>
        <v>44225</v>
      </c>
      <c r="AP1" s="948"/>
      <c r="AQ1" s="948"/>
      <c r="AR1" s="948"/>
      <c r="BA1" s="255"/>
      <c r="BB1" s="255"/>
      <c r="BC1" s="395"/>
      <c r="BD1" s="395"/>
      <c r="BE1" s="395"/>
      <c r="BF1" s="395"/>
      <c r="BG1" s="395"/>
      <c r="BH1" s="395"/>
      <c r="BI1" s="395"/>
    </row>
    <row r="2" spans="1:80" s="5" customFormat="1" ht="14.4" customHeight="1" x14ac:dyDescent="0.3">
      <c r="A2" s="440"/>
      <c r="B2" s="440"/>
      <c r="C2" s="440"/>
      <c r="D2" s="440"/>
      <c r="E2" s="440"/>
      <c r="F2" s="440"/>
      <c r="G2" s="440"/>
      <c r="H2" s="440"/>
      <c r="I2" s="440"/>
      <c r="J2" s="440"/>
      <c r="K2" s="440"/>
      <c r="L2" s="440"/>
      <c r="M2" s="440"/>
      <c r="N2" s="440"/>
      <c r="O2" s="440"/>
      <c r="P2" s="440"/>
      <c r="Q2" s="440"/>
      <c r="R2" s="440"/>
      <c r="S2" s="440"/>
      <c r="T2" s="377"/>
      <c r="U2" s="377"/>
      <c r="V2" s="377"/>
      <c r="W2" s="377"/>
      <c r="X2" s="377"/>
      <c r="Y2" s="377"/>
      <c r="Z2" s="377"/>
      <c r="AA2" s="378"/>
      <c r="AB2" s="378"/>
      <c r="AC2" s="378"/>
      <c r="AD2" s="378"/>
      <c r="AE2" s="379"/>
      <c r="AF2" s="380"/>
      <c r="AG2" s="378"/>
      <c r="AH2" s="378"/>
      <c r="AI2" s="378"/>
      <c r="AJ2" s="378"/>
      <c r="AK2" s="378"/>
      <c r="AL2" s="378"/>
      <c r="AM2" s="378"/>
      <c r="AN2" s="745"/>
      <c r="AO2" s="746"/>
      <c r="AP2" s="746"/>
      <c r="AQ2" s="746"/>
      <c r="AR2" s="746"/>
      <c r="BA2" s="255"/>
      <c r="BB2" s="255"/>
      <c r="BC2" s="395"/>
      <c r="BD2" s="395"/>
      <c r="BE2" s="395"/>
      <c r="BF2" s="395"/>
      <c r="BG2" s="395"/>
      <c r="BH2" s="395"/>
      <c r="BI2" s="395"/>
    </row>
    <row r="3" spans="1:80" s="5" customFormat="1" ht="14.4" customHeight="1" x14ac:dyDescent="0.3">
      <c r="A3" s="440"/>
      <c r="B3" s="440"/>
      <c r="C3" s="440"/>
      <c r="D3" s="440"/>
      <c r="E3" s="440"/>
      <c r="F3" s="440"/>
      <c r="G3" s="440"/>
      <c r="H3" s="440"/>
      <c r="I3" s="440"/>
      <c r="J3" s="440"/>
      <c r="K3" s="440"/>
      <c r="L3" s="440"/>
      <c r="M3" s="440"/>
      <c r="N3" s="440"/>
      <c r="O3" s="440"/>
      <c r="P3" s="440"/>
      <c r="Q3" s="440"/>
      <c r="R3" s="440"/>
      <c r="S3" s="440"/>
      <c r="T3" s="377"/>
      <c r="U3" s="377"/>
      <c r="V3" s="377"/>
      <c r="W3" s="377"/>
      <c r="X3" s="377"/>
      <c r="Y3" s="377"/>
      <c r="Z3" s="377"/>
      <c r="AA3" s="378"/>
      <c r="AB3" s="378"/>
      <c r="AC3" s="378"/>
      <c r="AD3" s="378"/>
      <c r="AE3" s="379"/>
      <c r="AF3" s="380"/>
      <c r="AG3" s="378"/>
      <c r="AH3" s="378"/>
      <c r="AI3" s="378"/>
      <c r="AJ3" s="378"/>
      <c r="AK3" s="378"/>
      <c r="AL3" s="378"/>
      <c r="AM3" s="378"/>
      <c r="AN3" s="745"/>
      <c r="AO3" s="746"/>
      <c r="AP3" s="746"/>
      <c r="AQ3" s="746"/>
      <c r="AR3" s="746"/>
      <c r="BA3" s="255"/>
      <c r="BB3" s="255"/>
      <c r="BC3" s="395"/>
      <c r="BD3" s="395"/>
      <c r="BE3" s="395"/>
      <c r="BF3" s="395"/>
      <c r="BG3" s="395"/>
      <c r="BH3" s="395"/>
      <c r="BI3" s="395"/>
    </row>
    <row r="4" spans="1:80" ht="14.4" customHeight="1" x14ac:dyDescent="0.3">
      <c r="A4" s="178"/>
      <c r="B4" s="584"/>
      <c r="C4" s="584"/>
      <c r="D4" s="178"/>
      <c r="E4" s="178"/>
      <c r="F4" s="178"/>
      <c r="G4" s="178"/>
      <c r="H4" s="178"/>
      <c r="I4" s="178"/>
      <c r="J4" s="178"/>
      <c r="K4" s="178"/>
      <c r="L4" s="178"/>
      <c r="M4" s="178"/>
      <c r="N4" s="178"/>
      <c r="O4" s="178"/>
      <c r="P4" s="178"/>
      <c r="Q4" s="178"/>
      <c r="R4" s="178"/>
      <c r="S4" s="178"/>
      <c r="T4" s="178"/>
      <c r="U4" s="178"/>
      <c r="V4" s="178"/>
      <c r="W4" s="178"/>
      <c r="X4" s="997">
        <f>SUM(Ram_1!$L$30,Ram_2!$L$30,Ram_3!$L$30,Ram_4!$L$30,Ram_5!$L$30,Ram_6!$L$30)</f>
        <v>0</v>
      </c>
      <c r="Y4" s="997"/>
      <c r="Z4" s="997"/>
      <c r="AA4" s="997"/>
      <c r="AB4" s="997"/>
      <c r="AC4" s="997"/>
      <c r="AD4" s="997"/>
      <c r="AE4" s="997"/>
      <c r="AF4" s="739"/>
      <c r="AG4" s="739"/>
      <c r="AH4" s="739"/>
      <c r="AI4" s="739"/>
      <c r="AJ4" s="739" t="b">
        <v>1</v>
      </c>
      <c r="AK4" s="739"/>
      <c r="AL4" s="739"/>
      <c r="AM4" s="739"/>
      <c r="AN4" s="740"/>
      <c r="AO4" s="739"/>
      <c r="AP4" s="739"/>
      <c r="AQ4" s="739"/>
    </row>
    <row r="5" spans="1:80" ht="14.4" customHeight="1" x14ac:dyDescent="0.3">
      <c r="A5" s="178"/>
      <c r="B5" s="584"/>
      <c r="C5" s="584"/>
      <c r="D5" s="178"/>
      <c r="E5" s="178"/>
      <c r="F5" s="178"/>
      <c r="G5" s="178"/>
      <c r="H5" s="178"/>
      <c r="I5" s="178"/>
      <c r="J5" s="178"/>
      <c r="K5" s="178"/>
      <c r="L5" s="502"/>
      <c r="M5" s="502"/>
      <c r="N5" s="502"/>
      <c r="O5" s="502"/>
      <c r="P5" s="5"/>
      <c r="Q5" s="597"/>
      <c r="R5" s="597"/>
      <c r="S5" s="597"/>
      <c r="T5" s="597"/>
      <c r="U5" s="597"/>
      <c r="V5" s="597"/>
      <c r="W5" s="597"/>
      <c r="X5" s="997"/>
      <c r="Y5" s="997"/>
      <c r="Z5" s="997"/>
      <c r="AA5" s="997"/>
      <c r="AB5" s="997"/>
      <c r="AC5" s="997"/>
      <c r="AD5" s="997"/>
      <c r="AE5" s="997"/>
      <c r="AF5" s="739"/>
      <c r="AG5" s="739"/>
      <c r="AH5" s="739"/>
      <c r="AI5" s="597"/>
      <c r="AJ5" s="597"/>
      <c r="AL5" s="586"/>
      <c r="AM5" s="586"/>
      <c r="AN5" s="586"/>
      <c r="AO5" s="586"/>
      <c r="AP5" s="584"/>
      <c r="AQ5" s="584"/>
      <c r="AR5" s="584"/>
    </row>
    <row r="6" spans="1:80" ht="14.4" customHeight="1" x14ac:dyDescent="0.3">
      <c r="A6" s="178"/>
      <c r="B6" s="584"/>
      <c r="C6" s="584"/>
      <c r="D6" s="178"/>
      <c r="L6" s="586"/>
      <c r="M6" s="586"/>
      <c r="N6" s="586"/>
      <c r="O6" s="586"/>
      <c r="P6" s="5"/>
      <c r="Q6" s="597"/>
      <c r="R6" s="597"/>
      <c r="S6" s="597"/>
      <c r="T6" s="597"/>
      <c r="U6" s="597"/>
      <c r="V6" s="597"/>
      <c r="W6" s="597"/>
      <c r="X6" s="5"/>
      <c r="Y6" s="586"/>
      <c r="Z6" s="586"/>
      <c r="AA6" s="586"/>
      <c r="AB6" s="586"/>
      <c r="AD6" s="597"/>
      <c r="AE6" s="597"/>
      <c r="AF6" s="597"/>
      <c r="AG6" s="597"/>
      <c r="AH6" s="597"/>
      <c r="AI6" s="597"/>
      <c r="AJ6" s="597"/>
      <c r="AL6" s="587"/>
      <c r="AM6" s="588"/>
      <c r="AN6" s="588"/>
      <c r="AO6" s="588"/>
      <c r="AP6" s="584"/>
      <c r="AQ6" s="584"/>
      <c r="AR6" s="584"/>
    </row>
    <row r="7" spans="1:80" ht="14.4" customHeight="1" x14ac:dyDescent="0.3">
      <c r="A7" s="178"/>
      <c r="B7" s="584"/>
      <c r="C7" s="584"/>
      <c r="D7" s="178"/>
      <c r="L7" s="586"/>
      <c r="M7" s="586"/>
      <c r="N7" s="586"/>
      <c r="O7" s="586"/>
      <c r="P7" s="5"/>
      <c r="Q7" s="597"/>
      <c r="R7" s="597"/>
      <c r="S7" s="597"/>
      <c r="T7" s="597"/>
      <c r="U7" s="597"/>
      <c r="V7" s="597"/>
      <c r="W7" s="597"/>
      <c r="X7" s="5"/>
      <c r="Y7" s="586"/>
      <c r="Z7" s="586"/>
      <c r="AA7" s="586"/>
      <c r="AB7" s="586"/>
      <c r="AD7" s="597"/>
      <c r="AE7" s="597"/>
      <c r="AF7" s="597"/>
      <c r="AG7" s="597"/>
      <c r="AH7" s="597"/>
      <c r="AI7" s="597"/>
      <c r="AJ7" s="597"/>
      <c r="AK7" s="584"/>
      <c r="AL7" s="588"/>
      <c r="AM7" s="588"/>
      <c r="AN7" s="588"/>
      <c r="AO7" s="588"/>
      <c r="AP7" s="584"/>
      <c r="AQ7" s="584"/>
      <c r="AR7" s="584"/>
    </row>
    <row r="8" spans="1:80" ht="13.2" customHeight="1" thickBot="1" x14ac:dyDescent="0.35">
      <c r="A8" s="178"/>
      <c r="B8" s="584"/>
      <c r="C8" s="584"/>
      <c r="D8" s="178"/>
      <c r="E8" s="178"/>
      <c r="F8" s="178"/>
      <c r="G8" s="178"/>
      <c r="H8" s="178"/>
      <c r="I8" s="178"/>
      <c r="J8" s="178"/>
      <c r="K8" s="178"/>
      <c r="L8" s="178"/>
      <c r="M8" s="178"/>
      <c r="N8" s="178"/>
      <c r="O8" s="178"/>
      <c r="P8" s="178"/>
      <c r="Q8" s="178"/>
      <c r="R8" s="178"/>
      <c r="S8" s="178"/>
      <c r="T8" s="178"/>
      <c r="U8" s="178"/>
      <c r="V8" s="178"/>
      <c r="W8" s="178"/>
      <c r="X8" s="178"/>
      <c r="Y8" s="178"/>
      <c r="Z8" s="178"/>
      <c r="AA8" s="584"/>
      <c r="AB8" s="584"/>
      <c r="AC8" s="584"/>
      <c r="AD8" s="584"/>
      <c r="AG8" s="584"/>
      <c r="AH8" s="584"/>
      <c r="AI8" s="584"/>
      <c r="AJ8" s="584"/>
      <c r="AK8" s="584"/>
      <c r="AL8" s="584"/>
      <c r="AM8" s="584"/>
      <c r="AN8" s="584"/>
      <c r="AO8" s="584"/>
      <c r="AP8" s="584"/>
      <c r="AQ8" s="584"/>
      <c r="AR8" s="584"/>
    </row>
    <row r="9" spans="1:80" ht="34.799999999999997" customHeight="1" thickBot="1" x14ac:dyDescent="0.35">
      <c r="A9" s="178"/>
      <c r="B9" s="584"/>
      <c r="C9" s="584"/>
      <c r="D9" s="178"/>
      <c r="E9" s="178"/>
      <c r="F9" s="178"/>
      <c r="G9" s="178"/>
      <c r="H9" s="178"/>
      <c r="I9" s="178"/>
      <c r="J9" s="585"/>
      <c r="K9" s="585"/>
      <c r="L9" s="585"/>
      <c r="M9" s="585"/>
      <c r="N9" s="585"/>
      <c r="O9" s="585"/>
      <c r="P9" s="585"/>
      <c r="Q9" s="585"/>
      <c r="R9" s="585"/>
      <c r="S9" s="585"/>
      <c r="T9" s="585"/>
      <c r="U9" s="585"/>
      <c r="V9" s="585"/>
      <c r="W9" s="971" t="str">
        <f>'Translate &amp; Prices'!$O$236</f>
        <v>Numer zamówienia</v>
      </c>
      <c r="X9" s="971"/>
      <c r="Y9" s="971"/>
      <c r="Z9" s="971"/>
      <c r="AA9" s="971"/>
      <c r="AB9" s="501"/>
      <c r="AC9" s="968"/>
      <c r="AD9" s="969"/>
      <c r="AE9" s="969"/>
      <c r="AF9" s="969"/>
      <c r="AG9" s="969"/>
      <c r="AH9" s="969"/>
      <c r="AI9" s="969"/>
      <c r="AJ9" s="969"/>
      <c r="AK9" s="969"/>
      <c r="AL9" s="969"/>
      <c r="AM9" s="969"/>
      <c r="AN9" s="969"/>
      <c r="AO9" s="970"/>
      <c r="AP9" s="584"/>
      <c r="AQ9" s="584"/>
      <c r="AR9" s="992" t="s">
        <v>3006</v>
      </c>
    </row>
    <row r="10" spans="1:80" ht="16.2" customHeight="1" x14ac:dyDescent="0.3">
      <c r="A10" s="178"/>
      <c r="B10" s="395"/>
      <c r="C10" s="395"/>
      <c r="W10" s="972" t="str">
        <f>'Translate &amp; Prices'!$O$522</f>
        <v>Połączenie 2 profili</v>
      </c>
      <c r="X10" s="972"/>
      <c r="Y10" s="972"/>
      <c r="Z10" s="972"/>
      <c r="AA10" s="972"/>
      <c r="AB10" s="501"/>
      <c r="AC10" s="991" t="str">
        <f>IF(kombinace_1!$H$1=TRUE,"Tak","Nie")</f>
        <v>Nie</v>
      </c>
      <c r="AD10" s="991"/>
      <c r="AE10" s="991"/>
      <c r="AF10" s="991"/>
      <c r="AG10" s="991"/>
      <c r="AH10" s="991"/>
      <c r="AI10" s="991"/>
      <c r="AJ10" s="991"/>
      <c r="AK10" s="991"/>
      <c r="AL10" s="991"/>
      <c r="AM10" s="991"/>
      <c r="AN10" s="991"/>
      <c r="AO10" s="991"/>
      <c r="AR10" s="992"/>
    </row>
    <row r="11" spans="1:80" ht="16.2" customHeight="1" x14ac:dyDescent="0.3">
      <c r="A11" s="178"/>
      <c r="B11" s="584"/>
      <c r="C11" s="584"/>
      <c r="D11" s="178"/>
      <c r="E11" s="178"/>
      <c r="F11" s="178"/>
      <c r="G11" s="178"/>
      <c r="H11" s="178"/>
      <c r="I11" s="178"/>
      <c r="J11" s="178"/>
      <c r="K11" s="178"/>
      <c r="L11" s="178"/>
      <c r="M11" s="178"/>
      <c r="N11" s="178"/>
      <c r="O11" s="178"/>
      <c r="P11" s="178"/>
      <c r="Q11" s="178"/>
      <c r="R11" s="178"/>
      <c r="S11" s="178"/>
      <c r="T11" s="178"/>
      <c r="U11" s="178"/>
      <c r="V11" s="178"/>
      <c r="W11" s="972" t="str">
        <f>'Translate &amp; Prices'!$O$152</f>
        <v>Rodzaj profilu</v>
      </c>
      <c r="X11" s="972"/>
      <c r="Y11" s="972"/>
      <c r="Z11" s="972"/>
      <c r="AA11" s="972"/>
      <c r="AB11" s="501"/>
      <c r="AC11" s="973">
        <f>IFERROR(VLOOKUP(Ram_1!$H$8,kombinace_1!DW:DY,2,0),0)</f>
        <v>0</v>
      </c>
      <c r="AD11" s="973"/>
      <c r="AE11" s="973"/>
      <c r="AF11" s="973"/>
      <c r="AG11" s="973"/>
      <c r="AH11" s="973"/>
      <c r="AI11" s="973"/>
      <c r="AJ11" s="973"/>
      <c r="AK11" s="973"/>
      <c r="AL11" s="973"/>
      <c r="AM11" s="973"/>
      <c r="AN11" s="973"/>
      <c r="AO11" s="973"/>
      <c r="AP11" s="584"/>
      <c r="AQ11" s="584"/>
      <c r="AR11" s="992"/>
    </row>
    <row r="12" spans="1:80" ht="16.2" customHeight="1" x14ac:dyDescent="0.3">
      <c r="A12" s="178"/>
      <c r="B12" s="584"/>
      <c r="C12" s="584"/>
      <c r="D12" s="178"/>
      <c r="E12" s="178"/>
      <c r="F12" s="178"/>
      <c r="G12" s="178"/>
      <c r="H12" s="178"/>
      <c r="I12" s="178"/>
      <c r="J12" s="178"/>
      <c r="K12" s="178"/>
      <c r="L12" s="178"/>
      <c r="M12" s="178"/>
      <c r="N12" s="178"/>
      <c r="O12" s="178"/>
      <c r="P12" s="178"/>
      <c r="Q12" s="178"/>
      <c r="R12" s="178"/>
      <c r="S12" s="178"/>
      <c r="T12" s="178"/>
      <c r="U12" s="178"/>
      <c r="V12" s="178"/>
      <c r="W12" s="972" t="str">
        <f>'Translate &amp; Prices'!$O$523</f>
        <v>Szprosy</v>
      </c>
      <c r="X12" s="972"/>
      <c r="Y12" s="972"/>
      <c r="Z12" s="972"/>
      <c r="AA12" s="972"/>
      <c r="AB12" s="501"/>
      <c r="AC12" s="973" t="str">
        <f>IFERROR(VLOOKUP(Ram_1!$AU$10,AU12:AV15,2,0),0)</f>
        <v>Nie</v>
      </c>
      <c r="AD12" s="973"/>
      <c r="AE12" s="973"/>
      <c r="AF12" s="973"/>
      <c r="AG12" s="973"/>
      <c r="AH12" s="973"/>
      <c r="AI12" s="973"/>
      <c r="AJ12" s="973"/>
      <c r="AK12" s="973"/>
      <c r="AL12" s="973"/>
      <c r="AM12" s="973"/>
      <c r="AN12" s="973"/>
      <c r="AO12" s="973"/>
      <c r="AP12" s="584"/>
      <c r="AQ12" s="584"/>
      <c r="AR12" s="992"/>
      <c r="AT12" s="474"/>
      <c r="AU12" s="404">
        <v>0</v>
      </c>
      <c r="AV12" s="404" t="str">
        <f>'Translate &amp; Prices'!$O$537</f>
        <v>Nie</v>
      </c>
      <c r="AY12" s="474"/>
      <c r="AZ12" s="404">
        <v>2</v>
      </c>
      <c r="BA12" s="404" t="str">
        <f>'Translate &amp; Prices'!$O$531</f>
        <v>Zawiasy</v>
      </c>
      <c r="BD12" s="395" t="s">
        <v>125</v>
      </c>
      <c r="BE12" s="395" t="s">
        <v>492</v>
      </c>
      <c r="BI12" s="395" t="s">
        <v>98</v>
      </c>
      <c r="BJ12" s="474" t="s">
        <v>486</v>
      </c>
      <c r="BM12" s="474" t="s">
        <v>245</v>
      </c>
      <c r="BN12" s="474" t="s">
        <v>526</v>
      </c>
      <c r="BS12" s="474" t="s">
        <v>251</v>
      </c>
      <c r="BT12" s="474" t="s">
        <v>2309</v>
      </c>
      <c r="BX12" s="474">
        <v>1</v>
      </c>
      <c r="BY12" s="474" t="str">
        <f>'Translate &amp; Prices'!$O$85</f>
        <v>Bez modyfikacji</v>
      </c>
      <c r="CA12" s="404" t="s">
        <v>2086</v>
      </c>
      <c r="CB12" s="404" t="s">
        <v>2616</v>
      </c>
    </row>
    <row r="13" spans="1:80" ht="16.2" customHeight="1" x14ac:dyDescent="0.3">
      <c r="A13" s="178"/>
      <c r="B13" s="584"/>
      <c r="C13" s="584"/>
      <c r="D13" s="178"/>
      <c r="E13" s="178"/>
      <c r="F13" s="178"/>
      <c r="G13" s="178"/>
      <c r="H13" s="178"/>
      <c r="I13" s="178"/>
      <c r="J13" s="178"/>
      <c r="K13" s="178"/>
      <c r="L13" s="178"/>
      <c r="M13" s="178"/>
      <c r="N13" s="178"/>
      <c r="O13" s="178"/>
      <c r="P13" s="178"/>
      <c r="Q13" s="178"/>
      <c r="R13" s="178"/>
      <c r="S13" s="178"/>
      <c r="T13" s="178"/>
      <c r="U13" s="178"/>
      <c r="V13" s="178"/>
      <c r="W13" s="592"/>
      <c r="X13" s="592"/>
      <c r="Y13" s="592"/>
      <c r="Z13" s="592"/>
      <c r="AA13" s="592"/>
      <c r="AB13" s="593"/>
      <c r="AC13" s="993" t="str">
        <f>'Translate &amp; Prices'!$O$538</f>
        <v>Poziomo</v>
      </c>
      <c r="AD13" s="993"/>
      <c r="AE13" s="993"/>
      <c r="AF13" s="993"/>
      <c r="AG13" s="993"/>
      <c r="AH13" s="993"/>
      <c r="AI13" s="993"/>
      <c r="AJ13" s="993" t="str">
        <f>'Translate &amp; Prices'!$O$539</f>
        <v>Pionowo</v>
      </c>
      <c r="AK13" s="993"/>
      <c r="AL13" s="993"/>
      <c r="AM13" s="993"/>
      <c r="AN13" s="993"/>
      <c r="AO13" s="993"/>
      <c r="AP13" s="584"/>
      <c r="AQ13" s="584"/>
      <c r="AR13" s="992"/>
      <c r="AT13" s="474"/>
      <c r="AU13" s="404">
        <v>1</v>
      </c>
      <c r="AV13" s="404" t="str">
        <f>'Translate &amp; Prices'!$O$538</f>
        <v>Poziomo</v>
      </c>
      <c r="AY13" s="474"/>
      <c r="AZ13" s="404">
        <v>3</v>
      </c>
      <c r="BA13" s="404" t="str">
        <f>'Translate &amp; Prices'!$O$532</f>
        <v>Podnośniki</v>
      </c>
      <c r="BD13" s="395" t="s">
        <v>126</v>
      </c>
      <c r="BE13" s="395" t="s">
        <v>493</v>
      </c>
      <c r="BI13" s="395" t="s">
        <v>97</v>
      </c>
      <c r="BJ13" s="474" t="s">
        <v>487</v>
      </c>
      <c r="BM13" s="474" t="s">
        <v>246</v>
      </c>
      <c r="BN13" s="474" t="s">
        <v>527</v>
      </c>
      <c r="BS13" s="474" t="s">
        <v>252</v>
      </c>
      <c r="BT13" s="474" t="s">
        <v>2599</v>
      </c>
      <c r="BX13" s="474">
        <v>2</v>
      </c>
      <c r="BY13" s="474" t="str">
        <f>'Translate &amp; Prices'!$O$83</f>
        <v>Hartowane</v>
      </c>
      <c r="CA13" s="404" t="s">
        <v>2089</v>
      </c>
      <c r="CB13" s="404" t="s">
        <v>2617</v>
      </c>
    </row>
    <row r="14" spans="1:80" ht="16.2" customHeight="1" x14ac:dyDescent="0.3">
      <c r="A14" s="178"/>
      <c r="B14" s="584"/>
      <c r="C14" s="584"/>
      <c r="D14" s="178"/>
      <c r="E14" s="178"/>
      <c r="F14" s="178"/>
      <c r="G14" s="178"/>
      <c r="H14" s="178"/>
      <c r="I14" s="178"/>
      <c r="J14" s="178"/>
      <c r="K14" s="178"/>
      <c r="L14" s="178"/>
      <c r="M14" s="178"/>
      <c r="N14" s="178"/>
      <c r="O14" s="178"/>
      <c r="P14" s="178"/>
      <c r="Q14" s="178"/>
      <c r="R14" s="178"/>
      <c r="S14" s="178"/>
      <c r="T14" s="178"/>
      <c r="U14" s="178"/>
      <c r="V14" s="178"/>
      <c r="W14" s="972" t="str">
        <f>('Translate &amp; Prices'!$O$523)&amp;" "&amp;"("&amp;'Translate &amp; Prices'!$O$154&amp;")"</f>
        <v>Szprosy (Ilość sztuk)</v>
      </c>
      <c r="X14" s="972"/>
      <c r="Y14" s="972"/>
      <c r="Z14" s="972"/>
      <c r="AA14" s="972"/>
      <c r="AB14" s="501"/>
      <c r="AC14" s="973">
        <f>Ram_1!$H$11</f>
        <v>0</v>
      </c>
      <c r="AD14" s="973"/>
      <c r="AE14" s="973"/>
      <c r="AF14" s="973"/>
      <c r="AG14" s="973"/>
      <c r="AH14" s="973"/>
      <c r="AI14" s="973"/>
      <c r="AJ14" s="973">
        <f>Ram_1!$M$11</f>
        <v>0</v>
      </c>
      <c r="AK14" s="973"/>
      <c r="AL14" s="973"/>
      <c r="AM14" s="973"/>
      <c r="AN14" s="973"/>
      <c r="AO14" s="973"/>
      <c r="AP14" s="584"/>
      <c r="AQ14" s="584"/>
      <c r="AR14" s="992"/>
      <c r="AT14" s="474"/>
      <c r="AU14" s="404">
        <v>2</v>
      </c>
      <c r="AV14" s="404" t="str">
        <f>'Translate &amp; Prices'!$O$539</f>
        <v>Pionowo</v>
      </c>
      <c r="BD14" s="395" t="s">
        <v>127</v>
      </c>
      <c r="BE14" s="395" t="s">
        <v>2348</v>
      </c>
      <c r="BI14" s="474" t="s">
        <v>427</v>
      </c>
      <c r="BJ14" s="474" t="s">
        <v>486</v>
      </c>
      <c r="BM14" s="474" t="s">
        <v>248</v>
      </c>
      <c r="BN14" s="474" t="s">
        <v>528</v>
      </c>
      <c r="BS14" s="474" t="s">
        <v>242</v>
      </c>
      <c r="BT14" s="474" t="s">
        <v>523</v>
      </c>
      <c r="BX14" s="474">
        <v>3</v>
      </c>
      <c r="BY14" s="474" t="str">
        <f>'Translate &amp; Prices'!$O$84</f>
        <v>Folia</v>
      </c>
      <c r="CA14" s="404" t="s">
        <v>2092</v>
      </c>
      <c r="CB14" s="404" t="s">
        <v>2618</v>
      </c>
    </row>
    <row r="15" spans="1:80" ht="16.2" customHeight="1" x14ac:dyDescent="0.3">
      <c r="A15" s="178"/>
      <c r="B15" s="584"/>
      <c r="C15" s="584"/>
      <c r="D15" s="178"/>
      <c r="E15" s="178"/>
      <c r="F15" s="178"/>
      <c r="G15" s="178"/>
      <c r="H15" s="178"/>
      <c r="I15" s="178"/>
      <c r="J15" s="178"/>
      <c r="K15" s="178"/>
      <c r="L15" s="178"/>
      <c r="M15" s="178"/>
      <c r="N15" s="178"/>
      <c r="O15" s="178"/>
      <c r="P15" s="178"/>
      <c r="Q15" s="178"/>
      <c r="R15" s="178"/>
      <c r="S15" s="178"/>
      <c r="T15" s="178"/>
      <c r="U15" s="178"/>
      <c r="V15" s="178"/>
      <c r="W15" s="972" t="str">
        <f>'Translate &amp; Prices'!$O$238</f>
        <v>Typ okucia</v>
      </c>
      <c r="X15" s="972"/>
      <c r="Y15" s="972"/>
      <c r="Z15" s="972"/>
      <c r="AA15" s="972"/>
      <c r="AB15" s="501"/>
      <c r="AC15" s="973">
        <f>IFERROR(VLOOKUP(Ram_1!$AU$9,AZ12:BA13,2,0),0)</f>
        <v>0</v>
      </c>
      <c r="AD15" s="973"/>
      <c r="AE15" s="973"/>
      <c r="AF15" s="973"/>
      <c r="AG15" s="973"/>
      <c r="AH15" s="973"/>
      <c r="AI15" s="973"/>
      <c r="AJ15" s="973"/>
      <c r="AK15" s="973"/>
      <c r="AL15" s="973"/>
      <c r="AM15" s="973"/>
      <c r="AN15" s="973"/>
      <c r="AO15" s="973"/>
      <c r="AP15" s="584"/>
      <c r="AQ15" s="584"/>
      <c r="AR15" s="992"/>
      <c r="AT15" s="474"/>
      <c r="AU15" s="404">
        <v>3</v>
      </c>
      <c r="AV15" s="404" t="str">
        <f>'Translate &amp; Prices'!$O$540</f>
        <v>Poziomo i pionowo</v>
      </c>
      <c r="BD15" s="395" t="s">
        <v>125</v>
      </c>
      <c r="BE15" s="395" t="s">
        <v>492</v>
      </c>
      <c r="BI15" s="474" t="s">
        <v>428</v>
      </c>
      <c r="BJ15" s="474" t="s">
        <v>487</v>
      </c>
      <c r="BM15" s="474" t="s">
        <v>247</v>
      </c>
      <c r="BN15" s="474" t="s">
        <v>529</v>
      </c>
      <c r="BS15" s="474" t="s">
        <v>241</v>
      </c>
      <c r="BT15" s="474" t="s">
        <v>524</v>
      </c>
      <c r="CA15" s="404" t="s">
        <v>2451</v>
      </c>
      <c r="CB15" s="404" t="s">
        <v>2616</v>
      </c>
    </row>
    <row r="16" spans="1:80" ht="16.2" customHeight="1" x14ac:dyDescent="0.3">
      <c r="A16" s="178"/>
      <c r="B16" s="584"/>
      <c r="C16" s="584"/>
      <c r="D16" s="178"/>
      <c r="E16" s="178"/>
      <c r="F16" s="178"/>
      <c r="G16" s="178"/>
      <c r="H16" s="178"/>
      <c r="I16" s="178"/>
      <c r="J16" s="178"/>
      <c r="K16" s="178"/>
      <c r="L16" s="178"/>
      <c r="M16" s="178"/>
      <c r="N16" s="178"/>
      <c r="O16" s="178"/>
      <c r="P16" s="178"/>
      <c r="Q16" s="178"/>
      <c r="R16" s="178"/>
      <c r="S16" s="178"/>
      <c r="T16" s="178"/>
      <c r="U16" s="178"/>
      <c r="V16" s="178"/>
      <c r="W16" s="972" t="str">
        <f>'Translate &amp; Prices'!$O$524</f>
        <v>Marka okucia</v>
      </c>
      <c r="X16" s="972"/>
      <c r="Y16" s="972"/>
      <c r="Z16" s="972"/>
      <c r="AA16" s="972"/>
      <c r="AB16" s="501"/>
      <c r="AC16" s="973">
        <f>Ram_1!$H$13</f>
        <v>0</v>
      </c>
      <c r="AD16" s="973"/>
      <c r="AE16" s="973"/>
      <c r="AF16" s="973"/>
      <c r="AG16" s="973"/>
      <c r="AH16" s="973"/>
      <c r="AI16" s="973"/>
      <c r="AJ16" s="973"/>
      <c r="AK16" s="973"/>
      <c r="AL16" s="973"/>
      <c r="AM16" s="973"/>
      <c r="AN16" s="973"/>
      <c r="AO16" s="973"/>
      <c r="AP16" s="584"/>
      <c r="AQ16" s="584"/>
      <c r="AR16" s="992"/>
      <c r="BD16" s="395" t="s">
        <v>126</v>
      </c>
      <c r="BE16" s="395" t="s">
        <v>493</v>
      </c>
      <c r="BI16" s="474" t="s">
        <v>747</v>
      </c>
      <c r="BJ16" s="474" t="s">
        <v>486</v>
      </c>
      <c r="BM16" s="474" t="s">
        <v>249</v>
      </c>
      <c r="BN16" s="474" t="s">
        <v>2600</v>
      </c>
      <c r="BS16" s="474" t="s">
        <v>2311</v>
      </c>
      <c r="BT16" s="474" t="s">
        <v>2309</v>
      </c>
      <c r="CA16" s="404" t="s">
        <v>2452</v>
      </c>
      <c r="CB16" s="404" t="s">
        <v>2617</v>
      </c>
    </row>
    <row r="17" spans="1:80" ht="16.2" customHeight="1" thickBot="1" x14ac:dyDescent="0.35">
      <c r="A17" s="178"/>
      <c r="B17" s="584"/>
      <c r="C17" s="584"/>
      <c r="D17" s="178"/>
      <c r="E17" s="178"/>
      <c r="F17" s="178"/>
      <c r="G17" s="178"/>
      <c r="H17" s="178"/>
      <c r="I17" s="178"/>
      <c r="J17" s="178"/>
      <c r="K17" s="178"/>
      <c r="L17" s="178"/>
      <c r="M17" s="178"/>
      <c r="N17" s="178"/>
      <c r="O17" s="178"/>
      <c r="P17" s="178"/>
      <c r="Q17" s="178"/>
      <c r="R17" s="178"/>
      <c r="S17" s="178"/>
      <c r="T17" s="178"/>
      <c r="U17" s="178"/>
      <c r="V17" s="178"/>
      <c r="W17" s="972" t="str">
        <f>'Translate &amp; Prices'!$O$526</f>
        <v>Nałożenie</v>
      </c>
      <c r="X17" s="972"/>
      <c r="Y17" s="972"/>
      <c r="Z17" s="972"/>
      <c r="AA17" s="972"/>
      <c r="AB17" s="501"/>
      <c r="AC17" s="973">
        <f>IFERROR(VLOOKUP(Ram_1!$H$14,BD12:BE26,2,0),0)</f>
        <v>0</v>
      </c>
      <c r="AD17" s="973"/>
      <c r="AE17" s="973"/>
      <c r="AF17" s="973"/>
      <c r="AG17" s="973"/>
      <c r="AH17" s="973"/>
      <c r="AI17" s="973"/>
      <c r="AJ17" s="973"/>
      <c r="AK17" s="973"/>
      <c r="AL17" s="973"/>
      <c r="AM17" s="973"/>
      <c r="AN17" s="973"/>
      <c r="AO17" s="973"/>
      <c r="AP17" s="584"/>
      <c r="AQ17" s="584"/>
      <c r="AR17" s="992"/>
      <c r="BD17" s="395" t="s">
        <v>127</v>
      </c>
      <c r="BE17" s="395" t="s">
        <v>2348</v>
      </c>
      <c r="BI17" s="474" t="s">
        <v>563</v>
      </c>
      <c r="BJ17" s="474" t="s">
        <v>487</v>
      </c>
      <c r="BM17" s="474" t="s">
        <v>461</v>
      </c>
      <c r="BN17" s="474" t="s">
        <v>526</v>
      </c>
      <c r="BS17" s="474" t="s">
        <v>252</v>
      </c>
      <c r="BT17" s="474" t="s">
        <v>2599</v>
      </c>
      <c r="CA17" s="404" t="s">
        <v>2453</v>
      </c>
      <c r="CB17" s="404" t="s">
        <v>2618</v>
      </c>
    </row>
    <row r="18" spans="1:80" ht="16.2" customHeight="1" x14ac:dyDescent="0.3">
      <c r="A18" s="178"/>
      <c r="B18" s="584"/>
      <c r="C18" s="584"/>
      <c r="D18" s="178"/>
      <c r="E18" s="178"/>
      <c r="F18" s="178"/>
      <c r="G18" s="178"/>
      <c r="H18" s="178"/>
      <c r="I18" s="178"/>
      <c r="J18" s="178"/>
      <c r="K18" s="178"/>
      <c r="L18" s="178"/>
      <c r="M18" s="178"/>
      <c r="N18" s="178"/>
      <c r="O18" s="178"/>
      <c r="P18" s="178"/>
      <c r="Q18" s="178"/>
      <c r="R18" s="178"/>
      <c r="S18" s="987">
        <f>Ram_1!AR14</f>
        <v>0</v>
      </c>
      <c r="T18" s="178"/>
      <c r="U18" s="178"/>
      <c r="V18" s="178"/>
      <c r="W18" s="972" t="str">
        <f>'Translate &amp; Prices'!$O$525</f>
        <v>Wariant okucia</v>
      </c>
      <c r="X18" s="972"/>
      <c r="Y18" s="972"/>
      <c r="Z18" s="972"/>
      <c r="AA18" s="972"/>
      <c r="AB18" s="501"/>
      <c r="AC18" s="973">
        <f>IFERROR(VLOOKUP(Ram_1!$H$15,kombinace_1!$ED:$EE,2,0),Ram_1!$H$15)</f>
        <v>0</v>
      </c>
      <c r="AD18" s="973"/>
      <c r="AE18" s="973"/>
      <c r="AF18" s="973"/>
      <c r="AG18" s="973"/>
      <c r="AH18" s="973"/>
      <c r="AI18" s="973"/>
      <c r="AJ18" s="973"/>
      <c r="AK18" s="973"/>
      <c r="AL18" s="973"/>
      <c r="AM18" s="973"/>
      <c r="AN18" s="973"/>
      <c r="AO18" s="973"/>
      <c r="AP18" s="584"/>
      <c r="AQ18" s="584"/>
      <c r="AR18" s="992"/>
      <c r="BD18" s="395" t="s">
        <v>492</v>
      </c>
      <c r="BE18" s="395" t="s">
        <v>492</v>
      </c>
      <c r="BI18" s="474" t="s">
        <v>2667</v>
      </c>
      <c r="BJ18" s="474" t="s">
        <v>486</v>
      </c>
      <c r="BM18" s="474" t="s">
        <v>462</v>
      </c>
      <c r="BN18" s="474" t="s">
        <v>527</v>
      </c>
      <c r="BS18" s="474" t="s">
        <v>457</v>
      </c>
      <c r="BT18" s="474" t="s">
        <v>523</v>
      </c>
      <c r="CA18" s="404" t="s">
        <v>2616</v>
      </c>
      <c r="CB18" s="404" t="s">
        <v>2616</v>
      </c>
    </row>
    <row r="19" spans="1:80" ht="16.2" customHeight="1" x14ac:dyDescent="0.3">
      <c r="A19" s="178"/>
      <c r="B19" s="584"/>
      <c r="C19" s="584"/>
      <c r="D19" s="178"/>
      <c r="E19" s="178"/>
      <c r="F19" s="178"/>
      <c r="G19" s="178"/>
      <c r="H19" s="178"/>
      <c r="I19" s="178"/>
      <c r="J19" s="178"/>
      <c r="K19" s="178"/>
      <c r="L19" s="178"/>
      <c r="M19" s="178"/>
      <c r="N19" s="178"/>
      <c r="O19" s="178"/>
      <c r="P19" s="178"/>
      <c r="Q19" s="178"/>
      <c r="R19" s="178"/>
      <c r="S19" s="988">
        <f>Ram_1!AR15</f>
        <v>0</v>
      </c>
      <c r="T19" s="178"/>
      <c r="U19" s="178"/>
      <c r="V19" s="178"/>
      <c r="W19" s="972" t="str">
        <f>'Translate &amp; Prices'!$O$198</f>
        <v>Wybierz pozycję ramki</v>
      </c>
      <c r="X19" s="972"/>
      <c r="Y19" s="972"/>
      <c r="Z19" s="972"/>
      <c r="AA19" s="972"/>
      <c r="AB19" s="973">
        <f>IFERROR(VLOOKUP(Ram_1!$F$16,BI12:BJ21,2,0),0)</f>
        <v>0</v>
      </c>
      <c r="AC19" s="973"/>
      <c r="AD19" s="973"/>
      <c r="AE19" s="973"/>
      <c r="AF19" s="973"/>
      <c r="AG19" s="972" t="str">
        <f>'Translate &amp; Prices'!$O$212</f>
        <v>Rodzaj drugiej ramki</v>
      </c>
      <c r="AH19" s="972"/>
      <c r="AI19" s="972"/>
      <c r="AJ19" s="972"/>
      <c r="AK19" s="972"/>
      <c r="AL19" s="973">
        <f>IFERROR(VLOOKUP(Ram_1!$N$16,BM12:BN36,2,0),0)</f>
        <v>0</v>
      </c>
      <c r="AM19" s="973"/>
      <c r="AN19" s="973"/>
      <c r="AO19" s="973"/>
      <c r="AP19" s="1"/>
      <c r="AQ19" s="1"/>
      <c r="AR19" s="992"/>
      <c r="AS19" s="474"/>
      <c r="AT19" s="474"/>
      <c r="BD19" s="395" t="s">
        <v>493</v>
      </c>
      <c r="BE19" s="395" t="s">
        <v>493</v>
      </c>
      <c r="BI19" s="474" t="s">
        <v>2668</v>
      </c>
      <c r="BJ19" s="474" t="s">
        <v>487</v>
      </c>
      <c r="BM19" s="474" t="s">
        <v>463</v>
      </c>
      <c r="BN19" s="474" t="s">
        <v>528</v>
      </c>
      <c r="BS19" s="474" t="s">
        <v>458</v>
      </c>
      <c r="BT19" s="474" t="s">
        <v>524</v>
      </c>
      <c r="CA19" s="404" t="s">
        <v>2617</v>
      </c>
      <c r="CB19" s="404" t="s">
        <v>2617</v>
      </c>
    </row>
    <row r="20" spans="1:80" ht="16.2" customHeight="1" x14ac:dyDescent="0.3">
      <c r="A20" s="178"/>
      <c r="B20" s="584"/>
      <c r="C20" s="584"/>
      <c r="D20" s="178"/>
      <c r="E20" s="178"/>
      <c r="F20" s="178"/>
      <c r="G20" s="178"/>
      <c r="H20" s="178"/>
      <c r="I20" s="178"/>
      <c r="J20" s="178"/>
      <c r="K20" s="178"/>
      <c r="L20" s="178"/>
      <c r="M20" s="178"/>
      <c r="N20" s="178"/>
      <c r="O20" s="178"/>
      <c r="P20" s="178"/>
      <c r="Q20" s="178"/>
      <c r="R20" s="178"/>
      <c r="S20" s="988">
        <f>Ram_1!AR16</f>
        <v>0</v>
      </c>
      <c r="T20" s="178"/>
      <c r="U20" s="178"/>
      <c r="V20" s="178"/>
      <c r="W20" s="972" t="str">
        <f>'Translate &amp; Prices'!$O$218</f>
        <v>Umieszczenie zawiasu</v>
      </c>
      <c r="X20" s="972"/>
      <c r="Y20" s="972"/>
      <c r="Z20" s="972"/>
      <c r="AA20" s="972"/>
      <c r="AB20" s="501"/>
      <c r="AC20" s="973">
        <f>IFERROR(VLOOKUP(Ram_1!$H$17,BS12:BT31,2,0),0)</f>
        <v>0</v>
      </c>
      <c r="AD20" s="973"/>
      <c r="AE20" s="973"/>
      <c r="AF20" s="973"/>
      <c r="AG20" s="973"/>
      <c r="AH20" s="973"/>
      <c r="AI20" s="973"/>
      <c r="AJ20" s="973"/>
      <c r="AK20" s="973"/>
      <c r="AL20" s="973"/>
      <c r="AM20" s="973"/>
      <c r="AN20" s="973"/>
      <c r="AO20" s="973"/>
      <c r="AP20" s="584"/>
      <c r="AQ20" s="584"/>
      <c r="AR20" s="992"/>
      <c r="BD20" s="395" t="s">
        <v>2348</v>
      </c>
      <c r="BE20" s="395" t="s">
        <v>2348</v>
      </c>
      <c r="BI20" s="474" t="s">
        <v>486</v>
      </c>
      <c r="BJ20" s="474" t="s">
        <v>486</v>
      </c>
      <c r="BM20" s="474" t="s">
        <v>464</v>
      </c>
      <c r="BN20" s="474" t="s">
        <v>529</v>
      </c>
      <c r="BS20" s="474" t="s">
        <v>2309</v>
      </c>
      <c r="BT20" s="474" t="s">
        <v>2309</v>
      </c>
      <c r="CA20" s="404" t="s">
        <v>2618</v>
      </c>
      <c r="CB20" s="404" t="s">
        <v>2618</v>
      </c>
    </row>
    <row r="21" spans="1:80" ht="16.2" customHeight="1" x14ac:dyDescent="0.3">
      <c r="A21" s="178"/>
      <c r="B21" s="584"/>
      <c r="C21" s="584"/>
      <c r="D21" s="178"/>
      <c r="E21" s="178"/>
      <c r="F21" s="178"/>
      <c r="G21" s="178"/>
      <c r="H21" s="178"/>
      <c r="I21" s="178"/>
      <c r="J21" s="178"/>
      <c r="K21" s="178"/>
      <c r="L21" s="178"/>
      <c r="M21" s="178"/>
      <c r="N21" s="178"/>
      <c r="O21" s="178"/>
      <c r="P21" s="178"/>
      <c r="Q21" s="178"/>
      <c r="R21" s="178"/>
      <c r="S21" s="988">
        <f>Ram_1!AR17</f>
        <v>0</v>
      </c>
      <c r="T21" s="178"/>
      <c r="U21" s="178"/>
      <c r="V21" s="178"/>
      <c r="W21" s="972" t="str">
        <f>'Translate &amp; Prices'!$O$527</f>
        <v>Zawiasy do podnośników</v>
      </c>
      <c r="X21" s="972"/>
      <c r="Y21" s="972"/>
      <c r="Z21" s="972"/>
      <c r="AA21" s="972"/>
      <c r="AB21" s="501"/>
      <c r="AC21" s="973">
        <f>Ram_1!$H$18</f>
        <v>0</v>
      </c>
      <c r="AD21" s="973"/>
      <c r="AE21" s="973"/>
      <c r="AF21" s="973"/>
      <c r="AG21" s="973"/>
      <c r="AH21" s="973"/>
      <c r="AI21" s="973"/>
      <c r="AJ21" s="973"/>
      <c r="AK21" s="973"/>
      <c r="AL21" s="973"/>
      <c r="AM21" s="973"/>
      <c r="AN21" s="973"/>
      <c r="AO21" s="973"/>
      <c r="AP21" s="584"/>
      <c r="AQ21" s="584"/>
      <c r="AR21" s="992"/>
      <c r="BD21" s="395" t="s">
        <v>568</v>
      </c>
      <c r="BE21" s="395" t="s">
        <v>492</v>
      </c>
      <c r="BI21" s="474" t="s">
        <v>487</v>
      </c>
      <c r="BJ21" s="474" t="s">
        <v>487</v>
      </c>
      <c r="BM21" s="474" t="s">
        <v>465</v>
      </c>
      <c r="BN21" s="474" t="s">
        <v>2600</v>
      </c>
      <c r="BS21" s="474" t="s">
        <v>2599</v>
      </c>
      <c r="BT21" s="474" t="s">
        <v>2599</v>
      </c>
      <c r="CA21" s="404" t="s">
        <v>2454</v>
      </c>
      <c r="CB21" s="404" t="s">
        <v>2616</v>
      </c>
    </row>
    <row r="22" spans="1:80" ht="16.2" customHeight="1" x14ac:dyDescent="0.3">
      <c r="A22" s="178"/>
      <c r="B22" s="584"/>
      <c r="C22" s="584"/>
      <c r="D22" s="178"/>
      <c r="E22" s="178"/>
      <c r="F22" s="178"/>
      <c r="G22" s="178"/>
      <c r="H22" s="178"/>
      <c r="I22" s="178"/>
      <c r="J22" s="178"/>
      <c r="K22" s="178"/>
      <c r="L22" s="178"/>
      <c r="M22" s="178"/>
      <c r="N22" s="178"/>
      <c r="O22" s="178"/>
      <c r="P22" s="178"/>
      <c r="Q22" s="178"/>
      <c r="R22" s="178"/>
      <c r="S22" s="988">
        <f>Ram_1!AR18</f>
        <v>0</v>
      </c>
      <c r="T22" s="178"/>
      <c r="U22" s="178"/>
      <c r="V22" s="178"/>
      <c r="W22" s="972" t="str">
        <f>'Translate &amp; Prices'!$O$203</f>
        <v>Ilość zawiasów na 1 ramkę</v>
      </c>
      <c r="X22" s="972"/>
      <c r="Y22" s="972"/>
      <c r="Z22" s="972"/>
      <c r="AA22" s="972"/>
      <c r="AB22" s="501"/>
      <c r="AC22" s="973">
        <f>Ram_1!$H$19</f>
        <v>0</v>
      </c>
      <c r="AD22" s="973"/>
      <c r="AE22" s="973"/>
      <c r="AF22" s="973"/>
      <c r="AG22" s="973"/>
      <c r="AH22" s="973"/>
      <c r="AI22" s="973"/>
      <c r="AJ22" s="973"/>
      <c r="AK22" s="973"/>
      <c r="AL22" s="973"/>
      <c r="AM22" s="973"/>
      <c r="AN22" s="973"/>
      <c r="AO22" s="973"/>
      <c r="AP22" s="584"/>
      <c r="AQ22" s="584"/>
      <c r="AR22" s="992"/>
      <c r="BD22" s="395" t="s">
        <v>569</v>
      </c>
      <c r="BE22" s="395" t="s">
        <v>493</v>
      </c>
      <c r="BM22" s="474" t="s">
        <v>526</v>
      </c>
      <c r="BN22" s="474" t="s">
        <v>526</v>
      </c>
      <c r="BS22" s="474" t="s">
        <v>523</v>
      </c>
      <c r="BT22" s="474" t="s">
        <v>523</v>
      </c>
      <c r="CA22" s="404" t="s">
        <v>2563</v>
      </c>
      <c r="CB22" s="404" t="s">
        <v>2617</v>
      </c>
    </row>
    <row r="23" spans="1:80" ht="16.2" customHeight="1" x14ac:dyDescent="0.3">
      <c r="A23" s="178"/>
      <c r="B23" s="584"/>
      <c r="C23" s="584"/>
      <c r="D23" s="178"/>
      <c r="E23" s="178"/>
      <c r="F23" s="178"/>
      <c r="G23" s="178"/>
      <c r="H23" s="178"/>
      <c r="I23" s="178"/>
      <c r="J23" s="178"/>
      <c r="K23" s="178"/>
      <c r="L23" s="178"/>
      <c r="M23" s="178"/>
      <c r="N23" s="178"/>
      <c r="O23" s="178"/>
      <c r="P23" s="178"/>
      <c r="Q23" s="178"/>
      <c r="R23" s="178"/>
      <c r="S23" s="989" t="str">
        <f>'Translate &amp; Prices'!$O$156</f>
        <v>Wysokość</v>
      </c>
      <c r="T23" s="178"/>
      <c r="U23" s="178"/>
      <c r="V23" s="178"/>
      <c r="W23" s="972" t="e">
        <f>'Translate &amp; Prices'!$O$222&amp;" "&amp;VLOOKUP(Ram_1!H17,kombinace_1!BY32:CD35,5,0)</f>
        <v>#N/A</v>
      </c>
      <c r="X23" s="972"/>
      <c r="Y23" s="972"/>
      <c r="Z23" s="972"/>
      <c r="AA23" s="972"/>
      <c r="AB23" s="973">
        <f>Ram_1!$F$20</f>
        <v>100</v>
      </c>
      <c r="AC23" s="973"/>
      <c r="AD23" s="973"/>
      <c r="AE23" s="973"/>
      <c r="AF23" s="973"/>
      <c r="AG23" s="972" t="e">
        <f>'Translate &amp; Prices'!$O$222&amp;" "&amp;VLOOKUP(Ram_1!H17,kombinace_1!$BY$32:$CD$35,6,0)</f>
        <v>#N/A</v>
      </c>
      <c r="AH23" s="972"/>
      <c r="AI23" s="972"/>
      <c r="AJ23" s="972"/>
      <c r="AK23" s="972"/>
      <c r="AL23" s="973">
        <f>Ram_1!$N$20</f>
        <v>100</v>
      </c>
      <c r="AM23" s="973"/>
      <c r="AN23" s="973"/>
      <c r="AO23" s="973"/>
      <c r="AP23" s="584"/>
      <c r="AQ23" s="584"/>
      <c r="AR23" s="992"/>
      <c r="BD23" s="395" t="s">
        <v>570</v>
      </c>
      <c r="BE23" s="395" t="s">
        <v>2348</v>
      </c>
      <c r="BM23" s="474" t="s">
        <v>527</v>
      </c>
      <c r="BN23" s="474" t="s">
        <v>527</v>
      </c>
      <c r="BS23" s="474" t="s">
        <v>524</v>
      </c>
      <c r="BT23" s="474" t="s">
        <v>524</v>
      </c>
      <c r="CA23" s="404" t="s">
        <v>2455</v>
      </c>
      <c r="CB23" s="404" t="s">
        <v>2618</v>
      </c>
    </row>
    <row r="24" spans="1:80" ht="16.2" customHeight="1" x14ac:dyDescent="0.3">
      <c r="A24" s="178"/>
      <c r="B24" s="584"/>
      <c r="C24" s="584"/>
      <c r="D24" s="178"/>
      <c r="E24" s="178"/>
      <c r="F24" s="178"/>
      <c r="G24" s="178"/>
      <c r="H24" s="178"/>
      <c r="I24" s="178"/>
      <c r="J24" s="178"/>
      <c r="K24" s="178"/>
      <c r="L24" s="178"/>
      <c r="M24" s="178"/>
      <c r="N24" s="178"/>
      <c r="O24" s="178"/>
      <c r="P24" s="178"/>
      <c r="Q24" s="178"/>
      <c r="R24" s="178"/>
      <c r="S24" s="989">
        <f>Ram_1!AR20</f>
        <v>0</v>
      </c>
      <c r="T24" s="178"/>
      <c r="U24" s="178"/>
      <c r="V24" s="178"/>
      <c r="W24" s="592"/>
      <c r="X24" s="592"/>
      <c r="Y24" s="592"/>
      <c r="Z24" s="592"/>
      <c r="AA24" s="592"/>
      <c r="AB24" s="596"/>
      <c r="AC24" s="593"/>
      <c r="AD24" s="593"/>
      <c r="AE24" s="594"/>
      <c r="AF24" s="594"/>
      <c r="AG24" s="594"/>
      <c r="AH24" s="594"/>
      <c r="AI24" s="595"/>
      <c r="AJ24" s="593"/>
      <c r="AK24" s="593"/>
      <c r="AL24" s="593"/>
      <c r="AM24" s="593"/>
      <c r="AN24" s="593"/>
      <c r="AO24" s="593"/>
      <c r="AP24" s="584"/>
      <c r="AQ24" s="584"/>
      <c r="AR24" s="992"/>
      <c r="BD24" s="395" t="s">
        <v>2970</v>
      </c>
      <c r="BE24" s="395" t="s">
        <v>492</v>
      </c>
      <c r="BM24" s="474" t="s">
        <v>528</v>
      </c>
      <c r="BN24" s="474" t="s">
        <v>528</v>
      </c>
      <c r="BS24" s="474" t="s">
        <v>2310</v>
      </c>
      <c r="BT24" s="474" t="s">
        <v>2309</v>
      </c>
      <c r="CA24" s="404" t="s">
        <v>2724</v>
      </c>
      <c r="CB24" s="404" t="s">
        <v>2616</v>
      </c>
    </row>
    <row r="25" spans="1:80" ht="16.2" customHeight="1" x14ac:dyDescent="0.3">
      <c r="A25" s="178"/>
      <c r="B25" s="584"/>
      <c r="C25" s="584"/>
      <c r="D25" s="178"/>
      <c r="E25" s="178"/>
      <c r="F25" s="178"/>
      <c r="G25" s="178"/>
      <c r="H25" s="178"/>
      <c r="I25" s="178"/>
      <c r="J25" s="178"/>
      <c r="K25" s="178"/>
      <c r="L25" s="178"/>
      <c r="M25" s="178"/>
      <c r="N25" s="178"/>
      <c r="O25" s="178"/>
      <c r="P25" s="178"/>
      <c r="Q25" s="178"/>
      <c r="R25" s="178"/>
      <c r="S25" s="989">
        <f>Ram_1!AR21</f>
        <v>0</v>
      </c>
      <c r="T25" s="178"/>
      <c r="U25" s="178"/>
      <c r="V25" s="178"/>
      <c r="W25" s="972" t="str">
        <f>'Translate &amp; Prices'!$O$153</f>
        <v>Rodzaj szkła</v>
      </c>
      <c r="X25" s="972"/>
      <c r="Y25" s="972"/>
      <c r="Z25" s="972"/>
      <c r="AA25" s="972"/>
      <c r="AB25" s="501"/>
      <c r="AC25" s="973" t="str">
        <f>IFERROR(VLOOKUP(kombinace_1!$V$1,BX12:BY14,2,0),0)</f>
        <v>Bez modyfikacji</v>
      </c>
      <c r="AD25" s="973"/>
      <c r="AE25" s="973"/>
      <c r="AF25" s="973"/>
      <c r="AG25" s="973"/>
      <c r="AH25" s="973"/>
      <c r="AI25" s="973"/>
      <c r="AJ25" s="973"/>
      <c r="AK25" s="973"/>
      <c r="AL25" s="973"/>
      <c r="AM25" s="973"/>
      <c r="AN25" s="973"/>
      <c r="AO25" s="973"/>
      <c r="AP25" s="584"/>
      <c r="AQ25" s="584"/>
      <c r="AR25" s="992"/>
      <c r="BD25" s="395" t="s">
        <v>2803</v>
      </c>
      <c r="BE25" s="395" t="s">
        <v>493</v>
      </c>
      <c r="BM25" s="474" t="s">
        <v>529</v>
      </c>
      <c r="BN25" s="474" t="s">
        <v>529</v>
      </c>
      <c r="BS25" s="474" t="s">
        <v>2312</v>
      </c>
      <c r="BT25" s="474" t="s">
        <v>2599</v>
      </c>
      <c r="CA25" s="404" t="s">
        <v>2725</v>
      </c>
      <c r="CB25" s="404" t="s">
        <v>2617</v>
      </c>
    </row>
    <row r="26" spans="1:80" ht="16.2" customHeight="1" x14ac:dyDescent="0.3">
      <c r="A26" s="178"/>
      <c r="B26" s="584"/>
      <c r="C26" s="584"/>
      <c r="D26" s="178"/>
      <c r="E26" s="178"/>
      <c r="F26" s="178"/>
      <c r="G26" s="178"/>
      <c r="H26" s="178"/>
      <c r="I26" s="178"/>
      <c r="J26" s="178"/>
      <c r="K26" s="178"/>
      <c r="L26" s="178"/>
      <c r="M26" s="178"/>
      <c r="N26" s="178"/>
      <c r="O26" s="178"/>
      <c r="P26" s="178"/>
      <c r="Q26" s="178"/>
      <c r="R26" s="178"/>
      <c r="S26" s="989">
        <f>Ram_1!AR22</f>
        <v>0</v>
      </c>
      <c r="T26" s="178"/>
      <c r="U26" s="178"/>
      <c r="V26" s="178"/>
      <c r="W26" s="972" t="str">
        <f>'Translate &amp; Prices'!$O$542</f>
        <v>Rodzaj folii</v>
      </c>
      <c r="X26" s="972"/>
      <c r="Y26" s="972"/>
      <c r="Z26" s="972"/>
      <c r="AA26" s="972"/>
      <c r="AB26" s="501"/>
      <c r="AC26" s="973">
        <f>IFERROR(VLOOKUP(Ram_1!$H$24,CA12:CB26,2,0),0)</f>
        <v>0</v>
      </c>
      <c r="AD26" s="973"/>
      <c r="AE26" s="973"/>
      <c r="AF26" s="973"/>
      <c r="AG26" s="973"/>
      <c r="AH26" s="973"/>
      <c r="AI26" s="973"/>
      <c r="AJ26" s="973"/>
      <c r="AK26" s="973"/>
      <c r="AL26" s="973"/>
      <c r="AM26" s="973"/>
      <c r="AN26" s="973"/>
      <c r="AO26" s="973"/>
      <c r="AP26" s="584"/>
      <c r="AQ26" s="584"/>
      <c r="AR26" s="992"/>
      <c r="BD26" s="395" t="s">
        <v>1847</v>
      </c>
      <c r="BE26" s="395" t="s">
        <v>2348</v>
      </c>
      <c r="BM26" s="474" t="s">
        <v>2600</v>
      </c>
      <c r="BN26" s="474" t="s">
        <v>2600</v>
      </c>
      <c r="BS26" s="474" t="s">
        <v>600</v>
      </c>
      <c r="BT26" s="474" t="s">
        <v>523</v>
      </c>
      <c r="CA26" s="404" t="s">
        <v>2726</v>
      </c>
      <c r="CB26" s="404" t="s">
        <v>2618</v>
      </c>
    </row>
    <row r="27" spans="1:80" ht="16.2" customHeight="1" thickBot="1" x14ac:dyDescent="0.35">
      <c r="A27" s="178"/>
      <c r="B27" s="584"/>
      <c r="C27" s="584"/>
      <c r="D27" s="178"/>
      <c r="E27" s="178"/>
      <c r="F27" s="178"/>
      <c r="G27" s="178"/>
      <c r="H27" s="178"/>
      <c r="I27" s="178"/>
      <c r="J27" s="178"/>
      <c r="K27" s="178"/>
      <c r="L27" s="178"/>
      <c r="M27" s="178"/>
      <c r="N27" s="178"/>
      <c r="O27" s="178"/>
      <c r="P27" s="178"/>
      <c r="Q27" s="178"/>
      <c r="R27" s="178"/>
      <c r="S27" s="990">
        <f>Ram_1!AR23</f>
        <v>0</v>
      </c>
      <c r="T27" s="178"/>
      <c r="U27" s="178"/>
      <c r="V27" s="178"/>
      <c r="W27" s="972" t="str">
        <f>'Translate &amp; Prices'!$O$153</f>
        <v>Rodzaj szkła</v>
      </c>
      <c r="X27" s="972"/>
      <c r="Y27" s="972"/>
      <c r="Z27" s="972"/>
      <c r="AA27" s="972"/>
      <c r="AB27" s="501"/>
      <c r="AC27" s="973">
        <f>IFERROR(VLOOKUP(Ram_1!$H$25,kombinace_1!DT:DU,2,0),0)</f>
        <v>0</v>
      </c>
      <c r="AD27" s="973"/>
      <c r="AE27" s="973"/>
      <c r="AF27" s="973"/>
      <c r="AG27" s="973"/>
      <c r="AH27" s="973"/>
      <c r="AI27" s="973"/>
      <c r="AJ27" s="973"/>
      <c r="AK27" s="973"/>
      <c r="AL27" s="973"/>
      <c r="AM27" s="973"/>
      <c r="AN27" s="973"/>
      <c r="AO27" s="973"/>
      <c r="AP27" s="584"/>
      <c r="AQ27" s="584"/>
      <c r="AR27" s="992"/>
      <c r="BM27" s="474" t="s">
        <v>604</v>
      </c>
      <c r="BN27" s="474" t="s">
        <v>526</v>
      </c>
      <c r="BS27" s="474" t="s">
        <v>601</v>
      </c>
      <c r="BT27" s="474" t="s">
        <v>524</v>
      </c>
    </row>
    <row r="28" spans="1:80" ht="16.2" customHeight="1" x14ac:dyDescent="0.3">
      <c r="A28" s="178"/>
      <c r="B28" s="584"/>
      <c r="C28" s="584"/>
      <c r="D28" s="178"/>
      <c r="E28" s="178"/>
      <c r="F28" s="178"/>
      <c r="G28" s="178"/>
      <c r="H28" s="178"/>
      <c r="I28" s="178"/>
      <c r="J28" s="178"/>
      <c r="K28" s="178"/>
      <c r="L28" s="178"/>
      <c r="M28" s="178"/>
      <c r="N28" s="178"/>
      <c r="O28" s="178"/>
      <c r="P28" s="178"/>
      <c r="Q28" s="178"/>
      <c r="R28" s="178"/>
      <c r="S28" s="178"/>
      <c r="T28" s="178"/>
      <c r="U28" s="178"/>
      <c r="V28" s="178"/>
      <c r="W28" s="972" t="str">
        <f>'Translate &amp; Prices'!$O$529</f>
        <v>Rozstaw uchwytu (mm)</v>
      </c>
      <c r="X28" s="972"/>
      <c r="Y28" s="972"/>
      <c r="Z28" s="972"/>
      <c r="AA28" s="972"/>
      <c r="AB28" s="501"/>
      <c r="AC28" s="973">
        <f>Ram_1!$H$26</f>
        <v>0</v>
      </c>
      <c r="AD28" s="973"/>
      <c r="AE28" s="973"/>
      <c r="AF28" s="973"/>
      <c r="AG28" s="973"/>
      <c r="AH28" s="973"/>
      <c r="AI28" s="973"/>
      <c r="AJ28" s="973"/>
      <c r="AK28" s="973"/>
      <c r="AL28" s="973"/>
      <c r="AM28" s="973"/>
      <c r="AN28" s="973"/>
      <c r="AO28" s="973"/>
      <c r="AP28" s="584"/>
      <c r="AQ28" s="584"/>
      <c r="AR28" s="992"/>
      <c r="BM28" s="474" t="s">
        <v>605</v>
      </c>
      <c r="BN28" s="474" t="s">
        <v>527</v>
      </c>
      <c r="BS28" s="474" t="s">
        <v>2675</v>
      </c>
      <c r="BT28" s="474" t="s">
        <v>2309</v>
      </c>
    </row>
    <row r="29" spans="1:80" ht="16.2" customHeight="1" x14ac:dyDescent="0.3">
      <c r="A29" s="178"/>
      <c r="B29" s="584"/>
      <c r="C29" s="584"/>
      <c r="D29" s="178"/>
      <c r="E29" s="178"/>
      <c r="F29" s="178"/>
      <c r="G29" s="178"/>
      <c r="H29" s="178"/>
      <c r="I29" s="178"/>
      <c r="J29" s="178"/>
      <c r="K29" s="178"/>
      <c r="L29" s="178"/>
      <c r="M29" s="178"/>
      <c r="N29" s="178"/>
      <c r="O29" s="178"/>
      <c r="P29" s="178"/>
      <c r="Q29" s="178"/>
      <c r="R29" s="178"/>
      <c r="S29" s="178"/>
      <c r="T29" s="178"/>
      <c r="U29" s="178"/>
      <c r="V29" s="178"/>
      <c r="W29" s="972" t="str">
        <f>'Translate &amp; Prices'!$O$530</f>
        <v>Umieszczenie uchwytu</v>
      </c>
      <c r="X29" s="972"/>
      <c r="Y29" s="972"/>
      <c r="Z29" s="972"/>
      <c r="AA29" s="972"/>
      <c r="AB29" s="501"/>
      <c r="AC29" s="973">
        <f>IFERROR(VLOOKUP(Ram_1!$H$27,BS12:BT31,2,0),0)</f>
        <v>0</v>
      </c>
      <c r="AD29" s="973"/>
      <c r="AE29" s="973"/>
      <c r="AF29" s="973"/>
      <c r="AG29" s="973"/>
      <c r="AH29" s="973"/>
      <c r="AI29" s="973"/>
      <c r="AJ29" s="973"/>
      <c r="AK29" s="973"/>
      <c r="AL29" s="973"/>
      <c r="AM29" s="973"/>
      <c r="AN29" s="973"/>
      <c r="AO29" s="973"/>
      <c r="AP29" s="584"/>
      <c r="AQ29" s="584"/>
      <c r="AR29" s="992"/>
      <c r="BM29" s="474" t="s">
        <v>606</v>
      </c>
      <c r="BN29" s="474" t="s">
        <v>528</v>
      </c>
      <c r="BS29" s="474" t="s">
        <v>1921</v>
      </c>
      <c r="BT29" s="474" t="s">
        <v>2599</v>
      </c>
    </row>
    <row r="30" spans="1:80" ht="16.2" customHeight="1" x14ac:dyDescent="0.3">
      <c r="A30" s="178"/>
      <c r="B30" s="584"/>
      <c r="C30" s="584"/>
      <c r="D30" s="178"/>
      <c r="E30" s="178"/>
      <c r="F30" s="178"/>
      <c r="G30" s="178"/>
      <c r="H30" s="178"/>
      <c r="I30" s="178"/>
      <c r="J30" s="178"/>
      <c r="K30" s="178"/>
      <c r="L30" s="178"/>
      <c r="M30" s="178"/>
      <c r="N30" s="178"/>
      <c r="O30" s="178"/>
      <c r="P30" s="178"/>
      <c r="Q30" s="178"/>
      <c r="R30" s="178"/>
      <c r="S30" s="178"/>
      <c r="T30" s="178"/>
      <c r="U30" s="178"/>
      <c r="V30" s="178"/>
      <c r="W30" s="972" t="str">
        <f>('Translate &amp; Prices'!$O$154)&amp;" "&amp;"-"&amp;" "&amp;('Translate &amp; Prices'!$O$149)&amp;" "&amp;" "&amp;1</f>
        <v>Ilość sztuk - Ramka  1</v>
      </c>
      <c r="X30" s="972"/>
      <c r="Y30" s="972"/>
      <c r="Z30" s="972"/>
      <c r="AA30" s="972"/>
      <c r="AB30" s="501"/>
      <c r="AC30" s="973">
        <f>Ram_1!$H$28</f>
        <v>0</v>
      </c>
      <c r="AD30" s="973"/>
      <c r="AE30" s="973"/>
      <c r="AF30" s="973"/>
      <c r="AG30" s="973"/>
      <c r="AH30" s="973"/>
      <c r="AI30" s="973"/>
      <c r="AJ30" s="973"/>
      <c r="AK30" s="973"/>
      <c r="AL30" s="973"/>
      <c r="AM30" s="973"/>
      <c r="AN30" s="973"/>
      <c r="AO30" s="973"/>
      <c r="AP30" s="584"/>
      <c r="AQ30" s="584"/>
      <c r="AR30" s="992"/>
      <c r="BM30" s="474" t="s">
        <v>607</v>
      </c>
      <c r="BN30" s="474" t="s">
        <v>529</v>
      </c>
      <c r="BS30" s="474" t="s">
        <v>1880</v>
      </c>
      <c r="BT30" s="474" t="s">
        <v>523</v>
      </c>
    </row>
    <row r="31" spans="1:80" ht="16.2" customHeight="1" x14ac:dyDescent="0.3">
      <c r="A31" s="178"/>
      <c r="B31" s="584"/>
      <c r="C31" s="584"/>
      <c r="D31" s="178"/>
      <c r="E31" s="178"/>
      <c r="F31" s="178"/>
      <c r="G31" s="178"/>
      <c r="H31" s="178"/>
      <c r="I31" s="178"/>
      <c r="J31" s="178"/>
      <c r="K31" s="178"/>
      <c r="L31" s="178"/>
      <c r="M31" s="178"/>
      <c r="N31" s="178"/>
      <c r="O31" s="178"/>
      <c r="P31" s="178"/>
      <c r="Q31" s="178"/>
      <c r="R31" s="178"/>
      <c r="S31" s="178"/>
      <c r="T31" s="178"/>
      <c r="U31" s="178"/>
      <c r="V31" s="178"/>
      <c r="W31" s="1"/>
      <c r="X31" s="1"/>
      <c r="Y31" s="1"/>
      <c r="Z31" s="1"/>
      <c r="AA31" s="1"/>
      <c r="AB31" s="1"/>
      <c r="AC31" s="1"/>
      <c r="AD31" s="1"/>
      <c r="AE31" s="1"/>
      <c r="AF31" s="1"/>
      <c r="AG31" s="1"/>
      <c r="AH31" s="1"/>
      <c r="AI31" s="1"/>
      <c r="AJ31" s="1"/>
      <c r="AK31" s="1"/>
      <c r="AL31" s="1"/>
      <c r="AM31" s="1"/>
      <c r="AN31" s="1"/>
      <c r="AO31" s="1"/>
      <c r="AP31" s="584"/>
      <c r="AQ31" s="584"/>
      <c r="AR31" s="992"/>
      <c r="BM31" s="474" t="s">
        <v>2519</v>
      </c>
      <c r="BN31" s="474" t="s">
        <v>2600</v>
      </c>
      <c r="BS31" s="474" t="s">
        <v>1881</v>
      </c>
      <c r="BT31" s="474" t="s">
        <v>524</v>
      </c>
    </row>
    <row r="32" spans="1:80" ht="14.4" customHeight="1" x14ac:dyDescent="0.3">
      <c r="A32" s="178"/>
      <c r="B32" s="584"/>
      <c r="C32" s="584"/>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584"/>
      <c r="AB32" s="584"/>
      <c r="AC32" s="584"/>
      <c r="AD32" s="584"/>
      <c r="AG32" s="584"/>
      <c r="AH32" s="584"/>
      <c r="AI32" s="584"/>
      <c r="AJ32" s="584"/>
      <c r="AK32" s="584"/>
      <c r="AL32" s="584"/>
      <c r="AM32" s="584"/>
      <c r="AN32" s="584"/>
      <c r="AO32" s="584"/>
      <c r="AP32" s="584"/>
      <c r="AQ32" s="584"/>
      <c r="AR32" s="992"/>
      <c r="BM32" s="474" t="s">
        <v>2676</v>
      </c>
      <c r="BN32" s="474" t="s">
        <v>526</v>
      </c>
    </row>
    <row r="33" spans="1:80" ht="14.4" customHeight="1" x14ac:dyDescent="0.3">
      <c r="A33" s="178"/>
      <c r="B33" s="584"/>
      <c r="C33" s="584"/>
      <c r="D33" s="178"/>
      <c r="E33" s="178"/>
      <c r="F33" s="178"/>
      <c r="G33" s="178"/>
      <c r="H33" s="178"/>
      <c r="I33" s="178"/>
      <c r="J33" s="178"/>
      <c r="K33" s="178"/>
      <c r="L33" s="178"/>
      <c r="M33" s="178"/>
      <c r="N33" s="178"/>
      <c r="O33" s="178"/>
      <c r="P33" s="178"/>
      <c r="Q33" s="178"/>
      <c r="R33" s="178"/>
      <c r="S33" s="178"/>
      <c r="T33" s="178"/>
      <c r="U33" s="178"/>
      <c r="V33" s="178"/>
      <c r="W33" s="994" t="s">
        <v>3004</v>
      </c>
      <c r="X33" s="994"/>
      <c r="Y33" s="994"/>
      <c r="Z33" s="994"/>
      <c r="AA33" s="584"/>
      <c r="AB33" s="584"/>
      <c r="AC33" s="584"/>
      <c r="AD33" s="584"/>
      <c r="AE33" s="994" t="s">
        <v>3005</v>
      </c>
      <c r="AF33" s="994"/>
      <c r="AG33" s="994"/>
      <c r="AH33" s="994"/>
      <c r="AI33" s="584"/>
      <c r="AJ33" s="584"/>
      <c r="AK33" s="584"/>
      <c r="AL33" s="584"/>
      <c r="AM33" s="584"/>
      <c r="AN33" s="584"/>
      <c r="AO33" s="584"/>
      <c r="AP33" s="584"/>
      <c r="AQ33" s="584"/>
      <c r="AR33" s="992"/>
      <c r="BM33" s="474" t="s">
        <v>2677</v>
      </c>
      <c r="BN33" s="474" t="s">
        <v>527</v>
      </c>
    </row>
    <row r="34" spans="1:80" ht="14.4" customHeight="1" x14ac:dyDescent="0.3">
      <c r="A34" s="178"/>
      <c r="B34" s="584"/>
      <c r="C34" s="584"/>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584"/>
      <c r="AB34" s="584"/>
      <c r="AC34" s="584"/>
      <c r="AD34" s="584"/>
      <c r="AE34" s="974"/>
      <c r="AF34" s="975"/>
      <c r="AG34" s="975"/>
      <c r="AH34" s="975"/>
      <c r="AI34" s="975"/>
      <c r="AJ34" s="975"/>
      <c r="AK34" s="975"/>
      <c r="AL34" s="975"/>
      <c r="AM34" s="975"/>
      <c r="AN34" s="976"/>
      <c r="AO34" s="584"/>
      <c r="AP34" s="584"/>
      <c r="AQ34" s="584"/>
      <c r="AR34" s="992"/>
      <c r="BM34" s="474" t="s">
        <v>2831</v>
      </c>
      <c r="BN34" s="474" t="s">
        <v>528</v>
      </c>
    </row>
    <row r="35" spans="1:80" ht="14.4" customHeight="1" x14ac:dyDescent="0.3">
      <c r="A35" s="178"/>
      <c r="B35" s="584"/>
      <c r="C35" s="584"/>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584"/>
      <c r="AB35" s="584"/>
      <c r="AC35" s="584"/>
      <c r="AD35" s="584"/>
      <c r="AE35" s="977"/>
      <c r="AF35" s="978"/>
      <c r="AG35" s="978"/>
      <c r="AH35" s="978"/>
      <c r="AI35" s="978"/>
      <c r="AJ35" s="978"/>
      <c r="AK35" s="978"/>
      <c r="AL35" s="978"/>
      <c r="AM35" s="978"/>
      <c r="AN35" s="979"/>
      <c r="AO35" s="584"/>
      <c r="AP35" s="584"/>
      <c r="AQ35" s="584"/>
      <c r="AR35" s="992"/>
      <c r="BM35" s="474" t="s">
        <v>2832</v>
      </c>
      <c r="BN35" s="474" t="s">
        <v>529</v>
      </c>
    </row>
    <row r="36" spans="1:80" ht="14.4" customHeight="1" x14ac:dyDescent="0.3">
      <c r="A36" s="178"/>
      <c r="B36" s="584"/>
      <c r="C36" s="584"/>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584"/>
      <c r="AB36" s="584"/>
      <c r="AC36" s="584"/>
      <c r="AD36" s="584"/>
      <c r="AE36" s="977"/>
      <c r="AF36" s="978"/>
      <c r="AG36" s="978"/>
      <c r="AH36" s="978"/>
      <c r="AI36" s="978"/>
      <c r="AJ36" s="978"/>
      <c r="AK36" s="978"/>
      <c r="AL36" s="978"/>
      <c r="AM36" s="978"/>
      <c r="AN36" s="979"/>
      <c r="AO36" s="584"/>
      <c r="AP36" s="584"/>
      <c r="AQ36" s="584"/>
      <c r="AR36" s="992"/>
      <c r="BM36" s="474" t="s">
        <v>2098</v>
      </c>
      <c r="BN36" s="474" t="s">
        <v>2600</v>
      </c>
    </row>
    <row r="37" spans="1:80" ht="14.4" customHeight="1" x14ac:dyDescent="0.35">
      <c r="A37" s="178"/>
      <c r="B37" s="584"/>
      <c r="C37" s="584"/>
      <c r="D37" s="996">
        <f>IF(OR(Ram_1!$AC$25="x",Ram_1!$AJ$26="x",Ram_1!$AC$9="x",Ram_1!$AJ$7="x",Ram_1!$AB$16="x",Ram_1!$AM$23="x",Ram_1!$AN$19="x",Ram_1!$AD$10="x"),'Translate &amp; Prices'!$B$568,0)</f>
        <v>0</v>
      </c>
      <c r="E37" s="996"/>
      <c r="F37" s="996"/>
      <c r="G37" s="996"/>
      <c r="H37" s="996"/>
      <c r="I37" s="996"/>
      <c r="J37" s="996"/>
      <c r="K37" s="996"/>
      <c r="L37" s="996"/>
      <c r="M37" s="996"/>
      <c r="N37" s="996"/>
      <c r="O37" s="996"/>
      <c r="P37" s="996"/>
      <c r="Q37" s="178"/>
      <c r="R37" s="178"/>
      <c r="S37" s="178"/>
      <c r="T37" s="178"/>
      <c r="U37" s="178"/>
      <c r="V37" s="178"/>
      <c r="W37" s="178"/>
      <c r="X37" s="178"/>
      <c r="Y37" s="178"/>
      <c r="Z37" s="178"/>
      <c r="AA37" s="584"/>
      <c r="AB37" s="584"/>
      <c r="AC37" s="584"/>
      <c r="AD37" s="584"/>
      <c r="AE37" s="977"/>
      <c r="AF37" s="978"/>
      <c r="AG37" s="978"/>
      <c r="AH37" s="978"/>
      <c r="AI37" s="978"/>
      <c r="AJ37" s="978"/>
      <c r="AK37" s="978"/>
      <c r="AL37" s="978"/>
      <c r="AM37" s="978"/>
      <c r="AN37" s="979"/>
      <c r="AO37" s="584"/>
      <c r="AP37" s="584"/>
      <c r="AQ37" s="584"/>
      <c r="AR37" s="992"/>
    </row>
    <row r="38" spans="1:80" ht="14.4" customHeight="1" x14ac:dyDescent="0.3">
      <c r="A38" s="178"/>
      <c r="B38" s="584"/>
      <c r="C38" s="584"/>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584"/>
      <c r="AB38" s="584"/>
      <c r="AC38" s="584"/>
      <c r="AD38" s="584"/>
      <c r="AE38" s="977"/>
      <c r="AF38" s="978"/>
      <c r="AG38" s="978"/>
      <c r="AH38" s="978"/>
      <c r="AI38" s="978"/>
      <c r="AJ38" s="978"/>
      <c r="AK38" s="978"/>
      <c r="AL38" s="978"/>
      <c r="AM38" s="978"/>
      <c r="AN38" s="979"/>
      <c r="AO38" s="584"/>
      <c r="AP38" s="584"/>
      <c r="AQ38" s="584"/>
      <c r="AR38" s="992"/>
    </row>
    <row r="39" spans="1:80" ht="14.4" customHeight="1" thickBot="1" x14ac:dyDescent="0.35">
      <c r="A39" s="178"/>
      <c r="B39" s="584"/>
      <c r="C39" s="584"/>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584"/>
      <c r="AB39" s="584"/>
      <c r="AC39" s="584"/>
      <c r="AD39" s="584"/>
      <c r="AE39" s="977"/>
      <c r="AF39" s="978"/>
      <c r="AG39" s="978"/>
      <c r="AH39" s="978"/>
      <c r="AI39" s="978"/>
      <c r="AJ39" s="978"/>
      <c r="AK39" s="978"/>
      <c r="AL39" s="978"/>
      <c r="AM39" s="978"/>
      <c r="AN39" s="979"/>
      <c r="AO39" s="584"/>
      <c r="AP39" s="584"/>
      <c r="AQ39" s="584"/>
      <c r="AR39" s="992"/>
    </row>
    <row r="40" spans="1:80" ht="14.4" customHeight="1" thickBot="1" x14ac:dyDescent="0.35">
      <c r="A40" s="178"/>
      <c r="B40" s="584"/>
      <c r="C40" s="584"/>
      <c r="D40" s="178"/>
      <c r="E40" s="178"/>
      <c r="F40" s="178"/>
      <c r="G40" s="983" t="str">
        <f>'Translate &amp; Prices'!$O$155</f>
        <v>Szerokość</v>
      </c>
      <c r="H40" s="984">
        <f>Ram_1!AG30</f>
        <v>0</v>
      </c>
      <c r="I40" s="984">
        <f>Ram_1!AH30</f>
        <v>0</v>
      </c>
      <c r="J40" s="985">
        <f>Ram_1!AI30</f>
        <v>0</v>
      </c>
      <c r="K40" s="985">
        <f>Ram_1!AJ30</f>
        <v>0</v>
      </c>
      <c r="L40" s="986">
        <f>Ram_1!AK30</f>
        <v>0</v>
      </c>
      <c r="M40" s="178"/>
      <c r="N40" s="178"/>
      <c r="O40" s="178"/>
      <c r="P40" s="178"/>
      <c r="Q40" s="178"/>
      <c r="R40" s="178"/>
      <c r="S40" s="178"/>
      <c r="T40" s="178"/>
      <c r="U40" s="178"/>
      <c r="V40" s="178"/>
      <c r="W40" s="178"/>
      <c r="X40" s="178"/>
      <c r="Y40" s="178"/>
      <c r="Z40" s="178"/>
      <c r="AA40" s="584"/>
      <c r="AB40" s="584"/>
      <c r="AC40" s="584"/>
      <c r="AD40" s="584"/>
      <c r="AE40" s="977"/>
      <c r="AF40" s="978"/>
      <c r="AG40" s="978"/>
      <c r="AH40" s="978"/>
      <c r="AI40" s="978"/>
      <c r="AJ40" s="978"/>
      <c r="AK40" s="978"/>
      <c r="AL40" s="978"/>
      <c r="AM40" s="978"/>
      <c r="AN40" s="979"/>
      <c r="AO40" s="584"/>
      <c r="AP40" s="584"/>
      <c r="AQ40" s="584"/>
      <c r="AR40" s="992"/>
    </row>
    <row r="41" spans="1:80" ht="21" customHeight="1" x14ac:dyDescent="0.3">
      <c r="A41" s="178"/>
      <c r="B41" s="584"/>
      <c r="C41" s="584"/>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584"/>
      <c r="AB41" s="584"/>
      <c r="AC41" s="584"/>
      <c r="AD41" s="584"/>
      <c r="AE41" s="980"/>
      <c r="AF41" s="981"/>
      <c r="AG41" s="981"/>
      <c r="AH41" s="981"/>
      <c r="AI41" s="981"/>
      <c r="AJ41" s="981"/>
      <c r="AK41" s="981"/>
      <c r="AL41" s="981"/>
      <c r="AM41" s="981"/>
      <c r="AN41" s="982"/>
      <c r="AO41" s="584"/>
      <c r="AP41" s="584"/>
      <c r="AQ41" s="584"/>
      <c r="AR41" s="992"/>
    </row>
    <row r="42" spans="1:80" ht="14.4" customHeight="1" x14ac:dyDescent="0.3">
      <c r="A42" s="178"/>
      <c r="B42" s="584"/>
      <c r="C42" s="584"/>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584"/>
      <c r="AB42" s="584"/>
      <c r="AC42" s="584"/>
      <c r="AD42" s="584"/>
      <c r="AG42" s="584"/>
      <c r="AH42" s="584"/>
      <c r="AI42" s="584"/>
      <c r="AJ42" s="584"/>
      <c r="AK42" s="584"/>
      <c r="AL42" s="584"/>
      <c r="AM42" s="584"/>
      <c r="AN42" s="584"/>
      <c r="AO42" s="584"/>
      <c r="AP42" s="584"/>
      <c r="AQ42" s="584"/>
      <c r="AR42" s="992"/>
    </row>
    <row r="43" spans="1:80" ht="14.4" customHeight="1" x14ac:dyDescent="0.3">
      <c r="A43" s="178"/>
      <c r="B43" s="584"/>
      <c r="C43" s="584"/>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584"/>
      <c r="AB43" s="584"/>
      <c r="AC43" s="584"/>
      <c r="AD43" s="584"/>
      <c r="AG43" s="584"/>
      <c r="AH43" s="584"/>
      <c r="AI43" s="584"/>
      <c r="AJ43" s="584"/>
      <c r="AK43" s="584"/>
      <c r="AL43" s="584"/>
      <c r="AM43" s="584"/>
      <c r="AN43" s="584"/>
      <c r="AO43" s="584"/>
      <c r="AP43" s="584"/>
      <c r="AQ43" s="584"/>
      <c r="AR43" s="992"/>
    </row>
    <row r="44" spans="1:80" ht="14.4" customHeight="1" thickBot="1" x14ac:dyDescent="0.35">
      <c r="A44" s="589"/>
      <c r="B44" s="381"/>
      <c r="C44" s="381"/>
      <c r="D44" s="589"/>
      <c r="E44" s="589"/>
      <c r="F44" s="589"/>
      <c r="G44" s="589"/>
      <c r="H44" s="589"/>
      <c r="I44" s="589"/>
      <c r="J44" s="589"/>
      <c r="K44" s="589"/>
      <c r="L44" s="589"/>
      <c r="M44" s="589"/>
      <c r="N44" s="589"/>
      <c r="O44" s="589"/>
      <c r="P44" s="589"/>
      <c r="Q44" s="589"/>
      <c r="R44" s="589"/>
      <c r="S44" s="589"/>
      <c r="T44" s="589"/>
      <c r="U44" s="589"/>
      <c r="V44" s="589"/>
      <c r="W44" s="589"/>
      <c r="X44" s="589"/>
      <c r="Y44" s="589"/>
      <c r="Z44" s="589"/>
      <c r="AA44" s="381"/>
      <c r="AB44" s="381"/>
      <c r="AC44" s="381"/>
      <c r="AD44" s="381"/>
      <c r="AE44" s="590"/>
      <c r="AF44" s="591"/>
      <c r="AG44" s="381"/>
      <c r="AH44" s="381"/>
      <c r="AI44" s="381"/>
      <c r="AJ44" s="381"/>
      <c r="AK44" s="381"/>
      <c r="AL44" s="381"/>
      <c r="AM44" s="381"/>
      <c r="AN44" s="381"/>
      <c r="AO44" s="381"/>
      <c r="AP44" s="381"/>
      <c r="AQ44" s="381"/>
      <c r="AR44" s="381"/>
    </row>
    <row r="45" spans="1:80" ht="34.799999999999997" customHeight="1" thickBot="1" x14ac:dyDescent="0.35">
      <c r="A45" s="178"/>
      <c r="B45" s="584"/>
      <c r="C45" s="584"/>
      <c r="D45" s="178"/>
      <c r="E45" s="178"/>
      <c r="F45" s="178"/>
      <c r="G45" s="178"/>
      <c r="H45" s="178"/>
      <c r="I45" s="178"/>
      <c r="J45" s="585"/>
      <c r="K45" s="585"/>
      <c r="L45" s="585"/>
      <c r="M45" s="585"/>
      <c r="N45" s="585"/>
      <c r="O45" s="585"/>
      <c r="P45" s="585"/>
      <c r="Q45" s="585"/>
      <c r="R45" s="585"/>
      <c r="S45" s="585"/>
      <c r="T45" s="585"/>
      <c r="U45" s="585"/>
      <c r="V45" s="585"/>
      <c r="W45" s="971" t="str">
        <f>'Translate &amp; Prices'!$O$236</f>
        <v>Numer zamówienia</v>
      </c>
      <c r="X45" s="971"/>
      <c r="Y45" s="971"/>
      <c r="Z45" s="971"/>
      <c r="AA45" s="971"/>
      <c r="AB45" s="501"/>
      <c r="AC45" s="968"/>
      <c r="AD45" s="969"/>
      <c r="AE45" s="969"/>
      <c r="AF45" s="969"/>
      <c r="AG45" s="969"/>
      <c r="AH45" s="969"/>
      <c r="AI45" s="969"/>
      <c r="AJ45" s="969"/>
      <c r="AK45" s="969"/>
      <c r="AL45" s="969"/>
      <c r="AM45" s="969"/>
      <c r="AN45" s="969"/>
      <c r="AO45" s="970"/>
      <c r="AP45" s="584"/>
      <c r="AQ45" s="584"/>
      <c r="AR45" s="992" t="s">
        <v>3007</v>
      </c>
    </row>
    <row r="46" spans="1:80" ht="16.2" customHeight="1" x14ac:dyDescent="0.3">
      <c r="A46" s="178"/>
      <c r="B46" s="395"/>
      <c r="C46" s="395"/>
      <c r="W46" s="972" t="str">
        <f>'Translate &amp; Prices'!$O$522</f>
        <v>Połączenie 2 profili</v>
      </c>
      <c r="X46" s="972"/>
      <c r="Y46" s="972"/>
      <c r="Z46" s="972"/>
      <c r="AA46" s="972"/>
      <c r="AB46" s="501"/>
      <c r="AC46" s="991" t="str">
        <f>IF(kombinace_2!$H$1=TRUE,"Tak","Nie")</f>
        <v>Nie</v>
      </c>
      <c r="AD46" s="991"/>
      <c r="AE46" s="991"/>
      <c r="AF46" s="991"/>
      <c r="AG46" s="991"/>
      <c r="AH46" s="991"/>
      <c r="AI46" s="991"/>
      <c r="AJ46" s="991"/>
      <c r="AK46" s="991"/>
      <c r="AL46" s="991"/>
      <c r="AM46" s="991"/>
      <c r="AN46" s="991"/>
      <c r="AO46" s="991"/>
      <c r="AR46" s="992"/>
    </row>
    <row r="47" spans="1:80" ht="16.2" customHeight="1" x14ac:dyDescent="0.3">
      <c r="A47" s="178"/>
      <c r="B47" s="584"/>
      <c r="C47" s="584"/>
      <c r="D47" s="178"/>
      <c r="E47" s="178"/>
      <c r="F47" s="178"/>
      <c r="G47" s="178"/>
      <c r="H47" s="178"/>
      <c r="I47" s="178"/>
      <c r="J47" s="178"/>
      <c r="K47" s="178"/>
      <c r="L47" s="178"/>
      <c r="M47" s="178"/>
      <c r="N47" s="178"/>
      <c r="O47" s="178"/>
      <c r="P47" s="178"/>
      <c r="Q47" s="178"/>
      <c r="R47" s="178"/>
      <c r="S47" s="178"/>
      <c r="T47" s="178"/>
      <c r="U47" s="178"/>
      <c r="V47" s="178"/>
      <c r="W47" s="972" t="str">
        <f>'Translate &amp; Prices'!$O$152</f>
        <v>Rodzaj profilu</v>
      </c>
      <c r="X47" s="972"/>
      <c r="Y47" s="972"/>
      <c r="Z47" s="972"/>
      <c r="AA47" s="972"/>
      <c r="AB47" s="501"/>
      <c r="AC47" s="973">
        <f>IFERROR(VLOOKUP(Ram_2!$H$8,kombinace_1!DW:DY,2,0),0)</f>
        <v>0</v>
      </c>
      <c r="AD47" s="973"/>
      <c r="AE47" s="973"/>
      <c r="AF47" s="973"/>
      <c r="AG47" s="973"/>
      <c r="AH47" s="973"/>
      <c r="AI47" s="973"/>
      <c r="AJ47" s="973"/>
      <c r="AK47" s="973"/>
      <c r="AL47" s="973"/>
      <c r="AM47" s="973"/>
      <c r="AN47" s="973"/>
      <c r="AO47" s="973"/>
      <c r="AP47" s="584"/>
      <c r="AQ47" s="584"/>
      <c r="AR47" s="992"/>
    </row>
    <row r="48" spans="1:80" ht="16.2" customHeight="1" x14ac:dyDescent="0.3">
      <c r="A48" s="178"/>
      <c r="B48" s="584"/>
      <c r="C48" s="584"/>
      <c r="D48" s="178"/>
      <c r="E48" s="178"/>
      <c r="F48" s="178"/>
      <c r="G48" s="178"/>
      <c r="H48" s="178"/>
      <c r="I48" s="178"/>
      <c r="J48" s="178"/>
      <c r="K48" s="178"/>
      <c r="L48" s="178"/>
      <c r="M48" s="178"/>
      <c r="N48" s="178"/>
      <c r="O48" s="178"/>
      <c r="P48" s="178"/>
      <c r="Q48" s="178"/>
      <c r="R48" s="178"/>
      <c r="S48" s="178"/>
      <c r="T48" s="178"/>
      <c r="U48" s="178"/>
      <c r="V48" s="178"/>
      <c r="W48" s="972" t="str">
        <f>'Translate &amp; Prices'!$O$523</f>
        <v>Szprosy</v>
      </c>
      <c r="X48" s="972"/>
      <c r="Y48" s="972"/>
      <c r="Z48" s="972"/>
      <c r="AA48" s="972"/>
      <c r="AB48" s="501"/>
      <c r="AC48" s="973" t="str">
        <f>IFERROR(VLOOKUP(Ram_2!$AU$10,AU48:AV51,2,0),0)</f>
        <v>Nie</v>
      </c>
      <c r="AD48" s="973"/>
      <c r="AE48" s="973"/>
      <c r="AF48" s="973"/>
      <c r="AG48" s="973"/>
      <c r="AH48" s="973"/>
      <c r="AI48" s="973"/>
      <c r="AJ48" s="973"/>
      <c r="AK48" s="973"/>
      <c r="AL48" s="973"/>
      <c r="AM48" s="973"/>
      <c r="AN48" s="973"/>
      <c r="AO48" s="973"/>
      <c r="AP48" s="584"/>
      <c r="AQ48" s="584"/>
      <c r="AR48" s="992"/>
      <c r="AT48" s="474"/>
      <c r="AU48" s="404">
        <v>0</v>
      </c>
      <c r="AV48" s="404" t="str">
        <f>'Translate &amp; Prices'!$O$537</f>
        <v>Nie</v>
      </c>
      <c r="AY48" s="474"/>
      <c r="AZ48" s="404">
        <v>2</v>
      </c>
      <c r="BA48" s="404" t="str">
        <f>'Translate &amp; Prices'!$O$531</f>
        <v>Zawiasy</v>
      </c>
      <c r="BD48" s="395" t="s">
        <v>125</v>
      </c>
      <c r="BE48" s="395" t="s">
        <v>492</v>
      </c>
      <c r="BI48" s="395" t="s">
        <v>98</v>
      </c>
      <c r="BJ48" s="474" t="s">
        <v>486</v>
      </c>
      <c r="BM48" s="474" t="s">
        <v>245</v>
      </c>
      <c r="BN48" s="474" t="s">
        <v>526</v>
      </c>
      <c r="BS48" s="474" t="s">
        <v>251</v>
      </c>
      <c r="BT48" s="474" t="s">
        <v>2309</v>
      </c>
      <c r="BX48" s="474">
        <v>1</v>
      </c>
      <c r="BY48" s="474" t="str">
        <f>'Translate &amp; Prices'!$O$85</f>
        <v>Bez modyfikacji</v>
      </c>
      <c r="CA48" s="404" t="s">
        <v>2086</v>
      </c>
      <c r="CB48" s="404" t="s">
        <v>2616</v>
      </c>
    </row>
    <row r="49" spans="1:80" ht="16.2" customHeight="1" x14ac:dyDescent="0.3">
      <c r="A49" s="178"/>
      <c r="B49" s="584"/>
      <c r="C49" s="584"/>
      <c r="D49" s="178"/>
      <c r="E49" s="178"/>
      <c r="F49" s="178"/>
      <c r="G49" s="178"/>
      <c r="H49" s="178"/>
      <c r="I49" s="178"/>
      <c r="J49" s="178"/>
      <c r="K49" s="178"/>
      <c r="L49" s="178"/>
      <c r="M49" s="178"/>
      <c r="N49" s="178"/>
      <c r="O49" s="178"/>
      <c r="P49" s="178"/>
      <c r="Q49" s="178"/>
      <c r="R49" s="178"/>
      <c r="S49" s="178"/>
      <c r="T49" s="178"/>
      <c r="U49" s="178"/>
      <c r="V49" s="178"/>
      <c r="W49" s="592"/>
      <c r="X49" s="592"/>
      <c r="Y49" s="592"/>
      <c r="Z49" s="592"/>
      <c r="AA49" s="592"/>
      <c r="AB49" s="593"/>
      <c r="AC49" s="993" t="str">
        <f>'Translate &amp; Prices'!$O$538</f>
        <v>Poziomo</v>
      </c>
      <c r="AD49" s="993"/>
      <c r="AE49" s="993"/>
      <c r="AF49" s="993"/>
      <c r="AG49" s="993"/>
      <c r="AH49" s="993"/>
      <c r="AI49" s="993"/>
      <c r="AJ49" s="993" t="str">
        <f>'Translate &amp; Prices'!$O$539</f>
        <v>Pionowo</v>
      </c>
      <c r="AK49" s="993"/>
      <c r="AL49" s="993"/>
      <c r="AM49" s="993"/>
      <c r="AN49" s="993"/>
      <c r="AO49" s="993"/>
      <c r="AP49" s="584"/>
      <c r="AQ49" s="584"/>
      <c r="AR49" s="992"/>
      <c r="AT49" s="474"/>
      <c r="AU49" s="404">
        <v>1</v>
      </c>
      <c r="AV49" s="404" t="str">
        <f>'Translate &amp; Prices'!$O$538</f>
        <v>Poziomo</v>
      </c>
      <c r="AY49" s="474"/>
      <c r="AZ49" s="404">
        <v>3</v>
      </c>
      <c r="BA49" s="404" t="str">
        <f>'Translate &amp; Prices'!$O$532</f>
        <v>Podnośniki</v>
      </c>
      <c r="BD49" s="395" t="s">
        <v>126</v>
      </c>
      <c r="BE49" s="395" t="s">
        <v>493</v>
      </c>
      <c r="BI49" s="395" t="s">
        <v>97</v>
      </c>
      <c r="BJ49" s="474" t="s">
        <v>487</v>
      </c>
      <c r="BM49" s="474" t="s">
        <v>246</v>
      </c>
      <c r="BN49" s="474" t="s">
        <v>527</v>
      </c>
      <c r="BS49" s="474" t="s">
        <v>252</v>
      </c>
      <c r="BT49" s="474" t="s">
        <v>2599</v>
      </c>
      <c r="BX49" s="474">
        <v>2</v>
      </c>
      <c r="BY49" s="474" t="str">
        <f>'Translate &amp; Prices'!$O$83</f>
        <v>Hartowane</v>
      </c>
      <c r="CA49" s="404" t="s">
        <v>2089</v>
      </c>
      <c r="CB49" s="404" t="s">
        <v>2617</v>
      </c>
    </row>
    <row r="50" spans="1:80" ht="16.2" customHeight="1" x14ac:dyDescent="0.3">
      <c r="A50" s="178"/>
      <c r="B50" s="584"/>
      <c r="C50" s="584"/>
      <c r="D50" s="178"/>
      <c r="E50" s="178"/>
      <c r="F50" s="178"/>
      <c r="G50" s="178"/>
      <c r="H50" s="178"/>
      <c r="I50" s="178"/>
      <c r="J50" s="178"/>
      <c r="K50" s="178"/>
      <c r="L50" s="178"/>
      <c r="M50" s="178"/>
      <c r="N50" s="178"/>
      <c r="O50" s="178"/>
      <c r="P50" s="178"/>
      <c r="Q50" s="178"/>
      <c r="R50" s="178"/>
      <c r="S50" s="178"/>
      <c r="T50" s="178"/>
      <c r="U50" s="178"/>
      <c r="V50" s="178"/>
      <c r="W50" s="972" t="str">
        <f>('Translate &amp; Prices'!$O$523)&amp;" "&amp;"("&amp;'Translate &amp; Prices'!$O$154&amp;")"</f>
        <v>Szprosy (Ilość sztuk)</v>
      </c>
      <c r="X50" s="972"/>
      <c r="Y50" s="972"/>
      <c r="Z50" s="972"/>
      <c r="AA50" s="972"/>
      <c r="AB50" s="501"/>
      <c r="AC50" s="973">
        <f>Ram_2!$H$11</f>
        <v>0</v>
      </c>
      <c r="AD50" s="973"/>
      <c r="AE50" s="973"/>
      <c r="AF50" s="973"/>
      <c r="AG50" s="973"/>
      <c r="AH50" s="973"/>
      <c r="AI50" s="973"/>
      <c r="AJ50" s="973">
        <f>Ram_2!$M$11</f>
        <v>0</v>
      </c>
      <c r="AK50" s="973"/>
      <c r="AL50" s="973"/>
      <c r="AM50" s="973"/>
      <c r="AN50" s="973"/>
      <c r="AO50" s="973"/>
      <c r="AP50" s="584"/>
      <c r="AQ50" s="584"/>
      <c r="AR50" s="992"/>
      <c r="AT50" s="474"/>
      <c r="AU50" s="404">
        <v>2</v>
      </c>
      <c r="AV50" s="404" t="str">
        <f>'Translate &amp; Prices'!$O$539</f>
        <v>Pionowo</v>
      </c>
      <c r="BD50" s="395" t="s">
        <v>127</v>
      </c>
      <c r="BE50" s="395" t="s">
        <v>2348</v>
      </c>
      <c r="BI50" s="474" t="s">
        <v>427</v>
      </c>
      <c r="BJ50" s="474" t="s">
        <v>486</v>
      </c>
      <c r="BM50" s="474" t="s">
        <v>248</v>
      </c>
      <c r="BN50" s="474" t="s">
        <v>528</v>
      </c>
      <c r="BS50" s="474" t="s">
        <v>242</v>
      </c>
      <c r="BT50" s="474" t="s">
        <v>523</v>
      </c>
      <c r="BX50" s="474">
        <v>3</v>
      </c>
      <c r="BY50" s="474" t="str">
        <f>'Translate &amp; Prices'!$O$84</f>
        <v>Folia</v>
      </c>
      <c r="CA50" s="404" t="s">
        <v>2092</v>
      </c>
      <c r="CB50" s="404" t="s">
        <v>2618</v>
      </c>
    </row>
    <row r="51" spans="1:80" ht="16.2" customHeight="1" x14ac:dyDescent="0.3">
      <c r="A51" s="178"/>
      <c r="B51" s="584"/>
      <c r="C51" s="584"/>
      <c r="D51" s="178"/>
      <c r="E51" s="178"/>
      <c r="F51" s="178"/>
      <c r="G51" s="178"/>
      <c r="H51" s="178"/>
      <c r="I51" s="178"/>
      <c r="J51" s="178"/>
      <c r="K51" s="178"/>
      <c r="L51" s="178"/>
      <c r="M51" s="178"/>
      <c r="N51" s="178"/>
      <c r="O51" s="178"/>
      <c r="P51" s="178"/>
      <c r="Q51" s="178"/>
      <c r="R51" s="178"/>
      <c r="S51" s="178"/>
      <c r="T51" s="178"/>
      <c r="U51" s="178"/>
      <c r="V51" s="178"/>
      <c r="W51" s="972" t="str">
        <f>'Translate &amp; Prices'!$O$238</f>
        <v>Typ okucia</v>
      </c>
      <c r="X51" s="972"/>
      <c r="Y51" s="972"/>
      <c r="Z51" s="972"/>
      <c r="AA51" s="972"/>
      <c r="AB51" s="501"/>
      <c r="AC51" s="973">
        <f>IFERROR(VLOOKUP(Ram_2!$AU$9,AZ48:BA49,2,0),0)</f>
        <v>0</v>
      </c>
      <c r="AD51" s="973"/>
      <c r="AE51" s="973"/>
      <c r="AF51" s="973"/>
      <c r="AG51" s="973"/>
      <c r="AH51" s="973"/>
      <c r="AI51" s="973"/>
      <c r="AJ51" s="973"/>
      <c r="AK51" s="973"/>
      <c r="AL51" s="973"/>
      <c r="AM51" s="973"/>
      <c r="AN51" s="973"/>
      <c r="AO51" s="973"/>
      <c r="AP51" s="584"/>
      <c r="AQ51" s="584"/>
      <c r="AR51" s="992"/>
      <c r="AT51" s="474"/>
      <c r="AU51" s="404">
        <v>3</v>
      </c>
      <c r="AV51" s="404" t="str">
        <f>'Translate &amp; Prices'!$O$540</f>
        <v>Poziomo i pionowo</v>
      </c>
      <c r="BD51" s="395" t="s">
        <v>125</v>
      </c>
      <c r="BE51" s="395" t="s">
        <v>492</v>
      </c>
      <c r="BI51" s="474" t="s">
        <v>428</v>
      </c>
      <c r="BJ51" s="474" t="s">
        <v>487</v>
      </c>
      <c r="BM51" s="474" t="s">
        <v>247</v>
      </c>
      <c r="BN51" s="474" t="s">
        <v>529</v>
      </c>
      <c r="BS51" s="474" t="s">
        <v>241</v>
      </c>
      <c r="BT51" s="474" t="s">
        <v>524</v>
      </c>
      <c r="CA51" s="404" t="s">
        <v>2451</v>
      </c>
      <c r="CB51" s="404" t="s">
        <v>2616</v>
      </c>
    </row>
    <row r="52" spans="1:80" ht="16.2" customHeight="1" x14ac:dyDescent="0.3">
      <c r="A52" s="178"/>
      <c r="B52" s="584"/>
      <c r="C52" s="584"/>
      <c r="D52" s="178"/>
      <c r="E52" s="178"/>
      <c r="F52" s="178"/>
      <c r="G52" s="178"/>
      <c r="H52" s="178"/>
      <c r="I52" s="178"/>
      <c r="J52" s="178"/>
      <c r="K52" s="178"/>
      <c r="L52" s="178"/>
      <c r="M52" s="178"/>
      <c r="N52" s="178"/>
      <c r="O52" s="178"/>
      <c r="P52" s="178"/>
      <c r="Q52" s="178"/>
      <c r="R52" s="178"/>
      <c r="S52" s="178"/>
      <c r="T52" s="178"/>
      <c r="U52" s="178"/>
      <c r="V52" s="178"/>
      <c r="W52" s="972" t="str">
        <f>'Translate &amp; Prices'!$O$524</f>
        <v>Marka okucia</v>
      </c>
      <c r="X52" s="972"/>
      <c r="Y52" s="972"/>
      <c r="Z52" s="972"/>
      <c r="AA52" s="972"/>
      <c r="AB52" s="501"/>
      <c r="AC52" s="973">
        <f>Ram_2!$H$13</f>
        <v>0</v>
      </c>
      <c r="AD52" s="973"/>
      <c r="AE52" s="973"/>
      <c r="AF52" s="973"/>
      <c r="AG52" s="973"/>
      <c r="AH52" s="973"/>
      <c r="AI52" s="973"/>
      <c r="AJ52" s="973"/>
      <c r="AK52" s="973"/>
      <c r="AL52" s="973"/>
      <c r="AM52" s="973"/>
      <c r="AN52" s="973"/>
      <c r="AO52" s="973"/>
      <c r="AP52" s="584"/>
      <c r="AQ52" s="584"/>
      <c r="AR52" s="992"/>
      <c r="BD52" s="395" t="s">
        <v>126</v>
      </c>
      <c r="BE52" s="395" t="s">
        <v>493</v>
      </c>
      <c r="BI52" s="474" t="s">
        <v>747</v>
      </c>
      <c r="BJ52" s="474" t="s">
        <v>486</v>
      </c>
      <c r="BM52" s="474" t="s">
        <v>249</v>
      </c>
      <c r="BN52" s="474" t="s">
        <v>2600</v>
      </c>
      <c r="BS52" s="474" t="s">
        <v>2311</v>
      </c>
      <c r="BT52" s="474" t="s">
        <v>2309</v>
      </c>
      <c r="CA52" s="404" t="s">
        <v>2452</v>
      </c>
      <c r="CB52" s="404" t="s">
        <v>2617</v>
      </c>
    </row>
    <row r="53" spans="1:80" ht="16.2" customHeight="1" thickBot="1" x14ac:dyDescent="0.35">
      <c r="A53" s="178"/>
      <c r="B53" s="584"/>
      <c r="C53" s="584"/>
      <c r="D53" s="178"/>
      <c r="E53" s="178"/>
      <c r="F53" s="178"/>
      <c r="G53" s="178"/>
      <c r="H53" s="178"/>
      <c r="I53" s="178"/>
      <c r="J53" s="178"/>
      <c r="K53" s="178"/>
      <c r="L53" s="178"/>
      <c r="M53" s="178"/>
      <c r="N53" s="178"/>
      <c r="O53" s="178"/>
      <c r="P53" s="178"/>
      <c r="Q53" s="178"/>
      <c r="R53" s="178"/>
      <c r="S53" s="178"/>
      <c r="T53" s="178"/>
      <c r="U53" s="178"/>
      <c r="V53" s="178"/>
      <c r="W53" s="972" t="str">
        <f>'Translate &amp; Prices'!$O$526</f>
        <v>Nałożenie</v>
      </c>
      <c r="X53" s="972"/>
      <c r="Y53" s="972"/>
      <c r="Z53" s="972"/>
      <c r="AA53" s="972"/>
      <c r="AB53" s="501"/>
      <c r="AC53" s="973">
        <f>IFERROR(VLOOKUP(Ram_2!$H$14,BD48:BE62,2,0),0)</f>
        <v>0</v>
      </c>
      <c r="AD53" s="973"/>
      <c r="AE53" s="973"/>
      <c r="AF53" s="973"/>
      <c r="AG53" s="973"/>
      <c r="AH53" s="973"/>
      <c r="AI53" s="973"/>
      <c r="AJ53" s="973"/>
      <c r="AK53" s="973"/>
      <c r="AL53" s="973"/>
      <c r="AM53" s="973"/>
      <c r="AN53" s="973"/>
      <c r="AO53" s="973"/>
      <c r="AP53" s="584"/>
      <c r="AQ53" s="584"/>
      <c r="AR53" s="992"/>
      <c r="BD53" s="395" t="s">
        <v>127</v>
      </c>
      <c r="BE53" s="395" t="s">
        <v>2348</v>
      </c>
      <c r="BI53" s="474" t="s">
        <v>563</v>
      </c>
      <c r="BJ53" s="474" t="s">
        <v>487</v>
      </c>
      <c r="BM53" s="474" t="s">
        <v>461</v>
      </c>
      <c r="BN53" s="474" t="s">
        <v>526</v>
      </c>
      <c r="BS53" s="474" t="s">
        <v>252</v>
      </c>
      <c r="BT53" s="474" t="s">
        <v>2599</v>
      </c>
      <c r="CA53" s="404" t="s">
        <v>2453</v>
      </c>
      <c r="CB53" s="404" t="s">
        <v>2618</v>
      </c>
    </row>
    <row r="54" spans="1:80" ht="16.2" customHeight="1" x14ac:dyDescent="0.3">
      <c r="A54" s="178"/>
      <c r="B54" s="584"/>
      <c r="C54" s="584"/>
      <c r="D54" s="178"/>
      <c r="E54" s="178"/>
      <c r="F54" s="178"/>
      <c r="G54" s="178"/>
      <c r="H54" s="178"/>
      <c r="I54" s="178"/>
      <c r="J54" s="178"/>
      <c r="K54" s="178"/>
      <c r="L54" s="178"/>
      <c r="M54" s="178"/>
      <c r="N54" s="178"/>
      <c r="O54" s="178"/>
      <c r="P54" s="178"/>
      <c r="Q54" s="178"/>
      <c r="R54" s="178"/>
      <c r="S54" s="987">
        <f>Ram_2!AR14</f>
        <v>0</v>
      </c>
      <c r="T54" s="178"/>
      <c r="U54" s="178"/>
      <c r="V54" s="178"/>
      <c r="W54" s="972" t="str">
        <f>'Translate &amp; Prices'!$O$525</f>
        <v>Wariant okucia</v>
      </c>
      <c r="X54" s="972"/>
      <c r="Y54" s="972"/>
      <c r="Z54" s="972"/>
      <c r="AA54" s="972"/>
      <c r="AB54" s="501"/>
      <c r="AC54" s="973">
        <f>IFERROR(VLOOKUP(Ram_2!$H$15,kombinace_1!$ED:$EE,2,0),Ram_2!$H$15)</f>
        <v>0</v>
      </c>
      <c r="AD54" s="973"/>
      <c r="AE54" s="973"/>
      <c r="AF54" s="973"/>
      <c r="AG54" s="973"/>
      <c r="AH54" s="973"/>
      <c r="AI54" s="973"/>
      <c r="AJ54" s="973"/>
      <c r="AK54" s="973"/>
      <c r="AL54" s="973"/>
      <c r="AM54" s="973"/>
      <c r="AN54" s="973"/>
      <c r="AO54" s="973"/>
      <c r="AP54" s="584"/>
      <c r="AQ54" s="584"/>
      <c r="AR54" s="992"/>
      <c r="BD54" s="395" t="s">
        <v>492</v>
      </c>
      <c r="BE54" s="395" t="s">
        <v>492</v>
      </c>
      <c r="BI54" s="474" t="s">
        <v>2667</v>
      </c>
      <c r="BJ54" s="474" t="s">
        <v>486</v>
      </c>
      <c r="BM54" s="474" t="s">
        <v>462</v>
      </c>
      <c r="BN54" s="474" t="s">
        <v>527</v>
      </c>
      <c r="BS54" s="474" t="s">
        <v>457</v>
      </c>
      <c r="BT54" s="474" t="s">
        <v>523</v>
      </c>
      <c r="CA54" s="404" t="s">
        <v>2616</v>
      </c>
      <c r="CB54" s="404" t="s">
        <v>2616</v>
      </c>
    </row>
    <row r="55" spans="1:80" ht="16.2" customHeight="1" x14ac:dyDescent="0.3">
      <c r="A55" s="178"/>
      <c r="B55" s="584"/>
      <c r="C55" s="584"/>
      <c r="D55" s="178"/>
      <c r="E55" s="178"/>
      <c r="F55" s="178"/>
      <c r="G55" s="178"/>
      <c r="H55" s="178"/>
      <c r="I55" s="178"/>
      <c r="J55" s="178"/>
      <c r="K55" s="178"/>
      <c r="L55" s="178"/>
      <c r="M55" s="178"/>
      <c r="N55" s="178"/>
      <c r="O55" s="178"/>
      <c r="P55" s="178"/>
      <c r="Q55" s="178"/>
      <c r="R55" s="178"/>
      <c r="S55" s="988">
        <f>Ram_1!AR51</f>
        <v>0</v>
      </c>
      <c r="T55" s="178"/>
      <c r="U55" s="178"/>
      <c r="V55" s="178"/>
      <c r="W55" s="972" t="str">
        <f>'Translate &amp; Prices'!$O$198</f>
        <v>Wybierz pozycję ramki</v>
      </c>
      <c r="X55" s="972"/>
      <c r="Y55" s="972"/>
      <c r="Z55" s="972"/>
      <c r="AA55" s="972"/>
      <c r="AB55" s="995">
        <f>IFERROR(VLOOKUP(Ram_2!$F$16,BI48:BJ57,2,0),0)</f>
        <v>0</v>
      </c>
      <c r="AC55" s="995"/>
      <c r="AD55" s="995"/>
      <c r="AE55" s="995"/>
      <c r="AF55" s="995"/>
      <c r="AG55" s="972" t="str">
        <f>'Translate &amp; Prices'!$O$212</f>
        <v>Rodzaj drugiej ramki</v>
      </c>
      <c r="AH55" s="972"/>
      <c r="AI55" s="972"/>
      <c r="AJ55" s="972"/>
      <c r="AK55" s="972"/>
      <c r="AL55" s="973">
        <f>IFERROR(VLOOKUP(Ram_2!$N$16,BM48:BN72,2,0),0)</f>
        <v>0</v>
      </c>
      <c r="AM55" s="973"/>
      <c r="AN55" s="973"/>
      <c r="AO55" s="973"/>
      <c r="AP55" s="1"/>
      <c r="AQ55" s="1"/>
      <c r="AR55" s="992"/>
      <c r="AS55" s="474"/>
      <c r="AT55" s="474"/>
      <c r="BD55" s="395" t="s">
        <v>493</v>
      </c>
      <c r="BE55" s="395" t="s">
        <v>493</v>
      </c>
      <c r="BI55" s="474" t="s">
        <v>2668</v>
      </c>
      <c r="BJ55" s="474" t="s">
        <v>487</v>
      </c>
      <c r="BM55" s="474" t="s">
        <v>463</v>
      </c>
      <c r="BN55" s="474" t="s">
        <v>528</v>
      </c>
      <c r="BS55" s="474" t="s">
        <v>458</v>
      </c>
      <c r="BT55" s="474" t="s">
        <v>524</v>
      </c>
      <c r="CA55" s="404" t="s">
        <v>2617</v>
      </c>
      <c r="CB55" s="404" t="s">
        <v>2617</v>
      </c>
    </row>
    <row r="56" spans="1:80" ht="16.2" customHeight="1" x14ac:dyDescent="0.3">
      <c r="A56" s="178"/>
      <c r="B56" s="584"/>
      <c r="C56" s="584"/>
      <c r="D56" s="178"/>
      <c r="E56" s="178"/>
      <c r="F56" s="178"/>
      <c r="G56" s="178"/>
      <c r="H56" s="178"/>
      <c r="I56" s="178"/>
      <c r="J56" s="178"/>
      <c r="K56" s="178"/>
      <c r="L56" s="178"/>
      <c r="M56" s="178"/>
      <c r="N56" s="178"/>
      <c r="O56" s="178"/>
      <c r="P56" s="178"/>
      <c r="Q56" s="178"/>
      <c r="R56" s="178"/>
      <c r="S56" s="988">
        <f>Ram_1!AR52</f>
        <v>0</v>
      </c>
      <c r="T56" s="178"/>
      <c r="U56" s="178"/>
      <c r="V56" s="178"/>
      <c r="W56" s="972" t="str">
        <f>'Translate &amp; Prices'!$O$218</f>
        <v>Umieszczenie zawiasu</v>
      </c>
      <c r="X56" s="972"/>
      <c r="Y56" s="972"/>
      <c r="Z56" s="972"/>
      <c r="AA56" s="972"/>
      <c r="AB56" s="501"/>
      <c r="AC56" s="973">
        <f>IFERROR(VLOOKUP(Ram_2!$H$17,BS48:BT67,2,0),0)</f>
        <v>0</v>
      </c>
      <c r="AD56" s="973"/>
      <c r="AE56" s="973"/>
      <c r="AF56" s="973"/>
      <c r="AG56" s="973"/>
      <c r="AH56" s="973"/>
      <c r="AI56" s="973"/>
      <c r="AJ56" s="973"/>
      <c r="AK56" s="973"/>
      <c r="AL56" s="973"/>
      <c r="AM56" s="973"/>
      <c r="AN56" s="973"/>
      <c r="AO56" s="973"/>
      <c r="AP56" s="584"/>
      <c r="AQ56" s="584"/>
      <c r="AR56" s="992"/>
      <c r="BD56" s="395" t="s">
        <v>2348</v>
      </c>
      <c r="BE56" s="395" t="s">
        <v>2348</v>
      </c>
      <c r="BI56" s="474" t="s">
        <v>486</v>
      </c>
      <c r="BJ56" s="474" t="s">
        <v>486</v>
      </c>
      <c r="BM56" s="474" t="s">
        <v>464</v>
      </c>
      <c r="BN56" s="474" t="s">
        <v>529</v>
      </c>
      <c r="BS56" s="474" t="s">
        <v>2309</v>
      </c>
      <c r="BT56" s="474" t="s">
        <v>2309</v>
      </c>
      <c r="CA56" s="404" t="s">
        <v>2618</v>
      </c>
      <c r="CB56" s="404" t="s">
        <v>2618</v>
      </c>
    </row>
    <row r="57" spans="1:80" ht="16.2" customHeight="1" x14ac:dyDescent="0.3">
      <c r="A57" s="178"/>
      <c r="B57" s="584"/>
      <c r="C57" s="584"/>
      <c r="D57" s="178"/>
      <c r="E57" s="178"/>
      <c r="F57" s="178"/>
      <c r="G57" s="178"/>
      <c r="H57" s="178"/>
      <c r="I57" s="178"/>
      <c r="J57" s="178"/>
      <c r="K57" s="178"/>
      <c r="L57" s="178"/>
      <c r="M57" s="178"/>
      <c r="N57" s="178"/>
      <c r="O57" s="178"/>
      <c r="P57" s="178"/>
      <c r="Q57" s="178"/>
      <c r="R57" s="178"/>
      <c r="S57" s="988">
        <f>Ram_1!AR53</f>
        <v>0</v>
      </c>
      <c r="T57" s="178"/>
      <c r="U57" s="178"/>
      <c r="V57" s="178"/>
      <c r="W57" s="972" t="str">
        <f>'Translate &amp; Prices'!$O$527</f>
        <v>Zawiasy do podnośników</v>
      </c>
      <c r="X57" s="972"/>
      <c r="Y57" s="972"/>
      <c r="Z57" s="972"/>
      <c r="AA57" s="972"/>
      <c r="AB57" s="501"/>
      <c r="AC57" s="973">
        <f>Ram_2!$H$18</f>
        <v>0</v>
      </c>
      <c r="AD57" s="973"/>
      <c r="AE57" s="973"/>
      <c r="AF57" s="973"/>
      <c r="AG57" s="973"/>
      <c r="AH57" s="973"/>
      <c r="AI57" s="973"/>
      <c r="AJ57" s="973"/>
      <c r="AK57" s="973"/>
      <c r="AL57" s="973"/>
      <c r="AM57" s="973"/>
      <c r="AN57" s="973"/>
      <c r="AO57" s="973"/>
      <c r="AP57" s="584"/>
      <c r="AQ57" s="584"/>
      <c r="AR57" s="992"/>
      <c r="BD57" s="395" t="s">
        <v>568</v>
      </c>
      <c r="BE57" s="395" t="s">
        <v>492</v>
      </c>
      <c r="BI57" s="474" t="s">
        <v>487</v>
      </c>
      <c r="BJ57" s="474" t="s">
        <v>487</v>
      </c>
      <c r="BM57" s="474" t="s">
        <v>465</v>
      </c>
      <c r="BN57" s="474" t="s">
        <v>2600</v>
      </c>
      <c r="BS57" s="474" t="s">
        <v>2599</v>
      </c>
      <c r="BT57" s="474" t="s">
        <v>2599</v>
      </c>
      <c r="CA57" s="404" t="s">
        <v>2454</v>
      </c>
      <c r="CB57" s="404" t="s">
        <v>2616</v>
      </c>
    </row>
    <row r="58" spans="1:80" ht="16.2" customHeight="1" x14ac:dyDescent="0.3">
      <c r="A58" s="178"/>
      <c r="B58" s="584"/>
      <c r="C58" s="584"/>
      <c r="D58" s="178"/>
      <c r="E58" s="178"/>
      <c r="F58" s="178"/>
      <c r="G58" s="178"/>
      <c r="H58" s="178"/>
      <c r="I58" s="178"/>
      <c r="J58" s="178"/>
      <c r="K58" s="178"/>
      <c r="L58" s="178"/>
      <c r="M58" s="178"/>
      <c r="N58" s="178"/>
      <c r="O58" s="178"/>
      <c r="P58" s="178"/>
      <c r="Q58" s="178"/>
      <c r="R58" s="178"/>
      <c r="S58" s="988">
        <f>Ram_1!AR54</f>
        <v>0</v>
      </c>
      <c r="T58" s="178"/>
      <c r="U58" s="178"/>
      <c r="V58" s="178"/>
      <c r="W58" s="972" t="str">
        <f>'Translate &amp; Prices'!$O$203</f>
        <v>Ilość zawiasów na 1 ramkę</v>
      </c>
      <c r="X58" s="972"/>
      <c r="Y58" s="972"/>
      <c r="Z58" s="972"/>
      <c r="AA58" s="972"/>
      <c r="AB58" s="501"/>
      <c r="AC58" s="973">
        <f>Ram_2!$H$19</f>
        <v>0</v>
      </c>
      <c r="AD58" s="973"/>
      <c r="AE58" s="973"/>
      <c r="AF58" s="973"/>
      <c r="AG58" s="973"/>
      <c r="AH58" s="973"/>
      <c r="AI58" s="973"/>
      <c r="AJ58" s="973"/>
      <c r="AK58" s="973"/>
      <c r="AL58" s="973"/>
      <c r="AM58" s="973"/>
      <c r="AN58" s="973"/>
      <c r="AO58" s="973"/>
      <c r="AP58" s="584"/>
      <c r="AQ58" s="584"/>
      <c r="AR58" s="992"/>
      <c r="BD58" s="395" t="s">
        <v>569</v>
      </c>
      <c r="BE58" s="395" t="s">
        <v>493</v>
      </c>
      <c r="BM58" s="474" t="s">
        <v>526</v>
      </c>
      <c r="BN58" s="474" t="s">
        <v>526</v>
      </c>
      <c r="BS58" s="474" t="s">
        <v>523</v>
      </c>
      <c r="BT58" s="474" t="s">
        <v>523</v>
      </c>
      <c r="CA58" s="404" t="s">
        <v>2563</v>
      </c>
      <c r="CB58" s="404" t="s">
        <v>2617</v>
      </c>
    </row>
    <row r="59" spans="1:80" ht="16.2" customHeight="1" x14ac:dyDescent="0.3">
      <c r="A59" s="178"/>
      <c r="B59" s="584"/>
      <c r="C59" s="584"/>
      <c r="D59" s="178"/>
      <c r="E59" s="178"/>
      <c r="F59" s="178"/>
      <c r="G59" s="178"/>
      <c r="H59" s="178"/>
      <c r="I59" s="178"/>
      <c r="J59" s="178"/>
      <c r="K59" s="178"/>
      <c r="L59" s="178"/>
      <c r="M59" s="178"/>
      <c r="N59" s="178"/>
      <c r="O59" s="178"/>
      <c r="P59" s="178"/>
      <c r="Q59" s="178"/>
      <c r="R59" s="178"/>
      <c r="S59" s="989" t="str">
        <f>'Translate &amp; Prices'!$O$156</f>
        <v>Wysokość</v>
      </c>
      <c r="T59" s="178"/>
      <c r="U59" s="178"/>
      <c r="V59" s="178"/>
      <c r="W59" s="972" t="e">
        <f>'Translate &amp; Prices'!$O$222&amp;" "&amp;VLOOKUP(Ram_2!H17,kombinace_1!$BY$32:$CC$35,5,0)</f>
        <v>#N/A</v>
      </c>
      <c r="X59" s="972"/>
      <c r="Y59" s="972"/>
      <c r="Z59" s="972"/>
      <c r="AA59" s="972"/>
      <c r="AB59" s="995">
        <f>Ram_2!$F$20</f>
        <v>100</v>
      </c>
      <c r="AC59" s="995"/>
      <c r="AD59" s="995"/>
      <c r="AE59" s="995"/>
      <c r="AF59" s="995"/>
      <c r="AG59" s="972" t="e">
        <f>'Translate &amp; Prices'!$O$222&amp;" "&amp;VLOOKUP(Ram_2!H17,kombinace_1!$BY$32:$CD$35,6,0)</f>
        <v>#N/A</v>
      </c>
      <c r="AH59" s="972"/>
      <c r="AI59" s="972"/>
      <c r="AJ59" s="972"/>
      <c r="AK59" s="972"/>
      <c r="AL59" s="973">
        <f>Ram_2!$N$20</f>
        <v>100</v>
      </c>
      <c r="AM59" s="973"/>
      <c r="AN59" s="973"/>
      <c r="AO59" s="973"/>
      <c r="AP59" s="584"/>
      <c r="AQ59" s="584"/>
      <c r="AR59" s="992"/>
      <c r="BD59" s="395" t="s">
        <v>570</v>
      </c>
      <c r="BE59" s="395" t="s">
        <v>2348</v>
      </c>
      <c r="BM59" s="474" t="s">
        <v>527</v>
      </c>
      <c r="BN59" s="474" t="s">
        <v>527</v>
      </c>
      <c r="BS59" s="474" t="s">
        <v>524</v>
      </c>
      <c r="BT59" s="474" t="s">
        <v>524</v>
      </c>
      <c r="CA59" s="404" t="s">
        <v>2455</v>
      </c>
      <c r="CB59" s="404" t="s">
        <v>2618</v>
      </c>
    </row>
    <row r="60" spans="1:80" ht="16.2" customHeight="1" x14ac:dyDescent="0.3">
      <c r="A60" s="178"/>
      <c r="B60" s="584"/>
      <c r="C60" s="584"/>
      <c r="D60" s="178"/>
      <c r="E60" s="178"/>
      <c r="F60" s="178"/>
      <c r="G60" s="178"/>
      <c r="H60" s="178"/>
      <c r="I60" s="178"/>
      <c r="J60" s="178"/>
      <c r="K60" s="178"/>
      <c r="L60" s="178"/>
      <c r="M60" s="178"/>
      <c r="N60" s="178"/>
      <c r="O60" s="178"/>
      <c r="P60" s="178"/>
      <c r="Q60" s="178"/>
      <c r="R60" s="178"/>
      <c r="S60" s="989">
        <f>Ram_1!AR56</f>
        <v>0</v>
      </c>
      <c r="T60" s="178"/>
      <c r="U60" s="178"/>
      <c r="V60" s="178"/>
      <c r="W60" s="592"/>
      <c r="X60" s="592"/>
      <c r="Y60" s="592"/>
      <c r="Z60" s="592"/>
      <c r="AA60" s="592"/>
      <c r="AB60" s="593"/>
      <c r="AC60" s="593"/>
      <c r="AD60" s="593"/>
      <c r="AE60" s="594"/>
      <c r="AF60" s="594"/>
      <c r="AG60" s="594"/>
      <c r="AH60" s="594"/>
      <c r="AI60" s="594"/>
      <c r="AJ60" s="593"/>
      <c r="AK60" s="593"/>
      <c r="AL60" s="593"/>
      <c r="AM60" s="593"/>
      <c r="AN60" s="593"/>
      <c r="AO60" s="593"/>
      <c r="AP60" s="584"/>
      <c r="AQ60" s="584"/>
      <c r="AR60" s="992"/>
      <c r="BD60" s="395" t="s">
        <v>2970</v>
      </c>
      <c r="BE60" s="395" t="s">
        <v>492</v>
      </c>
      <c r="BM60" s="474" t="s">
        <v>528</v>
      </c>
      <c r="BN60" s="474" t="s">
        <v>528</v>
      </c>
      <c r="BS60" s="474" t="s">
        <v>2310</v>
      </c>
      <c r="BT60" s="474" t="s">
        <v>2309</v>
      </c>
      <c r="CA60" s="404" t="s">
        <v>2724</v>
      </c>
      <c r="CB60" s="404" t="s">
        <v>2616</v>
      </c>
    </row>
    <row r="61" spans="1:80" ht="16.2" customHeight="1" x14ac:dyDescent="0.3">
      <c r="A61" s="178"/>
      <c r="B61" s="584"/>
      <c r="C61" s="584"/>
      <c r="D61" s="178"/>
      <c r="E61" s="178"/>
      <c r="F61" s="178"/>
      <c r="G61" s="178"/>
      <c r="H61" s="178"/>
      <c r="I61" s="178"/>
      <c r="J61" s="178"/>
      <c r="K61" s="178"/>
      <c r="L61" s="178"/>
      <c r="M61" s="178"/>
      <c r="N61" s="178"/>
      <c r="O61" s="178"/>
      <c r="P61" s="178"/>
      <c r="Q61" s="178"/>
      <c r="R61" s="178"/>
      <c r="S61" s="989">
        <f>Ram_1!AR57</f>
        <v>0</v>
      </c>
      <c r="T61" s="178"/>
      <c r="U61" s="178"/>
      <c r="V61" s="178"/>
      <c r="W61" s="972" t="str">
        <f>'Translate &amp; Prices'!$O$153</f>
        <v>Rodzaj szkła</v>
      </c>
      <c r="X61" s="972"/>
      <c r="Y61" s="972"/>
      <c r="Z61" s="972"/>
      <c r="AA61" s="972"/>
      <c r="AB61" s="501"/>
      <c r="AC61" s="973" t="str">
        <f>IFERROR(VLOOKUP(kombinace_2!$V$1,BX48:BY50,2,0),0)</f>
        <v>Bez modyfikacji</v>
      </c>
      <c r="AD61" s="973"/>
      <c r="AE61" s="973"/>
      <c r="AF61" s="973"/>
      <c r="AG61" s="973"/>
      <c r="AH61" s="973"/>
      <c r="AI61" s="973"/>
      <c r="AJ61" s="973"/>
      <c r="AK61" s="973"/>
      <c r="AL61" s="973"/>
      <c r="AM61" s="973"/>
      <c r="AN61" s="973"/>
      <c r="AO61" s="973"/>
      <c r="AP61" s="584"/>
      <c r="AQ61" s="584"/>
      <c r="AR61" s="992"/>
      <c r="BD61" s="395" t="s">
        <v>2803</v>
      </c>
      <c r="BE61" s="395" t="s">
        <v>493</v>
      </c>
      <c r="BM61" s="474" t="s">
        <v>529</v>
      </c>
      <c r="BN61" s="474" t="s">
        <v>529</v>
      </c>
      <c r="BS61" s="474" t="s">
        <v>2312</v>
      </c>
      <c r="BT61" s="474" t="s">
        <v>2599</v>
      </c>
      <c r="CA61" s="404" t="s">
        <v>2725</v>
      </c>
      <c r="CB61" s="404" t="s">
        <v>2617</v>
      </c>
    </row>
    <row r="62" spans="1:80" ht="16.2" customHeight="1" x14ac:dyDescent="0.3">
      <c r="A62" s="178"/>
      <c r="B62" s="584"/>
      <c r="C62" s="584"/>
      <c r="D62" s="178"/>
      <c r="E62" s="178"/>
      <c r="F62" s="178"/>
      <c r="G62" s="178"/>
      <c r="H62" s="178"/>
      <c r="I62" s="178"/>
      <c r="J62" s="178"/>
      <c r="K62" s="178"/>
      <c r="L62" s="178"/>
      <c r="M62" s="178"/>
      <c r="N62" s="178"/>
      <c r="O62" s="178"/>
      <c r="P62" s="178"/>
      <c r="Q62" s="178"/>
      <c r="R62" s="178"/>
      <c r="S62" s="989">
        <f>Ram_1!AR58</f>
        <v>0</v>
      </c>
      <c r="T62" s="178"/>
      <c r="U62" s="178"/>
      <c r="V62" s="178"/>
      <c r="W62" s="972" t="str">
        <f>'Translate &amp; Prices'!$O$542</f>
        <v>Rodzaj folii</v>
      </c>
      <c r="X62" s="972"/>
      <c r="Y62" s="972"/>
      <c r="Z62" s="972"/>
      <c r="AA62" s="972"/>
      <c r="AB62" s="501"/>
      <c r="AC62" s="973">
        <f>IFERROR(VLOOKUP(Ram_2!$H$24,CA48:CB62,2,0),0)</f>
        <v>0</v>
      </c>
      <c r="AD62" s="973"/>
      <c r="AE62" s="973"/>
      <c r="AF62" s="973"/>
      <c r="AG62" s="973"/>
      <c r="AH62" s="973"/>
      <c r="AI62" s="973"/>
      <c r="AJ62" s="973"/>
      <c r="AK62" s="973"/>
      <c r="AL62" s="973"/>
      <c r="AM62" s="973"/>
      <c r="AN62" s="973"/>
      <c r="AO62" s="973"/>
      <c r="AP62" s="584"/>
      <c r="AQ62" s="584"/>
      <c r="AR62" s="992"/>
      <c r="BD62" s="395" t="s">
        <v>1847</v>
      </c>
      <c r="BE62" s="395" t="s">
        <v>2348</v>
      </c>
      <c r="BM62" s="474" t="s">
        <v>2600</v>
      </c>
      <c r="BN62" s="474" t="s">
        <v>2600</v>
      </c>
      <c r="BS62" s="474" t="s">
        <v>600</v>
      </c>
      <c r="BT62" s="474" t="s">
        <v>523</v>
      </c>
      <c r="CA62" s="404" t="s">
        <v>2726</v>
      </c>
      <c r="CB62" s="404" t="s">
        <v>2618</v>
      </c>
    </row>
    <row r="63" spans="1:80" ht="16.2" customHeight="1" thickBot="1" x14ac:dyDescent="0.35">
      <c r="A63" s="178"/>
      <c r="B63" s="584"/>
      <c r="C63" s="584"/>
      <c r="D63" s="178"/>
      <c r="E63" s="178"/>
      <c r="F63" s="178"/>
      <c r="G63" s="178"/>
      <c r="H63" s="178"/>
      <c r="I63" s="178"/>
      <c r="J63" s="178"/>
      <c r="K63" s="178"/>
      <c r="L63" s="178"/>
      <c r="M63" s="178"/>
      <c r="N63" s="178"/>
      <c r="O63" s="178"/>
      <c r="P63" s="178"/>
      <c r="Q63" s="178"/>
      <c r="R63" s="178"/>
      <c r="S63" s="990">
        <f>Ram_1!AR59</f>
        <v>0</v>
      </c>
      <c r="T63" s="178"/>
      <c r="U63" s="178"/>
      <c r="V63" s="178"/>
      <c r="W63" s="972" t="str">
        <f>'Translate &amp; Prices'!$O$153</f>
        <v>Rodzaj szkła</v>
      </c>
      <c r="X63" s="972"/>
      <c r="Y63" s="972"/>
      <c r="Z63" s="972"/>
      <c r="AA63" s="972"/>
      <c r="AB63" s="501"/>
      <c r="AC63" s="973">
        <f>IFERROR(VLOOKUP(Ram_2!$H$25,kombinace_1!DT:DU,2,0),0)</f>
        <v>0</v>
      </c>
      <c r="AD63" s="973"/>
      <c r="AE63" s="973"/>
      <c r="AF63" s="973"/>
      <c r="AG63" s="973"/>
      <c r="AH63" s="973"/>
      <c r="AI63" s="973"/>
      <c r="AJ63" s="973"/>
      <c r="AK63" s="973"/>
      <c r="AL63" s="973"/>
      <c r="AM63" s="973"/>
      <c r="AN63" s="973"/>
      <c r="AO63" s="973"/>
      <c r="AP63" s="584"/>
      <c r="AQ63" s="584"/>
      <c r="AR63" s="992"/>
      <c r="BM63" s="474" t="s">
        <v>604</v>
      </c>
      <c r="BN63" s="474" t="s">
        <v>526</v>
      </c>
      <c r="BS63" s="474" t="s">
        <v>601</v>
      </c>
      <c r="BT63" s="474" t="s">
        <v>524</v>
      </c>
    </row>
    <row r="64" spans="1:80" ht="16.2" customHeight="1" x14ac:dyDescent="0.3">
      <c r="A64" s="178"/>
      <c r="B64" s="584"/>
      <c r="C64" s="584"/>
      <c r="D64" s="178"/>
      <c r="E64" s="178"/>
      <c r="F64" s="178"/>
      <c r="G64" s="178"/>
      <c r="H64" s="178"/>
      <c r="I64" s="178"/>
      <c r="J64" s="178"/>
      <c r="K64" s="178"/>
      <c r="L64" s="178"/>
      <c r="M64" s="178"/>
      <c r="N64" s="178"/>
      <c r="O64" s="178"/>
      <c r="P64" s="178"/>
      <c r="Q64" s="178"/>
      <c r="R64" s="178"/>
      <c r="S64" s="178"/>
      <c r="T64" s="178"/>
      <c r="U64" s="178"/>
      <c r="V64" s="178"/>
      <c r="W64" s="972" t="str">
        <f>'Translate &amp; Prices'!$O$529</f>
        <v>Rozstaw uchwytu (mm)</v>
      </c>
      <c r="X64" s="972"/>
      <c r="Y64" s="972"/>
      <c r="Z64" s="972"/>
      <c r="AA64" s="972"/>
      <c r="AB64" s="501"/>
      <c r="AC64" s="973">
        <f>Ram_2!$H$26</f>
        <v>0</v>
      </c>
      <c r="AD64" s="973"/>
      <c r="AE64" s="973"/>
      <c r="AF64" s="973"/>
      <c r="AG64" s="973"/>
      <c r="AH64" s="973"/>
      <c r="AI64" s="973"/>
      <c r="AJ64" s="973"/>
      <c r="AK64" s="973"/>
      <c r="AL64" s="973"/>
      <c r="AM64" s="973"/>
      <c r="AN64" s="973"/>
      <c r="AO64" s="973"/>
      <c r="AP64" s="584"/>
      <c r="AQ64" s="584"/>
      <c r="AR64" s="992"/>
      <c r="BM64" s="474" t="s">
        <v>605</v>
      </c>
      <c r="BN64" s="474" t="s">
        <v>527</v>
      </c>
      <c r="BS64" s="474" t="s">
        <v>2675</v>
      </c>
      <c r="BT64" s="474" t="s">
        <v>2309</v>
      </c>
    </row>
    <row r="65" spans="1:72" ht="16.2" customHeight="1" x14ac:dyDescent="0.3">
      <c r="A65" s="178"/>
      <c r="B65" s="584"/>
      <c r="C65" s="584"/>
      <c r="D65" s="178"/>
      <c r="E65" s="178"/>
      <c r="F65" s="178"/>
      <c r="G65" s="178"/>
      <c r="H65" s="178"/>
      <c r="I65" s="178"/>
      <c r="J65" s="178"/>
      <c r="K65" s="178"/>
      <c r="L65" s="178"/>
      <c r="M65" s="178"/>
      <c r="N65" s="178"/>
      <c r="O65" s="178"/>
      <c r="P65" s="178"/>
      <c r="Q65" s="178"/>
      <c r="R65" s="178"/>
      <c r="S65" s="178"/>
      <c r="T65" s="178"/>
      <c r="U65" s="178"/>
      <c r="V65" s="178"/>
      <c r="W65" s="972" t="str">
        <f>'Translate &amp; Prices'!$O$530</f>
        <v>Umieszczenie uchwytu</v>
      </c>
      <c r="X65" s="972"/>
      <c r="Y65" s="972"/>
      <c r="Z65" s="972"/>
      <c r="AA65" s="972"/>
      <c r="AB65" s="501"/>
      <c r="AC65" s="973">
        <f>IFERROR(VLOOKUP(Ram_2!$H$27,BS48:BT67,2,0),0)</f>
        <v>0</v>
      </c>
      <c r="AD65" s="973"/>
      <c r="AE65" s="973"/>
      <c r="AF65" s="973"/>
      <c r="AG65" s="973"/>
      <c r="AH65" s="973"/>
      <c r="AI65" s="973"/>
      <c r="AJ65" s="973"/>
      <c r="AK65" s="973"/>
      <c r="AL65" s="973"/>
      <c r="AM65" s="973"/>
      <c r="AN65" s="973"/>
      <c r="AO65" s="973"/>
      <c r="AP65" s="584"/>
      <c r="AQ65" s="584"/>
      <c r="AR65" s="992"/>
      <c r="BM65" s="474" t="s">
        <v>606</v>
      </c>
      <c r="BN65" s="474" t="s">
        <v>528</v>
      </c>
      <c r="BS65" s="474" t="s">
        <v>1921</v>
      </c>
      <c r="BT65" s="474" t="s">
        <v>2599</v>
      </c>
    </row>
    <row r="66" spans="1:72" ht="16.2" customHeight="1" x14ac:dyDescent="0.3">
      <c r="A66" s="178"/>
      <c r="B66" s="584"/>
      <c r="C66" s="584"/>
      <c r="D66" s="178"/>
      <c r="E66" s="178"/>
      <c r="F66" s="178"/>
      <c r="G66" s="178"/>
      <c r="H66" s="178"/>
      <c r="I66" s="178"/>
      <c r="J66" s="178"/>
      <c r="K66" s="178"/>
      <c r="L66" s="178"/>
      <c r="M66" s="178"/>
      <c r="N66" s="178"/>
      <c r="O66" s="178"/>
      <c r="P66" s="178"/>
      <c r="Q66" s="178"/>
      <c r="R66" s="178"/>
      <c r="S66" s="178"/>
      <c r="T66" s="178"/>
      <c r="U66" s="178"/>
      <c r="V66" s="178"/>
      <c r="W66" s="972" t="str">
        <f>('Translate &amp; Prices'!$O$154)&amp;" "&amp;"-"&amp;" "&amp;('Translate &amp; Prices'!$O$149)&amp;" "&amp;" "&amp;1</f>
        <v>Ilość sztuk - Ramka  1</v>
      </c>
      <c r="X66" s="972"/>
      <c r="Y66" s="972"/>
      <c r="Z66" s="972"/>
      <c r="AA66" s="972"/>
      <c r="AB66" s="501"/>
      <c r="AC66" s="973">
        <f>Ram_2!$H$28</f>
        <v>0</v>
      </c>
      <c r="AD66" s="973"/>
      <c r="AE66" s="973"/>
      <c r="AF66" s="973"/>
      <c r="AG66" s="973"/>
      <c r="AH66" s="973"/>
      <c r="AI66" s="973"/>
      <c r="AJ66" s="973"/>
      <c r="AK66" s="973"/>
      <c r="AL66" s="973"/>
      <c r="AM66" s="973"/>
      <c r="AN66" s="973"/>
      <c r="AO66" s="973"/>
      <c r="AP66" s="584"/>
      <c r="AQ66" s="584"/>
      <c r="AR66" s="992"/>
      <c r="BM66" s="474" t="s">
        <v>607</v>
      </c>
      <c r="BN66" s="474" t="s">
        <v>529</v>
      </c>
      <c r="BS66" s="474" t="s">
        <v>1880</v>
      </c>
      <c r="BT66" s="474" t="s">
        <v>523</v>
      </c>
    </row>
    <row r="67" spans="1:72" ht="16.2" customHeight="1" x14ac:dyDescent="0.3">
      <c r="A67" s="178"/>
      <c r="B67" s="584"/>
      <c r="C67" s="584"/>
      <c r="D67" s="178"/>
      <c r="E67" s="178"/>
      <c r="F67" s="178"/>
      <c r="G67" s="178"/>
      <c r="H67" s="178"/>
      <c r="I67" s="178"/>
      <c r="J67" s="178"/>
      <c r="K67" s="178"/>
      <c r="L67" s="178"/>
      <c r="M67" s="178"/>
      <c r="N67" s="178"/>
      <c r="O67" s="178"/>
      <c r="P67" s="178"/>
      <c r="Q67" s="178"/>
      <c r="R67" s="178"/>
      <c r="S67" s="178"/>
      <c r="T67" s="178"/>
      <c r="U67" s="178"/>
      <c r="V67" s="178"/>
      <c r="W67" s="1"/>
      <c r="X67" s="1"/>
      <c r="Y67" s="1"/>
      <c r="Z67" s="1"/>
      <c r="AA67" s="1"/>
      <c r="AB67" s="1"/>
      <c r="AC67" s="1"/>
      <c r="AD67" s="1"/>
      <c r="AE67" s="1"/>
      <c r="AF67" s="1"/>
      <c r="AG67" s="1"/>
      <c r="AH67" s="1"/>
      <c r="AI67" s="1"/>
      <c r="AJ67" s="1"/>
      <c r="AK67" s="1"/>
      <c r="AL67" s="1"/>
      <c r="AM67" s="1"/>
      <c r="AN67" s="1"/>
      <c r="AO67" s="1"/>
      <c r="AP67" s="584"/>
      <c r="AQ67" s="584"/>
      <c r="AR67" s="992"/>
      <c r="BM67" s="474" t="s">
        <v>2519</v>
      </c>
      <c r="BN67" s="474" t="s">
        <v>2600</v>
      </c>
      <c r="BS67" s="474" t="s">
        <v>1881</v>
      </c>
      <c r="BT67" s="474" t="s">
        <v>524</v>
      </c>
    </row>
    <row r="68" spans="1:72" ht="14.4" customHeight="1" x14ac:dyDescent="0.3">
      <c r="A68" s="178"/>
      <c r="B68" s="584"/>
      <c r="C68" s="584"/>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584"/>
      <c r="AB68" s="584"/>
      <c r="AC68" s="584"/>
      <c r="AD68" s="584"/>
      <c r="AG68" s="584"/>
      <c r="AH68" s="584"/>
      <c r="AI68" s="584"/>
      <c r="AJ68" s="584"/>
      <c r="AK68" s="584"/>
      <c r="AL68" s="584"/>
      <c r="AM68" s="584"/>
      <c r="AN68" s="584"/>
      <c r="AO68" s="584"/>
      <c r="AP68" s="584"/>
      <c r="AQ68" s="584"/>
      <c r="AR68" s="992"/>
      <c r="BM68" s="474" t="s">
        <v>2676</v>
      </c>
      <c r="BN68" s="474" t="s">
        <v>526</v>
      </c>
    </row>
    <row r="69" spans="1:72" ht="14.4" customHeight="1" x14ac:dyDescent="0.3">
      <c r="A69" s="178"/>
      <c r="B69" s="584"/>
      <c r="C69" s="584"/>
      <c r="D69" s="178"/>
      <c r="E69" s="178"/>
      <c r="F69" s="178"/>
      <c r="G69" s="178"/>
      <c r="H69" s="178"/>
      <c r="I69" s="178"/>
      <c r="J69" s="178"/>
      <c r="K69" s="178"/>
      <c r="L69" s="178"/>
      <c r="M69" s="178"/>
      <c r="N69" s="178"/>
      <c r="O69" s="178"/>
      <c r="P69" s="178"/>
      <c r="Q69" s="178"/>
      <c r="R69" s="178"/>
      <c r="S69" s="178"/>
      <c r="T69" s="178"/>
      <c r="U69" s="178"/>
      <c r="V69" s="178"/>
      <c r="W69" s="994" t="s">
        <v>3004</v>
      </c>
      <c r="X69" s="994"/>
      <c r="Y69" s="994"/>
      <c r="Z69" s="994"/>
      <c r="AA69" s="584"/>
      <c r="AB69" s="584"/>
      <c r="AC69" s="584"/>
      <c r="AD69" s="584"/>
      <c r="AE69" s="994" t="s">
        <v>3005</v>
      </c>
      <c r="AF69" s="994"/>
      <c r="AG69" s="994"/>
      <c r="AH69" s="994"/>
      <c r="AI69" s="584"/>
      <c r="AJ69" s="584"/>
      <c r="AK69" s="584"/>
      <c r="AL69" s="584"/>
      <c r="AM69" s="584"/>
      <c r="AN69" s="584"/>
      <c r="AO69" s="584"/>
      <c r="AP69" s="584"/>
      <c r="AQ69" s="584"/>
      <c r="AR69" s="992"/>
      <c r="BM69" s="474" t="s">
        <v>2677</v>
      </c>
      <c r="BN69" s="474" t="s">
        <v>527</v>
      </c>
    </row>
    <row r="70" spans="1:72" ht="14.4" customHeight="1" x14ac:dyDescent="0.3">
      <c r="A70" s="178"/>
      <c r="B70" s="584"/>
      <c r="C70" s="584"/>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584"/>
      <c r="AB70" s="584"/>
      <c r="AC70" s="584"/>
      <c r="AD70" s="584"/>
      <c r="AE70" s="974"/>
      <c r="AF70" s="975"/>
      <c r="AG70" s="975"/>
      <c r="AH70" s="975"/>
      <c r="AI70" s="975"/>
      <c r="AJ70" s="975"/>
      <c r="AK70" s="975"/>
      <c r="AL70" s="975"/>
      <c r="AM70" s="975"/>
      <c r="AN70" s="976"/>
      <c r="AO70" s="584"/>
      <c r="AP70" s="584"/>
      <c r="AQ70" s="584"/>
      <c r="AR70" s="992"/>
      <c r="BM70" s="474" t="s">
        <v>2831</v>
      </c>
      <c r="BN70" s="474" t="s">
        <v>528</v>
      </c>
    </row>
    <row r="71" spans="1:72" ht="14.4" customHeight="1" x14ac:dyDescent="0.3">
      <c r="A71" s="178"/>
      <c r="B71" s="584"/>
      <c r="C71" s="584"/>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584"/>
      <c r="AB71" s="584"/>
      <c r="AC71" s="584"/>
      <c r="AD71" s="584"/>
      <c r="AE71" s="977"/>
      <c r="AF71" s="978"/>
      <c r="AG71" s="978"/>
      <c r="AH71" s="978"/>
      <c r="AI71" s="978"/>
      <c r="AJ71" s="978"/>
      <c r="AK71" s="978"/>
      <c r="AL71" s="978"/>
      <c r="AM71" s="978"/>
      <c r="AN71" s="979"/>
      <c r="AO71" s="584"/>
      <c r="AP71" s="584"/>
      <c r="AQ71" s="584"/>
      <c r="AR71" s="992"/>
      <c r="BM71" s="474" t="s">
        <v>2832</v>
      </c>
      <c r="BN71" s="474" t="s">
        <v>529</v>
      </c>
    </row>
    <row r="72" spans="1:72" ht="14.4" customHeight="1" x14ac:dyDescent="0.3">
      <c r="A72" s="178"/>
      <c r="B72" s="584"/>
      <c r="C72" s="584"/>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584"/>
      <c r="AB72" s="584"/>
      <c r="AC72" s="584"/>
      <c r="AD72" s="584"/>
      <c r="AE72" s="977"/>
      <c r="AF72" s="978"/>
      <c r="AG72" s="978"/>
      <c r="AH72" s="978"/>
      <c r="AI72" s="978"/>
      <c r="AJ72" s="978"/>
      <c r="AK72" s="978"/>
      <c r="AL72" s="978"/>
      <c r="AM72" s="978"/>
      <c r="AN72" s="979"/>
      <c r="AO72" s="584"/>
      <c r="AP72" s="584"/>
      <c r="AQ72" s="584"/>
      <c r="AR72" s="992"/>
      <c r="BM72" s="474" t="s">
        <v>2098</v>
      </c>
      <c r="BN72" s="474" t="s">
        <v>2600</v>
      </c>
    </row>
    <row r="73" spans="1:72" ht="14.4" customHeight="1" x14ac:dyDescent="0.35">
      <c r="A73" s="178"/>
      <c r="B73" s="584"/>
      <c r="C73" s="584"/>
      <c r="D73" s="996">
        <f>IF(OR(Ram_2!$AC$25="x",Ram_2!$AJ$26="x",Ram_2!$AC$9="x",Ram_2!$AJ$7="x",Ram_2!$AB$16="x",Ram_2!$AM$23="x",Ram_2!$AN$19="x",Ram_2!$AD$10="x"),'Translate &amp; Prices'!$B$568,0)</f>
        <v>0</v>
      </c>
      <c r="E73" s="996"/>
      <c r="F73" s="996"/>
      <c r="G73" s="996"/>
      <c r="H73" s="996"/>
      <c r="I73" s="996"/>
      <c r="J73" s="996"/>
      <c r="K73" s="996"/>
      <c r="L73" s="996"/>
      <c r="M73" s="996"/>
      <c r="N73" s="996"/>
      <c r="O73" s="996"/>
      <c r="P73" s="996"/>
      <c r="Q73" s="178"/>
      <c r="R73" s="178"/>
      <c r="S73" s="178"/>
      <c r="T73" s="178"/>
      <c r="U73" s="178"/>
      <c r="V73" s="178"/>
      <c r="W73" s="178"/>
      <c r="X73" s="178"/>
      <c r="Y73" s="178"/>
      <c r="Z73" s="178"/>
      <c r="AA73" s="584"/>
      <c r="AB73" s="584"/>
      <c r="AC73" s="584"/>
      <c r="AD73" s="584"/>
      <c r="AE73" s="977"/>
      <c r="AF73" s="978"/>
      <c r="AG73" s="978"/>
      <c r="AH73" s="978"/>
      <c r="AI73" s="978"/>
      <c r="AJ73" s="978"/>
      <c r="AK73" s="978"/>
      <c r="AL73" s="978"/>
      <c r="AM73" s="978"/>
      <c r="AN73" s="979"/>
      <c r="AO73" s="584"/>
      <c r="AP73" s="584"/>
      <c r="AQ73" s="584"/>
      <c r="AR73" s="992"/>
    </row>
    <row r="74" spans="1:72" ht="14.4" customHeight="1" x14ac:dyDescent="0.3">
      <c r="A74" s="178"/>
      <c r="B74" s="584"/>
      <c r="C74" s="584"/>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584"/>
      <c r="AB74" s="584"/>
      <c r="AC74" s="584"/>
      <c r="AD74" s="584"/>
      <c r="AE74" s="977"/>
      <c r="AF74" s="978"/>
      <c r="AG74" s="978"/>
      <c r="AH74" s="978"/>
      <c r="AI74" s="978"/>
      <c r="AJ74" s="978"/>
      <c r="AK74" s="978"/>
      <c r="AL74" s="978"/>
      <c r="AM74" s="978"/>
      <c r="AN74" s="979"/>
      <c r="AO74" s="584"/>
      <c r="AP74" s="584"/>
      <c r="AQ74" s="584"/>
      <c r="AR74" s="992"/>
    </row>
    <row r="75" spans="1:72" ht="14.4" customHeight="1" thickBot="1" x14ac:dyDescent="0.35">
      <c r="A75" s="178"/>
      <c r="B75" s="584"/>
      <c r="C75" s="584"/>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584"/>
      <c r="AB75" s="584"/>
      <c r="AC75" s="584"/>
      <c r="AD75" s="584"/>
      <c r="AE75" s="977"/>
      <c r="AF75" s="978"/>
      <c r="AG75" s="978"/>
      <c r="AH75" s="978"/>
      <c r="AI75" s="978"/>
      <c r="AJ75" s="978"/>
      <c r="AK75" s="978"/>
      <c r="AL75" s="978"/>
      <c r="AM75" s="978"/>
      <c r="AN75" s="979"/>
      <c r="AO75" s="584"/>
      <c r="AP75" s="584"/>
      <c r="AQ75" s="584"/>
      <c r="AR75" s="992"/>
    </row>
    <row r="76" spans="1:72" ht="14.4" customHeight="1" thickBot="1" x14ac:dyDescent="0.35">
      <c r="A76" s="178"/>
      <c r="B76" s="584"/>
      <c r="C76" s="584"/>
      <c r="D76" s="178"/>
      <c r="E76" s="178"/>
      <c r="F76" s="178"/>
      <c r="G76" s="983" t="str">
        <f>'Translate &amp; Prices'!$O$155</f>
        <v>Szerokość</v>
      </c>
      <c r="H76" s="984">
        <f>Ram_1!AG66</f>
        <v>0</v>
      </c>
      <c r="I76" s="984">
        <f>Ram_1!AH66</f>
        <v>0</v>
      </c>
      <c r="J76" s="985">
        <f>Ram_2!AI30</f>
        <v>0</v>
      </c>
      <c r="K76" s="985">
        <f>Ram_1!AJ66</f>
        <v>0</v>
      </c>
      <c r="L76" s="986">
        <f>Ram_1!AK66</f>
        <v>0</v>
      </c>
      <c r="M76" s="178"/>
      <c r="N76" s="178"/>
      <c r="O76" s="178"/>
      <c r="P76" s="178"/>
      <c r="Q76" s="178"/>
      <c r="R76" s="178"/>
      <c r="S76" s="178"/>
      <c r="T76" s="178"/>
      <c r="U76" s="178"/>
      <c r="V76" s="178"/>
      <c r="W76" s="178"/>
      <c r="X76" s="178"/>
      <c r="Y76" s="178"/>
      <c r="Z76" s="178"/>
      <c r="AA76" s="584"/>
      <c r="AB76" s="584"/>
      <c r="AC76" s="584"/>
      <c r="AD76" s="584"/>
      <c r="AE76" s="977"/>
      <c r="AF76" s="978"/>
      <c r="AG76" s="978"/>
      <c r="AH76" s="978"/>
      <c r="AI76" s="978"/>
      <c r="AJ76" s="978"/>
      <c r="AK76" s="978"/>
      <c r="AL76" s="978"/>
      <c r="AM76" s="978"/>
      <c r="AN76" s="979"/>
      <c r="AO76" s="584"/>
      <c r="AP76" s="584"/>
      <c r="AQ76" s="584"/>
      <c r="AR76" s="992"/>
    </row>
    <row r="77" spans="1:72" ht="21" customHeight="1" x14ac:dyDescent="0.3">
      <c r="A77" s="178"/>
      <c r="B77" s="584"/>
      <c r="C77" s="584"/>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584"/>
      <c r="AB77" s="584"/>
      <c r="AC77" s="584"/>
      <c r="AD77" s="584"/>
      <c r="AE77" s="980"/>
      <c r="AF77" s="981"/>
      <c r="AG77" s="981"/>
      <c r="AH77" s="981"/>
      <c r="AI77" s="981"/>
      <c r="AJ77" s="981"/>
      <c r="AK77" s="981"/>
      <c r="AL77" s="981"/>
      <c r="AM77" s="981"/>
      <c r="AN77" s="982"/>
      <c r="AO77" s="584"/>
      <c r="AP77" s="584"/>
      <c r="AQ77" s="584"/>
      <c r="AR77" s="992"/>
    </row>
    <row r="78" spans="1:72" ht="14.4" customHeight="1" x14ac:dyDescent="0.3">
      <c r="A78" s="178"/>
      <c r="B78" s="584"/>
      <c r="C78" s="584"/>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584"/>
      <c r="AB78" s="584"/>
      <c r="AC78" s="584"/>
      <c r="AD78" s="584"/>
      <c r="AG78" s="584"/>
      <c r="AH78" s="584"/>
      <c r="AI78" s="584"/>
      <c r="AJ78" s="584"/>
      <c r="AK78" s="584"/>
      <c r="AL78" s="584"/>
      <c r="AM78" s="584"/>
      <c r="AN78" s="584"/>
      <c r="AO78" s="584"/>
      <c r="AP78" s="584"/>
      <c r="AQ78" s="584"/>
      <c r="AR78" s="992"/>
    </row>
    <row r="79" spans="1:72" ht="14.4" customHeight="1" x14ac:dyDescent="0.3">
      <c r="A79" s="178"/>
      <c r="B79" s="584"/>
      <c r="C79" s="584"/>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584"/>
      <c r="AB79" s="584"/>
      <c r="AC79" s="584"/>
      <c r="AD79" s="584"/>
      <c r="AG79" s="584"/>
      <c r="AH79" s="584"/>
      <c r="AI79" s="584"/>
      <c r="AJ79" s="584"/>
      <c r="AK79" s="584"/>
      <c r="AL79" s="584"/>
      <c r="AM79" s="584"/>
      <c r="AN79" s="584"/>
      <c r="AO79" s="584"/>
      <c r="AP79" s="584"/>
      <c r="AQ79" s="584"/>
      <c r="AR79" s="992"/>
    </row>
    <row r="80" spans="1:72" ht="14.4" customHeight="1" thickBot="1" x14ac:dyDescent="0.35">
      <c r="A80" s="589"/>
      <c r="B80" s="381"/>
      <c r="C80" s="381"/>
      <c r="D80" s="589"/>
      <c r="E80" s="589"/>
      <c r="F80" s="589"/>
      <c r="G80" s="589"/>
      <c r="H80" s="589"/>
      <c r="I80" s="589"/>
      <c r="J80" s="589"/>
      <c r="K80" s="589"/>
      <c r="L80" s="589"/>
      <c r="M80" s="589"/>
      <c r="N80" s="589"/>
      <c r="O80" s="589"/>
      <c r="P80" s="589"/>
      <c r="Q80" s="589"/>
      <c r="R80" s="589"/>
      <c r="S80" s="589"/>
      <c r="T80" s="589"/>
      <c r="U80" s="589"/>
      <c r="V80" s="589"/>
      <c r="W80" s="589"/>
      <c r="X80" s="589"/>
      <c r="Y80" s="589"/>
      <c r="Z80" s="589"/>
      <c r="AA80" s="381"/>
      <c r="AB80" s="381"/>
      <c r="AC80" s="381"/>
      <c r="AD80" s="381"/>
      <c r="AE80" s="590"/>
      <c r="AF80" s="591"/>
      <c r="AG80" s="381"/>
      <c r="AH80" s="381"/>
      <c r="AI80" s="381"/>
      <c r="AJ80" s="381"/>
      <c r="AK80" s="381"/>
      <c r="AL80" s="381"/>
      <c r="AM80" s="381"/>
      <c r="AN80" s="381"/>
      <c r="AO80" s="381"/>
      <c r="AP80" s="381"/>
      <c r="AQ80" s="381"/>
      <c r="AR80" s="381"/>
    </row>
    <row r="81" spans="1:80" ht="34.799999999999997" customHeight="1" thickBot="1" x14ac:dyDescent="0.35">
      <c r="A81" s="178"/>
      <c r="B81" s="584"/>
      <c r="C81" s="584"/>
      <c r="D81" s="178"/>
      <c r="E81" s="178"/>
      <c r="F81" s="178"/>
      <c r="G81" s="178"/>
      <c r="H81" s="178"/>
      <c r="I81" s="178"/>
      <c r="J81" s="585"/>
      <c r="K81" s="585"/>
      <c r="L81" s="585"/>
      <c r="M81" s="585"/>
      <c r="N81" s="585"/>
      <c r="O81" s="585"/>
      <c r="P81" s="585"/>
      <c r="Q81" s="585"/>
      <c r="R81" s="585"/>
      <c r="S81" s="585"/>
      <c r="T81" s="585"/>
      <c r="U81" s="585"/>
      <c r="V81" s="585"/>
      <c r="W81" s="971" t="str">
        <f>'Translate &amp; Prices'!$O$236</f>
        <v>Numer zamówienia</v>
      </c>
      <c r="X81" s="971"/>
      <c r="Y81" s="971"/>
      <c r="Z81" s="971"/>
      <c r="AA81" s="971"/>
      <c r="AB81" s="501"/>
      <c r="AC81" s="968"/>
      <c r="AD81" s="969"/>
      <c r="AE81" s="969"/>
      <c r="AF81" s="969"/>
      <c r="AG81" s="969"/>
      <c r="AH81" s="969"/>
      <c r="AI81" s="969"/>
      <c r="AJ81" s="969"/>
      <c r="AK81" s="969"/>
      <c r="AL81" s="969"/>
      <c r="AM81" s="969"/>
      <c r="AN81" s="969"/>
      <c r="AO81" s="970"/>
      <c r="AP81" s="584"/>
      <c r="AQ81" s="584"/>
      <c r="AR81" s="992" t="s">
        <v>3008</v>
      </c>
    </row>
    <row r="82" spans="1:80" ht="16.2" customHeight="1" x14ac:dyDescent="0.3">
      <c r="A82" s="178"/>
      <c r="B82" s="395"/>
      <c r="C82" s="395"/>
      <c r="W82" s="972" t="str">
        <f>'Translate &amp; Prices'!$O$522</f>
        <v>Połączenie 2 profili</v>
      </c>
      <c r="X82" s="972"/>
      <c r="Y82" s="972"/>
      <c r="Z82" s="972"/>
      <c r="AA82" s="972"/>
      <c r="AB82" s="501"/>
      <c r="AC82" s="991" t="str">
        <f>IF(kombinace_3!$H$1=TRUE,"Tak","Nie")</f>
        <v>Nie</v>
      </c>
      <c r="AD82" s="991"/>
      <c r="AE82" s="991"/>
      <c r="AF82" s="991"/>
      <c r="AG82" s="991"/>
      <c r="AH82" s="991"/>
      <c r="AI82" s="991"/>
      <c r="AJ82" s="991"/>
      <c r="AK82" s="991"/>
      <c r="AL82" s="991"/>
      <c r="AM82" s="991"/>
      <c r="AN82" s="991"/>
      <c r="AO82" s="991"/>
      <c r="AR82" s="992"/>
    </row>
    <row r="83" spans="1:80" ht="16.2" customHeight="1" x14ac:dyDescent="0.3">
      <c r="A83" s="178"/>
      <c r="B83" s="584"/>
      <c r="C83" s="584"/>
      <c r="D83" s="178"/>
      <c r="E83" s="178"/>
      <c r="F83" s="178"/>
      <c r="G83" s="178"/>
      <c r="H83" s="178"/>
      <c r="I83" s="178"/>
      <c r="J83" s="178"/>
      <c r="K83" s="178"/>
      <c r="L83" s="178"/>
      <c r="M83" s="178"/>
      <c r="N83" s="178"/>
      <c r="O83" s="178"/>
      <c r="P83" s="178"/>
      <c r="Q83" s="178"/>
      <c r="R83" s="178"/>
      <c r="S83" s="178"/>
      <c r="T83" s="178"/>
      <c r="U83" s="178"/>
      <c r="V83" s="178"/>
      <c r="W83" s="972" t="str">
        <f>'Translate &amp; Prices'!$O$152</f>
        <v>Rodzaj profilu</v>
      </c>
      <c r="X83" s="972"/>
      <c r="Y83" s="972"/>
      <c r="Z83" s="972"/>
      <c r="AA83" s="972"/>
      <c r="AB83" s="501"/>
      <c r="AC83" s="973">
        <f>IFERROR(VLOOKUP(Ram_3!$H$8,kombinace_1!DW:DY,2,0),0)</f>
        <v>0</v>
      </c>
      <c r="AD83" s="973"/>
      <c r="AE83" s="973"/>
      <c r="AF83" s="973"/>
      <c r="AG83" s="973"/>
      <c r="AH83" s="973"/>
      <c r="AI83" s="973"/>
      <c r="AJ83" s="973"/>
      <c r="AK83" s="973"/>
      <c r="AL83" s="973"/>
      <c r="AM83" s="973"/>
      <c r="AN83" s="973"/>
      <c r="AO83" s="973"/>
      <c r="AP83" s="584"/>
      <c r="AQ83" s="584"/>
      <c r="AR83" s="992"/>
    </row>
    <row r="84" spans="1:80" ht="16.2" customHeight="1" x14ac:dyDescent="0.3">
      <c r="A84" s="178"/>
      <c r="B84" s="584"/>
      <c r="C84" s="584"/>
      <c r="D84" s="178"/>
      <c r="E84" s="178"/>
      <c r="F84" s="178"/>
      <c r="G84" s="178"/>
      <c r="H84" s="178"/>
      <c r="I84" s="178"/>
      <c r="J84" s="178"/>
      <c r="K84" s="178"/>
      <c r="L84" s="178"/>
      <c r="M84" s="178"/>
      <c r="N84" s="178"/>
      <c r="O84" s="178"/>
      <c r="P84" s="178"/>
      <c r="Q84" s="178"/>
      <c r="R84" s="178"/>
      <c r="S84" s="178"/>
      <c r="T84" s="178"/>
      <c r="U84" s="178"/>
      <c r="V84" s="178"/>
      <c r="W84" s="972" t="str">
        <f>'Translate &amp; Prices'!$O$523</f>
        <v>Szprosy</v>
      </c>
      <c r="X84" s="972"/>
      <c r="Y84" s="972"/>
      <c r="Z84" s="972"/>
      <c r="AA84" s="972"/>
      <c r="AB84" s="501"/>
      <c r="AC84" s="973" t="str">
        <f>IFERROR(VLOOKUP(Ram_3!$AU$10,AU84:AV87,2,0),0)</f>
        <v>Nie</v>
      </c>
      <c r="AD84" s="973"/>
      <c r="AE84" s="973"/>
      <c r="AF84" s="973"/>
      <c r="AG84" s="973"/>
      <c r="AH84" s="973"/>
      <c r="AI84" s="973"/>
      <c r="AJ84" s="973"/>
      <c r="AK84" s="973"/>
      <c r="AL84" s="973"/>
      <c r="AM84" s="973"/>
      <c r="AN84" s="973"/>
      <c r="AO84" s="973"/>
      <c r="AP84" s="584"/>
      <c r="AQ84" s="584"/>
      <c r="AR84" s="992"/>
      <c r="AT84" s="474"/>
      <c r="AU84" s="404">
        <v>0</v>
      </c>
      <c r="AV84" s="404" t="str">
        <f>'Translate &amp; Prices'!$O$537</f>
        <v>Nie</v>
      </c>
      <c r="AY84" s="474"/>
      <c r="AZ84" s="404">
        <v>2</v>
      </c>
      <c r="BA84" s="404" t="str">
        <f>'Translate &amp; Prices'!$O$531</f>
        <v>Zawiasy</v>
      </c>
      <c r="BD84" s="395" t="s">
        <v>125</v>
      </c>
      <c r="BE84" s="395" t="s">
        <v>492</v>
      </c>
      <c r="BI84" s="395" t="s">
        <v>98</v>
      </c>
      <c r="BJ84" s="474" t="s">
        <v>486</v>
      </c>
      <c r="BM84" s="474" t="s">
        <v>245</v>
      </c>
      <c r="BN84" s="474" t="s">
        <v>526</v>
      </c>
      <c r="BS84" s="474" t="s">
        <v>251</v>
      </c>
      <c r="BT84" s="474" t="s">
        <v>2309</v>
      </c>
      <c r="BX84" s="474">
        <v>1</v>
      </c>
      <c r="BY84" s="474" t="str">
        <f>'Translate &amp; Prices'!$O$85</f>
        <v>Bez modyfikacji</v>
      </c>
      <c r="CA84" s="404" t="s">
        <v>2086</v>
      </c>
      <c r="CB84" s="404" t="s">
        <v>2616</v>
      </c>
    </row>
    <row r="85" spans="1:80" ht="16.2" customHeight="1" x14ac:dyDescent="0.3">
      <c r="A85" s="178"/>
      <c r="B85" s="584"/>
      <c r="C85" s="584"/>
      <c r="D85" s="178"/>
      <c r="E85" s="178"/>
      <c r="F85" s="178"/>
      <c r="G85" s="178"/>
      <c r="H85" s="178"/>
      <c r="I85" s="178"/>
      <c r="J85" s="178"/>
      <c r="K85" s="178"/>
      <c r="L85" s="178"/>
      <c r="M85" s="178"/>
      <c r="N85" s="178"/>
      <c r="O85" s="178"/>
      <c r="P85" s="178"/>
      <c r="Q85" s="178"/>
      <c r="R85" s="178"/>
      <c r="S85" s="178"/>
      <c r="T85" s="178"/>
      <c r="U85" s="178"/>
      <c r="V85" s="178"/>
      <c r="W85" s="592"/>
      <c r="X85" s="592"/>
      <c r="Y85" s="592"/>
      <c r="Z85" s="592"/>
      <c r="AA85" s="592"/>
      <c r="AB85" s="593"/>
      <c r="AC85" s="993" t="str">
        <f>'Translate &amp; Prices'!$O$538</f>
        <v>Poziomo</v>
      </c>
      <c r="AD85" s="993"/>
      <c r="AE85" s="993"/>
      <c r="AF85" s="993"/>
      <c r="AG85" s="993"/>
      <c r="AH85" s="993"/>
      <c r="AI85" s="993"/>
      <c r="AJ85" s="993" t="str">
        <f>'Translate &amp; Prices'!$O$539</f>
        <v>Pionowo</v>
      </c>
      <c r="AK85" s="993"/>
      <c r="AL85" s="993"/>
      <c r="AM85" s="993"/>
      <c r="AN85" s="993"/>
      <c r="AO85" s="993"/>
      <c r="AP85" s="584"/>
      <c r="AQ85" s="584"/>
      <c r="AR85" s="992"/>
      <c r="AT85" s="474"/>
      <c r="AU85" s="404">
        <v>1</v>
      </c>
      <c r="AV85" s="404" t="str">
        <f>'Translate &amp; Prices'!$O$538</f>
        <v>Poziomo</v>
      </c>
      <c r="AY85" s="474"/>
      <c r="AZ85" s="404">
        <v>3</v>
      </c>
      <c r="BA85" s="404" t="str">
        <f>'Translate &amp; Prices'!$O$532</f>
        <v>Podnośniki</v>
      </c>
      <c r="BD85" s="395" t="s">
        <v>126</v>
      </c>
      <c r="BE85" s="395" t="s">
        <v>493</v>
      </c>
      <c r="BI85" s="395" t="s">
        <v>97</v>
      </c>
      <c r="BJ85" s="474" t="s">
        <v>487</v>
      </c>
      <c r="BM85" s="474" t="s">
        <v>246</v>
      </c>
      <c r="BN85" s="474" t="s">
        <v>527</v>
      </c>
      <c r="BS85" s="474" t="s">
        <v>252</v>
      </c>
      <c r="BT85" s="474" t="s">
        <v>2599</v>
      </c>
      <c r="BX85" s="474">
        <v>2</v>
      </c>
      <c r="BY85" s="474" t="str">
        <f>'Translate &amp; Prices'!$O$83</f>
        <v>Hartowane</v>
      </c>
      <c r="CA85" s="404" t="s">
        <v>2089</v>
      </c>
      <c r="CB85" s="404" t="s">
        <v>2617</v>
      </c>
    </row>
    <row r="86" spans="1:80" ht="16.2" customHeight="1" x14ac:dyDescent="0.3">
      <c r="A86" s="178"/>
      <c r="B86" s="584"/>
      <c r="C86" s="584"/>
      <c r="D86" s="178"/>
      <c r="E86" s="178"/>
      <c r="F86" s="178"/>
      <c r="G86" s="178"/>
      <c r="H86" s="178"/>
      <c r="I86" s="178"/>
      <c r="J86" s="178"/>
      <c r="K86" s="178"/>
      <c r="L86" s="178"/>
      <c r="M86" s="178"/>
      <c r="N86" s="178"/>
      <c r="O86" s="178"/>
      <c r="P86" s="178"/>
      <c r="Q86" s="178"/>
      <c r="R86" s="178"/>
      <c r="S86" s="178"/>
      <c r="T86" s="178"/>
      <c r="U86" s="178"/>
      <c r="V86" s="178"/>
      <c r="W86" s="972" t="str">
        <f>('Translate &amp; Prices'!$O$523)&amp;" "&amp;"("&amp;'Translate &amp; Prices'!$O$154&amp;")"</f>
        <v>Szprosy (Ilość sztuk)</v>
      </c>
      <c r="X86" s="972"/>
      <c r="Y86" s="972"/>
      <c r="Z86" s="972"/>
      <c r="AA86" s="972"/>
      <c r="AB86" s="501"/>
      <c r="AC86" s="973">
        <f>Ram_3!$H$11</f>
        <v>0</v>
      </c>
      <c r="AD86" s="973"/>
      <c r="AE86" s="973"/>
      <c r="AF86" s="973"/>
      <c r="AG86" s="973"/>
      <c r="AH86" s="973"/>
      <c r="AI86" s="973"/>
      <c r="AJ86" s="973">
        <f>Ram_3!$M$11</f>
        <v>0</v>
      </c>
      <c r="AK86" s="973"/>
      <c r="AL86" s="973"/>
      <c r="AM86" s="973"/>
      <c r="AN86" s="973"/>
      <c r="AO86" s="973"/>
      <c r="AP86" s="584"/>
      <c r="AQ86" s="584"/>
      <c r="AR86" s="992"/>
      <c r="AT86" s="474"/>
      <c r="AU86" s="404">
        <v>2</v>
      </c>
      <c r="AV86" s="404" t="str">
        <f>'Translate &amp; Prices'!$O$539</f>
        <v>Pionowo</v>
      </c>
      <c r="BD86" s="395" t="s">
        <v>127</v>
      </c>
      <c r="BE86" s="395" t="s">
        <v>2348</v>
      </c>
      <c r="BI86" s="474" t="s">
        <v>427</v>
      </c>
      <c r="BJ86" s="474" t="s">
        <v>486</v>
      </c>
      <c r="BM86" s="474" t="s">
        <v>248</v>
      </c>
      <c r="BN86" s="474" t="s">
        <v>528</v>
      </c>
      <c r="BS86" s="474" t="s">
        <v>242</v>
      </c>
      <c r="BT86" s="474" t="s">
        <v>523</v>
      </c>
      <c r="BX86" s="474">
        <v>3</v>
      </c>
      <c r="BY86" s="474" t="str">
        <f>'Translate &amp; Prices'!$O$84</f>
        <v>Folia</v>
      </c>
      <c r="CA86" s="404" t="s">
        <v>2092</v>
      </c>
      <c r="CB86" s="404" t="s">
        <v>2618</v>
      </c>
    </row>
    <row r="87" spans="1:80" ht="16.2" customHeight="1" x14ac:dyDescent="0.3">
      <c r="A87" s="178"/>
      <c r="B87" s="584"/>
      <c r="C87" s="584"/>
      <c r="D87" s="178"/>
      <c r="E87" s="178"/>
      <c r="F87" s="178"/>
      <c r="G87" s="178"/>
      <c r="H87" s="178"/>
      <c r="I87" s="178"/>
      <c r="J87" s="178"/>
      <c r="K87" s="178"/>
      <c r="L87" s="178"/>
      <c r="M87" s="178"/>
      <c r="N87" s="178"/>
      <c r="O87" s="178"/>
      <c r="P87" s="178"/>
      <c r="Q87" s="178"/>
      <c r="R87" s="178"/>
      <c r="S87" s="178"/>
      <c r="T87" s="178"/>
      <c r="U87" s="178"/>
      <c r="V87" s="178"/>
      <c r="W87" s="972" t="str">
        <f>'Translate &amp; Prices'!$O$238</f>
        <v>Typ okucia</v>
      </c>
      <c r="X87" s="972"/>
      <c r="Y87" s="972"/>
      <c r="Z87" s="972"/>
      <c r="AA87" s="972"/>
      <c r="AB87" s="501"/>
      <c r="AC87" s="973">
        <f>IFERROR(VLOOKUP(Ram_3!$AU$9,AZ84:BA85,2,0),0)</f>
        <v>0</v>
      </c>
      <c r="AD87" s="973"/>
      <c r="AE87" s="973"/>
      <c r="AF87" s="973"/>
      <c r="AG87" s="973"/>
      <c r="AH87" s="973"/>
      <c r="AI87" s="973"/>
      <c r="AJ87" s="973"/>
      <c r="AK87" s="973"/>
      <c r="AL87" s="973"/>
      <c r="AM87" s="973"/>
      <c r="AN87" s="973"/>
      <c r="AO87" s="973"/>
      <c r="AP87" s="584"/>
      <c r="AQ87" s="584"/>
      <c r="AR87" s="992"/>
      <c r="AT87" s="474"/>
      <c r="AU87" s="404">
        <v>3</v>
      </c>
      <c r="AV87" s="404" t="str">
        <f>'Translate &amp; Prices'!$O$540</f>
        <v>Poziomo i pionowo</v>
      </c>
      <c r="BD87" s="395" t="s">
        <v>125</v>
      </c>
      <c r="BE87" s="395" t="s">
        <v>492</v>
      </c>
      <c r="BI87" s="474" t="s">
        <v>428</v>
      </c>
      <c r="BJ87" s="474" t="s">
        <v>487</v>
      </c>
      <c r="BM87" s="474" t="s">
        <v>247</v>
      </c>
      <c r="BN87" s="474" t="s">
        <v>529</v>
      </c>
      <c r="BS87" s="474" t="s">
        <v>241</v>
      </c>
      <c r="BT87" s="474" t="s">
        <v>524</v>
      </c>
      <c r="CA87" s="404" t="s">
        <v>2451</v>
      </c>
      <c r="CB87" s="404" t="s">
        <v>2616</v>
      </c>
    </row>
    <row r="88" spans="1:80" ht="16.2" customHeight="1" x14ac:dyDescent="0.3">
      <c r="A88" s="178"/>
      <c r="B88" s="584"/>
      <c r="C88" s="584"/>
      <c r="D88" s="178"/>
      <c r="E88" s="178"/>
      <c r="F88" s="178"/>
      <c r="G88" s="178"/>
      <c r="H88" s="178"/>
      <c r="I88" s="178"/>
      <c r="J88" s="178"/>
      <c r="K88" s="178"/>
      <c r="L88" s="178"/>
      <c r="M88" s="178"/>
      <c r="N88" s="178"/>
      <c r="O88" s="178"/>
      <c r="P88" s="178"/>
      <c r="Q88" s="178"/>
      <c r="R88" s="178"/>
      <c r="S88" s="178"/>
      <c r="T88" s="178"/>
      <c r="U88" s="178"/>
      <c r="V88" s="178"/>
      <c r="W88" s="972" t="str">
        <f>'Translate &amp; Prices'!$O$524</f>
        <v>Marka okucia</v>
      </c>
      <c r="X88" s="972"/>
      <c r="Y88" s="972"/>
      <c r="Z88" s="972"/>
      <c r="AA88" s="972"/>
      <c r="AB88" s="501"/>
      <c r="AC88" s="973">
        <f>Ram_3!$H$13</f>
        <v>0</v>
      </c>
      <c r="AD88" s="973"/>
      <c r="AE88" s="973"/>
      <c r="AF88" s="973"/>
      <c r="AG88" s="973"/>
      <c r="AH88" s="973"/>
      <c r="AI88" s="973"/>
      <c r="AJ88" s="973"/>
      <c r="AK88" s="973"/>
      <c r="AL88" s="973"/>
      <c r="AM88" s="973"/>
      <c r="AN88" s="973"/>
      <c r="AO88" s="973"/>
      <c r="AP88" s="584"/>
      <c r="AQ88" s="584"/>
      <c r="AR88" s="992"/>
      <c r="BD88" s="395" t="s">
        <v>126</v>
      </c>
      <c r="BE88" s="395" t="s">
        <v>493</v>
      </c>
      <c r="BI88" s="474" t="s">
        <v>747</v>
      </c>
      <c r="BJ88" s="474" t="s">
        <v>486</v>
      </c>
      <c r="BM88" s="474" t="s">
        <v>249</v>
      </c>
      <c r="BN88" s="474" t="s">
        <v>2600</v>
      </c>
      <c r="BS88" s="474" t="s">
        <v>2311</v>
      </c>
      <c r="BT88" s="474" t="s">
        <v>2309</v>
      </c>
      <c r="CA88" s="404" t="s">
        <v>2452</v>
      </c>
      <c r="CB88" s="404" t="s">
        <v>2617</v>
      </c>
    </row>
    <row r="89" spans="1:80" ht="16.2" customHeight="1" thickBot="1" x14ac:dyDescent="0.35">
      <c r="A89" s="178"/>
      <c r="B89" s="584"/>
      <c r="C89" s="584"/>
      <c r="D89" s="178"/>
      <c r="E89" s="178"/>
      <c r="F89" s="178"/>
      <c r="G89" s="178"/>
      <c r="H89" s="178"/>
      <c r="I89" s="178"/>
      <c r="J89" s="178"/>
      <c r="K89" s="178"/>
      <c r="L89" s="178"/>
      <c r="M89" s="178"/>
      <c r="N89" s="178"/>
      <c r="O89" s="178"/>
      <c r="P89" s="178"/>
      <c r="Q89" s="178"/>
      <c r="R89" s="178"/>
      <c r="S89" s="178"/>
      <c r="T89" s="178"/>
      <c r="U89" s="178"/>
      <c r="V89" s="178"/>
      <c r="W89" s="972" t="str">
        <f>'Translate &amp; Prices'!$O$526</f>
        <v>Nałożenie</v>
      </c>
      <c r="X89" s="972"/>
      <c r="Y89" s="972"/>
      <c r="Z89" s="972"/>
      <c r="AA89" s="972"/>
      <c r="AB89" s="501"/>
      <c r="AC89" s="973">
        <f>IFERROR(VLOOKUP(Ram_3!$H$14,BD84:BE98,2,0),0)</f>
        <v>0</v>
      </c>
      <c r="AD89" s="973"/>
      <c r="AE89" s="973"/>
      <c r="AF89" s="973"/>
      <c r="AG89" s="973"/>
      <c r="AH89" s="973"/>
      <c r="AI89" s="973"/>
      <c r="AJ89" s="973"/>
      <c r="AK89" s="973"/>
      <c r="AL89" s="973"/>
      <c r="AM89" s="973"/>
      <c r="AN89" s="973"/>
      <c r="AO89" s="973"/>
      <c r="AP89" s="584"/>
      <c r="AQ89" s="584"/>
      <c r="AR89" s="992"/>
      <c r="BD89" s="395" t="s">
        <v>127</v>
      </c>
      <c r="BE89" s="395" t="s">
        <v>2348</v>
      </c>
      <c r="BI89" s="474" t="s">
        <v>563</v>
      </c>
      <c r="BJ89" s="474" t="s">
        <v>487</v>
      </c>
      <c r="BM89" s="474" t="s">
        <v>461</v>
      </c>
      <c r="BN89" s="474" t="s">
        <v>526</v>
      </c>
      <c r="BS89" s="474" t="s">
        <v>252</v>
      </c>
      <c r="BT89" s="474" t="s">
        <v>2599</v>
      </c>
      <c r="CA89" s="404" t="s">
        <v>2453</v>
      </c>
      <c r="CB89" s="404" t="s">
        <v>2618</v>
      </c>
    </row>
    <row r="90" spans="1:80" ht="16.2" customHeight="1" x14ac:dyDescent="0.3">
      <c r="A90" s="178"/>
      <c r="B90" s="584"/>
      <c r="C90" s="584"/>
      <c r="D90" s="178"/>
      <c r="E90" s="178"/>
      <c r="F90" s="178"/>
      <c r="G90" s="178"/>
      <c r="H90" s="178"/>
      <c r="I90" s="178"/>
      <c r="J90" s="178"/>
      <c r="K90" s="178"/>
      <c r="L90" s="178"/>
      <c r="M90" s="178"/>
      <c r="N90" s="178"/>
      <c r="O90" s="178"/>
      <c r="P90" s="178"/>
      <c r="Q90" s="178"/>
      <c r="R90" s="178"/>
      <c r="S90" s="987">
        <f>Ram_3!AR14</f>
        <v>0</v>
      </c>
      <c r="T90" s="178"/>
      <c r="U90" s="178"/>
      <c r="V90" s="178"/>
      <c r="W90" s="972" t="str">
        <f>'Translate &amp; Prices'!$O$525</f>
        <v>Wariant okucia</v>
      </c>
      <c r="X90" s="972"/>
      <c r="Y90" s="972"/>
      <c r="Z90" s="972"/>
      <c r="AA90" s="972"/>
      <c r="AB90" s="501"/>
      <c r="AC90" s="973">
        <f>IFERROR(VLOOKUP(Ram_3!$H$15,kombinace_1!$ED:$EE,2,0),Ram_3!$H$15)</f>
        <v>0</v>
      </c>
      <c r="AD90" s="973"/>
      <c r="AE90" s="973"/>
      <c r="AF90" s="973"/>
      <c r="AG90" s="973"/>
      <c r="AH90" s="973"/>
      <c r="AI90" s="973"/>
      <c r="AJ90" s="973"/>
      <c r="AK90" s="973"/>
      <c r="AL90" s="973"/>
      <c r="AM90" s="973"/>
      <c r="AN90" s="973"/>
      <c r="AO90" s="973"/>
      <c r="AP90" s="584"/>
      <c r="AQ90" s="584"/>
      <c r="AR90" s="992"/>
      <c r="BD90" s="395" t="s">
        <v>492</v>
      </c>
      <c r="BE90" s="395" t="s">
        <v>492</v>
      </c>
      <c r="BI90" s="474" t="s">
        <v>2667</v>
      </c>
      <c r="BJ90" s="474" t="s">
        <v>486</v>
      </c>
      <c r="BM90" s="474" t="s">
        <v>462</v>
      </c>
      <c r="BN90" s="474" t="s">
        <v>527</v>
      </c>
      <c r="BS90" s="474" t="s">
        <v>457</v>
      </c>
      <c r="BT90" s="474" t="s">
        <v>523</v>
      </c>
      <c r="CA90" s="404" t="s">
        <v>2616</v>
      </c>
      <c r="CB90" s="404" t="s">
        <v>2616</v>
      </c>
    </row>
    <row r="91" spans="1:80" ht="16.2" customHeight="1" x14ac:dyDescent="0.3">
      <c r="A91" s="178"/>
      <c r="B91" s="584"/>
      <c r="C91" s="584"/>
      <c r="D91" s="178"/>
      <c r="E91" s="178"/>
      <c r="F91" s="178"/>
      <c r="G91" s="178"/>
      <c r="H91" s="178"/>
      <c r="I91" s="178"/>
      <c r="J91" s="178"/>
      <c r="K91" s="178"/>
      <c r="L91" s="178"/>
      <c r="M91" s="178"/>
      <c r="N91" s="178"/>
      <c r="O91" s="178"/>
      <c r="P91" s="178"/>
      <c r="Q91" s="178"/>
      <c r="R91" s="178"/>
      <c r="S91" s="988">
        <f>Ram_1!AR87</f>
        <v>0</v>
      </c>
      <c r="T91" s="178"/>
      <c r="U91" s="178"/>
      <c r="V91" s="178"/>
      <c r="W91" s="972" t="str">
        <f>'Translate &amp; Prices'!$O$198</f>
        <v>Wybierz pozycję ramki</v>
      </c>
      <c r="X91" s="972"/>
      <c r="Y91" s="972"/>
      <c r="Z91" s="972"/>
      <c r="AA91" s="972"/>
      <c r="AB91" s="973">
        <f>IFERROR(VLOOKUP(Ram_3!$F$16,BI84:BJ93,2,0),0)</f>
        <v>0</v>
      </c>
      <c r="AC91" s="973"/>
      <c r="AD91" s="973"/>
      <c r="AE91" s="973"/>
      <c r="AF91" s="973"/>
      <c r="AG91" s="972" t="str">
        <f>'Translate &amp; Prices'!$O$212</f>
        <v>Rodzaj drugiej ramki</v>
      </c>
      <c r="AH91" s="972"/>
      <c r="AI91" s="972"/>
      <c r="AJ91" s="972"/>
      <c r="AK91" s="972"/>
      <c r="AL91" s="973">
        <f>IFERROR(VLOOKUP(Ram_3!$N$16,BM84:BN108,2,0),0)</f>
        <v>0</v>
      </c>
      <c r="AM91" s="973"/>
      <c r="AN91" s="973"/>
      <c r="AO91" s="973"/>
      <c r="AP91" s="1"/>
      <c r="AQ91" s="1"/>
      <c r="AR91" s="992"/>
      <c r="AS91" s="474"/>
      <c r="AT91" s="474"/>
      <c r="BD91" s="395" t="s">
        <v>493</v>
      </c>
      <c r="BE91" s="395" t="s">
        <v>493</v>
      </c>
      <c r="BI91" s="474" t="s">
        <v>2668</v>
      </c>
      <c r="BJ91" s="474" t="s">
        <v>487</v>
      </c>
      <c r="BM91" s="474" t="s">
        <v>463</v>
      </c>
      <c r="BN91" s="474" t="s">
        <v>528</v>
      </c>
      <c r="BS91" s="474" t="s">
        <v>458</v>
      </c>
      <c r="BT91" s="474" t="s">
        <v>524</v>
      </c>
      <c r="CA91" s="404" t="s">
        <v>2617</v>
      </c>
      <c r="CB91" s="404" t="s">
        <v>2617</v>
      </c>
    </row>
    <row r="92" spans="1:80" ht="16.2" customHeight="1" x14ac:dyDescent="0.3">
      <c r="A92" s="178"/>
      <c r="B92" s="584"/>
      <c r="C92" s="584"/>
      <c r="D92" s="178"/>
      <c r="E92" s="178"/>
      <c r="F92" s="178"/>
      <c r="G92" s="178"/>
      <c r="H92" s="178"/>
      <c r="I92" s="178"/>
      <c r="J92" s="178"/>
      <c r="K92" s="178"/>
      <c r="L92" s="178"/>
      <c r="M92" s="178"/>
      <c r="N92" s="178"/>
      <c r="O92" s="178"/>
      <c r="P92" s="178"/>
      <c r="Q92" s="178"/>
      <c r="R92" s="178"/>
      <c r="S92" s="988">
        <f>Ram_1!AR88</f>
        <v>0</v>
      </c>
      <c r="T92" s="178"/>
      <c r="U92" s="178"/>
      <c r="V92" s="178"/>
      <c r="W92" s="972" t="str">
        <f>'Translate &amp; Prices'!$O$218</f>
        <v>Umieszczenie zawiasu</v>
      </c>
      <c r="X92" s="972"/>
      <c r="Y92" s="972"/>
      <c r="Z92" s="972"/>
      <c r="AA92" s="972"/>
      <c r="AB92" s="501"/>
      <c r="AC92" s="973">
        <f>IFERROR(VLOOKUP(Ram_3!$H$17,BS84:BT103,2,0),0)</f>
        <v>0</v>
      </c>
      <c r="AD92" s="973"/>
      <c r="AE92" s="973"/>
      <c r="AF92" s="973"/>
      <c r="AG92" s="973"/>
      <c r="AH92" s="973"/>
      <c r="AI92" s="973"/>
      <c r="AJ92" s="973"/>
      <c r="AK92" s="973"/>
      <c r="AL92" s="973"/>
      <c r="AM92" s="973"/>
      <c r="AN92" s="973"/>
      <c r="AO92" s="973"/>
      <c r="AP92" s="584"/>
      <c r="AQ92" s="584"/>
      <c r="AR92" s="992"/>
      <c r="BD92" s="395" t="s">
        <v>2348</v>
      </c>
      <c r="BE92" s="395" t="s">
        <v>2348</v>
      </c>
      <c r="BI92" s="474" t="s">
        <v>486</v>
      </c>
      <c r="BJ92" s="474" t="s">
        <v>486</v>
      </c>
      <c r="BM92" s="474" t="s">
        <v>464</v>
      </c>
      <c r="BN92" s="474" t="s">
        <v>529</v>
      </c>
      <c r="BS92" s="474" t="s">
        <v>2309</v>
      </c>
      <c r="BT92" s="474" t="s">
        <v>2309</v>
      </c>
      <c r="CA92" s="404" t="s">
        <v>2618</v>
      </c>
      <c r="CB92" s="404" t="s">
        <v>2618</v>
      </c>
    </row>
    <row r="93" spans="1:80" ht="16.2" customHeight="1" x14ac:dyDescent="0.3">
      <c r="A93" s="178"/>
      <c r="B93" s="584"/>
      <c r="C93" s="584"/>
      <c r="D93" s="178"/>
      <c r="E93" s="178"/>
      <c r="F93" s="178"/>
      <c r="G93" s="178"/>
      <c r="H93" s="178"/>
      <c r="I93" s="178"/>
      <c r="J93" s="178"/>
      <c r="K93" s="178"/>
      <c r="L93" s="178"/>
      <c r="M93" s="178"/>
      <c r="N93" s="178"/>
      <c r="O93" s="178"/>
      <c r="P93" s="178"/>
      <c r="Q93" s="178"/>
      <c r="R93" s="178"/>
      <c r="S93" s="988">
        <f>Ram_1!AR89</f>
        <v>0</v>
      </c>
      <c r="T93" s="178"/>
      <c r="U93" s="178"/>
      <c r="V93" s="178"/>
      <c r="W93" s="972" t="str">
        <f>'Translate &amp; Prices'!$O$527</f>
        <v>Zawiasy do podnośników</v>
      </c>
      <c r="X93" s="972"/>
      <c r="Y93" s="972"/>
      <c r="Z93" s="972"/>
      <c r="AA93" s="972"/>
      <c r="AB93" s="501"/>
      <c r="AC93" s="973">
        <f>Ram_3!$H$18</f>
        <v>0</v>
      </c>
      <c r="AD93" s="973"/>
      <c r="AE93" s="973"/>
      <c r="AF93" s="973"/>
      <c r="AG93" s="973"/>
      <c r="AH93" s="973"/>
      <c r="AI93" s="973"/>
      <c r="AJ93" s="973"/>
      <c r="AK93" s="973"/>
      <c r="AL93" s="973"/>
      <c r="AM93" s="973"/>
      <c r="AN93" s="973"/>
      <c r="AO93" s="973"/>
      <c r="AP93" s="584"/>
      <c r="AQ93" s="584"/>
      <c r="AR93" s="992"/>
      <c r="BD93" s="395" t="s">
        <v>568</v>
      </c>
      <c r="BE93" s="395" t="s">
        <v>492</v>
      </c>
      <c r="BI93" s="474" t="s">
        <v>487</v>
      </c>
      <c r="BJ93" s="474" t="s">
        <v>487</v>
      </c>
      <c r="BM93" s="474" t="s">
        <v>465</v>
      </c>
      <c r="BN93" s="474" t="s">
        <v>2600</v>
      </c>
      <c r="BS93" s="474" t="s">
        <v>2599</v>
      </c>
      <c r="BT93" s="474" t="s">
        <v>2599</v>
      </c>
      <c r="CA93" s="404" t="s">
        <v>2454</v>
      </c>
      <c r="CB93" s="404" t="s">
        <v>2616</v>
      </c>
    </row>
    <row r="94" spans="1:80" ht="16.2" customHeight="1" x14ac:dyDescent="0.3">
      <c r="A94" s="178"/>
      <c r="B94" s="584"/>
      <c r="C94" s="584"/>
      <c r="D94" s="178"/>
      <c r="E94" s="178"/>
      <c r="F94" s="178"/>
      <c r="G94" s="178"/>
      <c r="H94" s="178"/>
      <c r="I94" s="178"/>
      <c r="J94" s="178"/>
      <c r="K94" s="178"/>
      <c r="L94" s="178"/>
      <c r="M94" s="178"/>
      <c r="N94" s="178"/>
      <c r="O94" s="178"/>
      <c r="P94" s="178"/>
      <c r="Q94" s="178"/>
      <c r="R94" s="178"/>
      <c r="S94" s="988">
        <f>Ram_1!AR90</f>
        <v>0</v>
      </c>
      <c r="T94" s="178"/>
      <c r="U94" s="178"/>
      <c r="V94" s="178"/>
      <c r="W94" s="972" t="str">
        <f>'Translate &amp; Prices'!$O$203</f>
        <v>Ilość zawiasów na 1 ramkę</v>
      </c>
      <c r="X94" s="972"/>
      <c r="Y94" s="972"/>
      <c r="Z94" s="972"/>
      <c r="AA94" s="972"/>
      <c r="AB94" s="501"/>
      <c r="AC94" s="973">
        <f>Ram_3!$H$19</f>
        <v>0</v>
      </c>
      <c r="AD94" s="973"/>
      <c r="AE94" s="973"/>
      <c r="AF94" s="973"/>
      <c r="AG94" s="973"/>
      <c r="AH94" s="973"/>
      <c r="AI94" s="973"/>
      <c r="AJ94" s="973"/>
      <c r="AK94" s="973"/>
      <c r="AL94" s="973"/>
      <c r="AM94" s="973"/>
      <c r="AN94" s="973"/>
      <c r="AO94" s="973"/>
      <c r="AP94" s="584"/>
      <c r="AQ94" s="584"/>
      <c r="AR94" s="992"/>
      <c r="BD94" s="395" t="s">
        <v>569</v>
      </c>
      <c r="BE94" s="395" t="s">
        <v>493</v>
      </c>
      <c r="BM94" s="474" t="s">
        <v>526</v>
      </c>
      <c r="BN94" s="474" t="s">
        <v>526</v>
      </c>
      <c r="BS94" s="474" t="s">
        <v>523</v>
      </c>
      <c r="BT94" s="474" t="s">
        <v>523</v>
      </c>
      <c r="CA94" s="404" t="s">
        <v>2563</v>
      </c>
      <c r="CB94" s="404" t="s">
        <v>2617</v>
      </c>
    </row>
    <row r="95" spans="1:80" ht="16.2" customHeight="1" x14ac:dyDescent="0.3">
      <c r="A95" s="178"/>
      <c r="B95" s="584"/>
      <c r="C95" s="584"/>
      <c r="D95" s="178"/>
      <c r="E95" s="178"/>
      <c r="F95" s="178"/>
      <c r="G95" s="178"/>
      <c r="H95" s="178"/>
      <c r="I95" s="178"/>
      <c r="J95" s="178"/>
      <c r="K95" s="178"/>
      <c r="L95" s="178"/>
      <c r="M95" s="178"/>
      <c r="N95" s="178"/>
      <c r="O95" s="178"/>
      <c r="P95" s="178"/>
      <c r="Q95" s="178"/>
      <c r="R95" s="178"/>
      <c r="S95" s="989" t="str">
        <f>'Translate &amp; Prices'!$O$156</f>
        <v>Wysokość</v>
      </c>
      <c r="T95" s="178"/>
      <c r="U95" s="178"/>
      <c r="V95" s="178"/>
      <c r="W95" s="972" t="e">
        <f>'Translate &amp; Prices'!$O$222&amp;" "&amp;VLOOKUP(Ram_3!H17,kombinace_1!$BY$32:$CC$35,5,0)</f>
        <v>#N/A</v>
      </c>
      <c r="X95" s="972"/>
      <c r="Y95" s="972"/>
      <c r="Z95" s="972"/>
      <c r="AA95" s="972"/>
      <c r="AB95" s="973">
        <f>Ram_3!$F$20</f>
        <v>100</v>
      </c>
      <c r="AC95" s="973"/>
      <c r="AD95" s="973"/>
      <c r="AE95" s="973"/>
      <c r="AF95" s="973"/>
      <c r="AG95" s="972" t="e">
        <f>'Translate &amp; Prices'!$O$222&amp;" "&amp;VLOOKUP(Ram_3!H17,kombinace_1!$BY$32:$CD$35,6,0)</f>
        <v>#N/A</v>
      </c>
      <c r="AH95" s="972"/>
      <c r="AI95" s="972"/>
      <c r="AJ95" s="972"/>
      <c r="AK95" s="972"/>
      <c r="AL95" s="973">
        <f>Ram_3!$N$20</f>
        <v>100</v>
      </c>
      <c r="AM95" s="973"/>
      <c r="AN95" s="973"/>
      <c r="AO95" s="973"/>
      <c r="AP95" s="584"/>
      <c r="AQ95" s="584"/>
      <c r="AR95" s="992"/>
      <c r="BD95" s="395" t="s">
        <v>570</v>
      </c>
      <c r="BE95" s="395" t="s">
        <v>2348</v>
      </c>
      <c r="BM95" s="474" t="s">
        <v>527</v>
      </c>
      <c r="BN95" s="474" t="s">
        <v>527</v>
      </c>
      <c r="BS95" s="474" t="s">
        <v>524</v>
      </c>
      <c r="BT95" s="474" t="s">
        <v>524</v>
      </c>
      <c r="CA95" s="404" t="s">
        <v>2455</v>
      </c>
      <c r="CB95" s="404" t="s">
        <v>2618</v>
      </c>
    </row>
    <row r="96" spans="1:80" ht="16.2" customHeight="1" x14ac:dyDescent="0.3">
      <c r="A96" s="178"/>
      <c r="B96" s="584"/>
      <c r="C96" s="584"/>
      <c r="D96" s="178"/>
      <c r="E96" s="178"/>
      <c r="F96" s="178"/>
      <c r="G96" s="178"/>
      <c r="H96" s="178"/>
      <c r="I96" s="178"/>
      <c r="J96" s="178"/>
      <c r="K96" s="178"/>
      <c r="L96" s="178"/>
      <c r="M96" s="178"/>
      <c r="N96" s="178"/>
      <c r="O96" s="178"/>
      <c r="P96" s="178"/>
      <c r="Q96" s="178"/>
      <c r="R96" s="178"/>
      <c r="S96" s="989">
        <f>Ram_1!AR92</f>
        <v>0</v>
      </c>
      <c r="T96" s="178"/>
      <c r="U96" s="178"/>
      <c r="V96" s="178"/>
      <c r="W96" s="592"/>
      <c r="X96" s="592"/>
      <c r="Y96" s="592"/>
      <c r="Z96" s="592"/>
      <c r="AA96" s="592"/>
      <c r="AB96" s="593"/>
      <c r="AC96" s="593"/>
      <c r="AD96" s="593"/>
      <c r="AE96" s="594"/>
      <c r="AF96" s="594"/>
      <c r="AG96" s="594"/>
      <c r="AH96" s="594"/>
      <c r="AI96" s="594"/>
      <c r="AJ96" s="593"/>
      <c r="AK96" s="593"/>
      <c r="AL96" s="593"/>
      <c r="AM96" s="593"/>
      <c r="AN96" s="593"/>
      <c r="AO96" s="593"/>
      <c r="AP96" s="584"/>
      <c r="AQ96" s="584"/>
      <c r="AR96" s="992"/>
      <c r="BD96" s="395" t="s">
        <v>2970</v>
      </c>
      <c r="BE96" s="395" t="s">
        <v>492</v>
      </c>
      <c r="BM96" s="474" t="s">
        <v>528</v>
      </c>
      <c r="BN96" s="474" t="s">
        <v>528</v>
      </c>
      <c r="BS96" s="474" t="s">
        <v>2310</v>
      </c>
      <c r="BT96" s="474" t="s">
        <v>2309</v>
      </c>
      <c r="CA96" s="404" t="s">
        <v>2724</v>
      </c>
      <c r="CB96" s="404" t="s">
        <v>2616</v>
      </c>
    </row>
    <row r="97" spans="1:80" ht="16.2" customHeight="1" x14ac:dyDescent="0.3">
      <c r="A97" s="178"/>
      <c r="B97" s="584"/>
      <c r="C97" s="584"/>
      <c r="D97" s="178"/>
      <c r="E97" s="178"/>
      <c r="F97" s="178"/>
      <c r="G97" s="178"/>
      <c r="H97" s="178"/>
      <c r="I97" s="178"/>
      <c r="J97" s="178"/>
      <c r="K97" s="178"/>
      <c r="L97" s="178"/>
      <c r="M97" s="178"/>
      <c r="N97" s="178"/>
      <c r="O97" s="178"/>
      <c r="P97" s="178"/>
      <c r="Q97" s="178"/>
      <c r="R97" s="178"/>
      <c r="S97" s="989">
        <f>Ram_1!AR93</f>
        <v>0</v>
      </c>
      <c r="T97" s="178"/>
      <c r="U97" s="178"/>
      <c r="V97" s="178"/>
      <c r="W97" s="972" t="str">
        <f>'Translate &amp; Prices'!$O$153</f>
        <v>Rodzaj szkła</v>
      </c>
      <c r="X97" s="972"/>
      <c r="Y97" s="972"/>
      <c r="Z97" s="972"/>
      <c r="AA97" s="972"/>
      <c r="AB97" s="501"/>
      <c r="AC97" s="973" t="str">
        <f>IFERROR(VLOOKUP(kombinace_3!$V$1,BX84:BY86,2,0),0)</f>
        <v>Bez modyfikacji</v>
      </c>
      <c r="AD97" s="973"/>
      <c r="AE97" s="973"/>
      <c r="AF97" s="973"/>
      <c r="AG97" s="973"/>
      <c r="AH97" s="973"/>
      <c r="AI97" s="973"/>
      <c r="AJ97" s="973"/>
      <c r="AK97" s="973"/>
      <c r="AL97" s="973"/>
      <c r="AM97" s="973"/>
      <c r="AN97" s="973"/>
      <c r="AO97" s="973"/>
      <c r="AP97" s="584"/>
      <c r="AQ97" s="584"/>
      <c r="AR97" s="992"/>
      <c r="BD97" s="395" t="s">
        <v>2803</v>
      </c>
      <c r="BE97" s="395" t="s">
        <v>493</v>
      </c>
      <c r="BM97" s="474" t="s">
        <v>529</v>
      </c>
      <c r="BN97" s="474" t="s">
        <v>529</v>
      </c>
      <c r="BS97" s="474" t="s">
        <v>2312</v>
      </c>
      <c r="BT97" s="474" t="s">
        <v>2599</v>
      </c>
      <c r="CA97" s="404" t="s">
        <v>2725</v>
      </c>
      <c r="CB97" s="404" t="s">
        <v>2617</v>
      </c>
    </row>
    <row r="98" spans="1:80" ht="16.2" customHeight="1" x14ac:dyDescent="0.3">
      <c r="A98" s="178"/>
      <c r="B98" s="584"/>
      <c r="C98" s="584"/>
      <c r="D98" s="178"/>
      <c r="E98" s="178"/>
      <c r="F98" s="178"/>
      <c r="G98" s="178"/>
      <c r="H98" s="178"/>
      <c r="I98" s="178"/>
      <c r="J98" s="178"/>
      <c r="K98" s="178"/>
      <c r="L98" s="178"/>
      <c r="M98" s="178"/>
      <c r="N98" s="178"/>
      <c r="O98" s="178"/>
      <c r="P98" s="178"/>
      <c r="Q98" s="178"/>
      <c r="R98" s="178"/>
      <c r="S98" s="989">
        <f>Ram_1!AR94</f>
        <v>0</v>
      </c>
      <c r="T98" s="178"/>
      <c r="U98" s="178"/>
      <c r="V98" s="178"/>
      <c r="W98" s="972" t="str">
        <f>'Translate &amp; Prices'!$O$542</f>
        <v>Rodzaj folii</v>
      </c>
      <c r="X98" s="972"/>
      <c r="Y98" s="972"/>
      <c r="Z98" s="972"/>
      <c r="AA98" s="972"/>
      <c r="AB98" s="501"/>
      <c r="AC98" s="973">
        <f>IFERROR(VLOOKUP(Ram_3!$H$24,CA84:CB98,2,0),0)</f>
        <v>0</v>
      </c>
      <c r="AD98" s="973"/>
      <c r="AE98" s="973"/>
      <c r="AF98" s="973"/>
      <c r="AG98" s="973"/>
      <c r="AH98" s="973"/>
      <c r="AI98" s="973"/>
      <c r="AJ98" s="973"/>
      <c r="AK98" s="973"/>
      <c r="AL98" s="973"/>
      <c r="AM98" s="973"/>
      <c r="AN98" s="973"/>
      <c r="AO98" s="973"/>
      <c r="AP98" s="584"/>
      <c r="AQ98" s="584"/>
      <c r="AR98" s="992"/>
      <c r="BD98" s="395" t="s">
        <v>1847</v>
      </c>
      <c r="BE98" s="395" t="s">
        <v>2348</v>
      </c>
      <c r="BM98" s="474" t="s">
        <v>2600</v>
      </c>
      <c r="BN98" s="474" t="s">
        <v>2600</v>
      </c>
      <c r="BS98" s="474" t="s">
        <v>600</v>
      </c>
      <c r="BT98" s="474" t="s">
        <v>523</v>
      </c>
      <c r="CA98" s="404" t="s">
        <v>2726</v>
      </c>
      <c r="CB98" s="404" t="s">
        <v>2618</v>
      </c>
    </row>
    <row r="99" spans="1:80" ht="16.2" customHeight="1" thickBot="1" x14ac:dyDescent="0.35">
      <c r="A99" s="178"/>
      <c r="B99" s="584"/>
      <c r="C99" s="584"/>
      <c r="D99" s="178"/>
      <c r="E99" s="178"/>
      <c r="F99" s="178"/>
      <c r="G99" s="178"/>
      <c r="H99" s="178"/>
      <c r="I99" s="178"/>
      <c r="J99" s="178"/>
      <c r="K99" s="178"/>
      <c r="L99" s="178"/>
      <c r="M99" s="178"/>
      <c r="N99" s="178"/>
      <c r="O99" s="178"/>
      <c r="P99" s="178"/>
      <c r="Q99" s="178"/>
      <c r="R99" s="178"/>
      <c r="S99" s="990">
        <f>Ram_1!AR95</f>
        <v>0</v>
      </c>
      <c r="T99" s="178"/>
      <c r="U99" s="178"/>
      <c r="V99" s="178"/>
      <c r="W99" s="972" t="str">
        <f>'Translate &amp; Prices'!$O$153</f>
        <v>Rodzaj szkła</v>
      </c>
      <c r="X99" s="972"/>
      <c r="Y99" s="972"/>
      <c r="Z99" s="972"/>
      <c r="AA99" s="972"/>
      <c r="AB99" s="501"/>
      <c r="AC99" s="973">
        <f>IFERROR(VLOOKUP(Ram_3!$H$25,kombinace_1!DT:DU,2,0),0)</f>
        <v>0</v>
      </c>
      <c r="AD99" s="973"/>
      <c r="AE99" s="973"/>
      <c r="AF99" s="973"/>
      <c r="AG99" s="973"/>
      <c r="AH99" s="973"/>
      <c r="AI99" s="973"/>
      <c r="AJ99" s="973"/>
      <c r="AK99" s="973"/>
      <c r="AL99" s="973"/>
      <c r="AM99" s="973"/>
      <c r="AN99" s="973"/>
      <c r="AO99" s="973"/>
      <c r="AP99" s="584"/>
      <c r="AQ99" s="584"/>
      <c r="AR99" s="992"/>
      <c r="BM99" s="474" t="s">
        <v>604</v>
      </c>
      <c r="BN99" s="474" t="s">
        <v>526</v>
      </c>
      <c r="BS99" s="474" t="s">
        <v>601</v>
      </c>
      <c r="BT99" s="474" t="s">
        <v>524</v>
      </c>
    </row>
    <row r="100" spans="1:80" ht="16.2" customHeight="1" x14ac:dyDescent="0.3">
      <c r="A100" s="178"/>
      <c r="B100" s="584"/>
      <c r="C100" s="584"/>
      <c r="D100" s="178"/>
      <c r="E100" s="178"/>
      <c r="F100" s="178"/>
      <c r="G100" s="178"/>
      <c r="H100" s="178"/>
      <c r="I100" s="178"/>
      <c r="J100" s="178"/>
      <c r="K100" s="178"/>
      <c r="L100" s="178"/>
      <c r="M100" s="178"/>
      <c r="N100" s="178"/>
      <c r="O100" s="178"/>
      <c r="P100" s="178"/>
      <c r="Q100" s="178"/>
      <c r="R100" s="178"/>
      <c r="S100" s="178"/>
      <c r="T100" s="178"/>
      <c r="U100" s="178"/>
      <c r="V100" s="178"/>
      <c r="W100" s="972" t="str">
        <f>'Translate &amp; Prices'!$O$529</f>
        <v>Rozstaw uchwytu (mm)</v>
      </c>
      <c r="X100" s="972"/>
      <c r="Y100" s="972"/>
      <c r="Z100" s="972"/>
      <c r="AA100" s="972"/>
      <c r="AB100" s="501"/>
      <c r="AC100" s="973">
        <f>Ram_3!$H$26</f>
        <v>0</v>
      </c>
      <c r="AD100" s="973"/>
      <c r="AE100" s="973"/>
      <c r="AF100" s="973"/>
      <c r="AG100" s="973"/>
      <c r="AH100" s="973"/>
      <c r="AI100" s="973"/>
      <c r="AJ100" s="973"/>
      <c r="AK100" s="973"/>
      <c r="AL100" s="973"/>
      <c r="AM100" s="973"/>
      <c r="AN100" s="973"/>
      <c r="AO100" s="973"/>
      <c r="AP100" s="584"/>
      <c r="AQ100" s="584"/>
      <c r="AR100" s="992"/>
      <c r="BM100" s="474" t="s">
        <v>605</v>
      </c>
      <c r="BN100" s="474" t="s">
        <v>527</v>
      </c>
      <c r="BS100" s="474" t="s">
        <v>2675</v>
      </c>
      <c r="BT100" s="474" t="s">
        <v>2309</v>
      </c>
    </row>
    <row r="101" spans="1:80" ht="16.2" customHeight="1" x14ac:dyDescent="0.3">
      <c r="A101" s="178"/>
      <c r="B101" s="584"/>
      <c r="C101" s="584"/>
      <c r="D101" s="178"/>
      <c r="E101" s="178"/>
      <c r="F101" s="178"/>
      <c r="G101" s="178"/>
      <c r="H101" s="178"/>
      <c r="I101" s="178"/>
      <c r="J101" s="178"/>
      <c r="K101" s="178"/>
      <c r="L101" s="178"/>
      <c r="M101" s="178"/>
      <c r="N101" s="178"/>
      <c r="O101" s="178"/>
      <c r="P101" s="178"/>
      <c r="Q101" s="178"/>
      <c r="R101" s="178"/>
      <c r="S101" s="178"/>
      <c r="T101" s="178"/>
      <c r="U101" s="178"/>
      <c r="V101" s="178"/>
      <c r="W101" s="972" t="str">
        <f>'Translate &amp; Prices'!$O$530</f>
        <v>Umieszczenie uchwytu</v>
      </c>
      <c r="X101" s="972"/>
      <c r="Y101" s="972"/>
      <c r="Z101" s="972"/>
      <c r="AA101" s="972"/>
      <c r="AB101" s="501"/>
      <c r="AC101" s="973">
        <f>IFERROR(VLOOKUP(Ram_3!$H$27,BS84:BT103,2,0),0)</f>
        <v>0</v>
      </c>
      <c r="AD101" s="973"/>
      <c r="AE101" s="973"/>
      <c r="AF101" s="973"/>
      <c r="AG101" s="973"/>
      <c r="AH101" s="973"/>
      <c r="AI101" s="973"/>
      <c r="AJ101" s="973"/>
      <c r="AK101" s="973"/>
      <c r="AL101" s="973"/>
      <c r="AM101" s="973"/>
      <c r="AN101" s="973"/>
      <c r="AO101" s="973"/>
      <c r="AP101" s="584"/>
      <c r="AQ101" s="584"/>
      <c r="AR101" s="992"/>
      <c r="BM101" s="474" t="s">
        <v>606</v>
      </c>
      <c r="BN101" s="474" t="s">
        <v>528</v>
      </c>
      <c r="BS101" s="474" t="s">
        <v>1921</v>
      </c>
      <c r="BT101" s="474" t="s">
        <v>2599</v>
      </c>
    </row>
    <row r="102" spans="1:80" ht="16.2" customHeight="1" x14ac:dyDescent="0.3">
      <c r="A102" s="178"/>
      <c r="B102" s="584"/>
      <c r="C102" s="584"/>
      <c r="D102" s="178"/>
      <c r="E102" s="178"/>
      <c r="F102" s="178"/>
      <c r="G102" s="178"/>
      <c r="H102" s="178"/>
      <c r="I102" s="178"/>
      <c r="J102" s="178"/>
      <c r="K102" s="178"/>
      <c r="L102" s="178"/>
      <c r="M102" s="178"/>
      <c r="N102" s="178"/>
      <c r="O102" s="178"/>
      <c r="P102" s="178"/>
      <c r="Q102" s="178"/>
      <c r="R102" s="178"/>
      <c r="S102" s="178"/>
      <c r="T102" s="178"/>
      <c r="U102" s="178"/>
      <c r="V102" s="178"/>
      <c r="W102" s="972" t="str">
        <f>('Translate &amp; Prices'!$O$154)&amp;" "&amp;"-"&amp;" "&amp;('Translate &amp; Prices'!$O$149)&amp;" "&amp;" "&amp;1</f>
        <v>Ilość sztuk - Ramka  1</v>
      </c>
      <c r="X102" s="972"/>
      <c r="Y102" s="972"/>
      <c r="Z102" s="972"/>
      <c r="AA102" s="972"/>
      <c r="AB102" s="501"/>
      <c r="AC102" s="973">
        <f>Ram_3!$H$28</f>
        <v>0</v>
      </c>
      <c r="AD102" s="973"/>
      <c r="AE102" s="973"/>
      <c r="AF102" s="973"/>
      <c r="AG102" s="973"/>
      <c r="AH102" s="973"/>
      <c r="AI102" s="973"/>
      <c r="AJ102" s="973"/>
      <c r="AK102" s="973"/>
      <c r="AL102" s="973"/>
      <c r="AM102" s="973"/>
      <c r="AN102" s="973"/>
      <c r="AO102" s="973"/>
      <c r="AP102" s="584"/>
      <c r="AQ102" s="584"/>
      <c r="AR102" s="992"/>
      <c r="BM102" s="474" t="s">
        <v>607</v>
      </c>
      <c r="BN102" s="474" t="s">
        <v>529</v>
      </c>
      <c r="BS102" s="474" t="s">
        <v>1880</v>
      </c>
      <c r="BT102" s="474" t="s">
        <v>523</v>
      </c>
    </row>
    <row r="103" spans="1:80" ht="16.2" customHeight="1" x14ac:dyDescent="0.3">
      <c r="A103" s="178"/>
      <c r="B103" s="584"/>
      <c r="C103" s="584"/>
      <c r="D103" s="178"/>
      <c r="E103" s="178"/>
      <c r="F103" s="178"/>
      <c r="G103" s="178"/>
      <c r="H103" s="178"/>
      <c r="I103" s="178"/>
      <c r="J103" s="178"/>
      <c r="K103" s="178"/>
      <c r="L103" s="178"/>
      <c r="M103" s="178"/>
      <c r="N103" s="178"/>
      <c r="O103" s="178"/>
      <c r="P103" s="178"/>
      <c r="Q103" s="178"/>
      <c r="R103" s="178"/>
      <c r="S103" s="178"/>
      <c r="T103" s="178"/>
      <c r="U103" s="178"/>
      <c r="V103" s="178"/>
      <c r="W103" s="1"/>
      <c r="X103" s="1"/>
      <c r="Y103" s="1"/>
      <c r="Z103" s="1"/>
      <c r="AA103" s="1"/>
      <c r="AB103" s="1"/>
      <c r="AC103" s="1"/>
      <c r="AD103" s="1"/>
      <c r="AE103" s="1"/>
      <c r="AF103" s="1"/>
      <c r="AG103" s="1"/>
      <c r="AH103" s="1"/>
      <c r="AI103" s="1"/>
      <c r="AJ103" s="1"/>
      <c r="AK103" s="1"/>
      <c r="AL103" s="1"/>
      <c r="AM103" s="1"/>
      <c r="AN103" s="1"/>
      <c r="AO103" s="1"/>
      <c r="AP103" s="584"/>
      <c r="AQ103" s="584"/>
      <c r="AR103" s="992"/>
      <c r="BM103" s="474" t="s">
        <v>2519</v>
      </c>
      <c r="BN103" s="474" t="s">
        <v>2600</v>
      </c>
      <c r="BS103" s="474" t="s">
        <v>1881</v>
      </c>
      <c r="BT103" s="474" t="s">
        <v>524</v>
      </c>
    </row>
    <row r="104" spans="1:80" ht="14.4" customHeight="1" x14ac:dyDescent="0.3">
      <c r="A104" s="178"/>
      <c r="B104" s="584"/>
      <c r="C104" s="584"/>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584"/>
      <c r="AB104" s="584"/>
      <c r="AC104" s="584"/>
      <c r="AD104" s="584"/>
      <c r="AG104" s="584"/>
      <c r="AH104" s="584"/>
      <c r="AI104" s="584"/>
      <c r="AJ104" s="584"/>
      <c r="AK104" s="584"/>
      <c r="AL104" s="584"/>
      <c r="AM104" s="584"/>
      <c r="AN104" s="584"/>
      <c r="AO104" s="584"/>
      <c r="AP104" s="584"/>
      <c r="AQ104" s="584"/>
      <c r="AR104" s="992"/>
      <c r="BM104" s="474" t="s">
        <v>2676</v>
      </c>
      <c r="BN104" s="474" t="s">
        <v>526</v>
      </c>
    </row>
    <row r="105" spans="1:80" ht="14.4" customHeight="1" x14ac:dyDescent="0.3">
      <c r="A105" s="178"/>
      <c r="B105" s="584"/>
      <c r="C105" s="584"/>
      <c r="D105" s="178"/>
      <c r="E105" s="178"/>
      <c r="F105" s="178"/>
      <c r="G105" s="178"/>
      <c r="H105" s="178"/>
      <c r="I105" s="178"/>
      <c r="J105" s="178"/>
      <c r="K105" s="178"/>
      <c r="L105" s="178"/>
      <c r="M105" s="178"/>
      <c r="N105" s="178"/>
      <c r="O105" s="178"/>
      <c r="P105" s="178"/>
      <c r="Q105" s="178"/>
      <c r="R105" s="178"/>
      <c r="S105" s="178"/>
      <c r="T105" s="178"/>
      <c r="U105" s="178"/>
      <c r="V105" s="178"/>
      <c r="W105" s="994" t="s">
        <v>3004</v>
      </c>
      <c r="X105" s="994"/>
      <c r="Y105" s="994"/>
      <c r="Z105" s="994"/>
      <c r="AA105" s="584"/>
      <c r="AB105" s="584"/>
      <c r="AC105" s="584"/>
      <c r="AD105" s="584"/>
      <c r="AE105" s="994" t="s">
        <v>3005</v>
      </c>
      <c r="AF105" s="994"/>
      <c r="AG105" s="994"/>
      <c r="AH105" s="994"/>
      <c r="AI105" s="584"/>
      <c r="AJ105" s="584"/>
      <c r="AK105" s="584"/>
      <c r="AL105" s="584"/>
      <c r="AM105" s="584"/>
      <c r="AN105" s="584"/>
      <c r="AO105" s="584"/>
      <c r="AP105" s="584"/>
      <c r="AQ105" s="584"/>
      <c r="AR105" s="992"/>
      <c r="BM105" s="474" t="s">
        <v>2677</v>
      </c>
      <c r="BN105" s="474" t="s">
        <v>527</v>
      </c>
    </row>
    <row r="106" spans="1:80" ht="14.4" customHeight="1" x14ac:dyDescent="0.3">
      <c r="A106" s="178"/>
      <c r="B106" s="584"/>
      <c r="C106" s="584"/>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584"/>
      <c r="AB106" s="584"/>
      <c r="AC106" s="584"/>
      <c r="AD106" s="584"/>
      <c r="AE106" s="974"/>
      <c r="AF106" s="975"/>
      <c r="AG106" s="975"/>
      <c r="AH106" s="975"/>
      <c r="AI106" s="975"/>
      <c r="AJ106" s="975"/>
      <c r="AK106" s="975"/>
      <c r="AL106" s="975"/>
      <c r="AM106" s="975"/>
      <c r="AN106" s="976"/>
      <c r="AO106" s="584"/>
      <c r="AP106" s="584"/>
      <c r="AQ106" s="584"/>
      <c r="AR106" s="992"/>
      <c r="BM106" s="474" t="s">
        <v>2831</v>
      </c>
      <c r="BN106" s="474" t="s">
        <v>528</v>
      </c>
    </row>
    <row r="107" spans="1:80" ht="14.4" customHeight="1" x14ac:dyDescent="0.3">
      <c r="A107" s="178"/>
      <c r="B107" s="584"/>
      <c r="C107" s="584"/>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584"/>
      <c r="AB107" s="584"/>
      <c r="AC107" s="584"/>
      <c r="AD107" s="584"/>
      <c r="AE107" s="977"/>
      <c r="AF107" s="978"/>
      <c r="AG107" s="978"/>
      <c r="AH107" s="978"/>
      <c r="AI107" s="978"/>
      <c r="AJ107" s="978"/>
      <c r="AK107" s="978"/>
      <c r="AL107" s="978"/>
      <c r="AM107" s="978"/>
      <c r="AN107" s="979"/>
      <c r="AO107" s="584"/>
      <c r="AP107" s="584"/>
      <c r="AQ107" s="584"/>
      <c r="AR107" s="992"/>
      <c r="BM107" s="474" t="s">
        <v>2832</v>
      </c>
      <c r="BN107" s="474" t="s">
        <v>529</v>
      </c>
    </row>
    <row r="108" spans="1:80" ht="14.4" customHeight="1" x14ac:dyDescent="0.3">
      <c r="A108" s="178"/>
      <c r="B108" s="584"/>
      <c r="C108" s="584"/>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584"/>
      <c r="AB108" s="584"/>
      <c r="AC108" s="584"/>
      <c r="AD108" s="584"/>
      <c r="AE108" s="977"/>
      <c r="AF108" s="978"/>
      <c r="AG108" s="978"/>
      <c r="AH108" s="978"/>
      <c r="AI108" s="978"/>
      <c r="AJ108" s="978"/>
      <c r="AK108" s="978"/>
      <c r="AL108" s="978"/>
      <c r="AM108" s="978"/>
      <c r="AN108" s="979"/>
      <c r="AO108" s="584"/>
      <c r="AP108" s="584"/>
      <c r="AQ108" s="584"/>
      <c r="AR108" s="992"/>
      <c r="BM108" s="474" t="s">
        <v>2098</v>
      </c>
      <c r="BN108" s="474" t="s">
        <v>2600</v>
      </c>
    </row>
    <row r="109" spans="1:80" ht="14.4" customHeight="1" x14ac:dyDescent="0.35">
      <c r="A109" s="178"/>
      <c r="B109" s="584"/>
      <c r="C109" s="584"/>
      <c r="D109" s="996">
        <f>IF(OR(Ram_3!$AC$25="x",Ram_3!$AJ$26="x",Ram_3!$AC$9="x",Ram_3!$AJ$7="x",Ram_3!$AB$16="x",Ram_3!$AM$23="x",Ram_3!$AN$19="x",Ram_3!$AD$10="x"),'Translate &amp; Prices'!$B$568,0)</f>
        <v>0</v>
      </c>
      <c r="E109" s="996"/>
      <c r="F109" s="996"/>
      <c r="G109" s="996"/>
      <c r="H109" s="996"/>
      <c r="I109" s="996"/>
      <c r="J109" s="996"/>
      <c r="K109" s="996"/>
      <c r="L109" s="996"/>
      <c r="M109" s="996"/>
      <c r="N109" s="996"/>
      <c r="O109" s="996"/>
      <c r="P109" s="996"/>
      <c r="Q109" s="178"/>
      <c r="R109" s="178"/>
      <c r="S109" s="178"/>
      <c r="T109" s="178"/>
      <c r="U109" s="178"/>
      <c r="V109" s="178"/>
      <c r="W109" s="178"/>
      <c r="X109" s="178"/>
      <c r="Y109" s="178"/>
      <c r="Z109" s="178"/>
      <c r="AA109" s="584"/>
      <c r="AB109" s="584"/>
      <c r="AC109" s="584"/>
      <c r="AD109" s="584"/>
      <c r="AE109" s="977"/>
      <c r="AF109" s="978"/>
      <c r="AG109" s="978"/>
      <c r="AH109" s="978"/>
      <c r="AI109" s="978"/>
      <c r="AJ109" s="978"/>
      <c r="AK109" s="978"/>
      <c r="AL109" s="978"/>
      <c r="AM109" s="978"/>
      <c r="AN109" s="979"/>
      <c r="AO109" s="584"/>
      <c r="AP109" s="584"/>
      <c r="AQ109" s="584"/>
      <c r="AR109" s="992"/>
    </row>
    <row r="110" spans="1:80" ht="14.4" customHeight="1" x14ac:dyDescent="0.3">
      <c r="A110" s="178"/>
      <c r="B110" s="584"/>
      <c r="C110" s="584"/>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584"/>
      <c r="AB110" s="584"/>
      <c r="AC110" s="584"/>
      <c r="AD110" s="584"/>
      <c r="AE110" s="977"/>
      <c r="AF110" s="978"/>
      <c r="AG110" s="978"/>
      <c r="AH110" s="978"/>
      <c r="AI110" s="978"/>
      <c r="AJ110" s="978"/>
      <c r="AK110" s="978"/>
      <c r="AL110" s="978"/>
      <c r="AM110" s="978"/>
      <c r="AN110" s="979"/>
      <c r="AO110" s="584"/>
      <c r="AP110" s="584"/>
      <c r="AQ110" s="584"/>
      <c r="AR110" s="992"/>
    </row>
    <row r="111" spans="1:80" ht="14.4" customHeight="1" thickBot="1" x14ac:dyDescent="0.35">
      <c r="A111" s="178"/>
      <c r="B111" s="584"/>
      <c r="C111" s="584"/>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584"/>
      <c r="AB111" s="584"/>
      <c r="AC111" s="584"/>
      <c r="AD111" s="584"/>
      <c r="AE111" s="977"/>
      <c r="AF111" s="978"/>
      <c r="AG111" s="978"/>
      <c r="AH111" s="978"/>
      <c r="AI111" s="978"/>
      <c r="AJ111" s="978"/>
      <c r="AK111" s="978"/>
      <c r="AL111" s="978"/>
      <c r="AM111" s="978"/>
      <c r="AN111" s="979"/>
      <c r="AO111" s="584"/>
      <c r="AP111" s="584"/>
      <c r="AQ111" s="584"/>
      <c r="AR111" s="992"/>
    </row>
    <row r="112" spans="1:80" ht="14.4" customHeight="1" thickBot="1" x14ac:dyDescent="0.35">
      <c r="A112" s="178"/>
      <c r="B112" s="584"/>
      <c r="C112" s="584"/>
      <c r="D112" s="178"/>
      <c r="E112" s="178"/>
      <c r="F112" s="178"/>
      <c r="G112" s="983" t="str">
        <f>'Translate &amp; Prices'!$O$155</f>
        <v>Szerokość</v>
      </c>
      <c r="H112" s="984">
        <f>Ram_1!AG102</f>
        <v>0</v>
      </c>
      <c r="I112" s="984">
        <f>Ram_1!AH102</f>
        <v>0</v>
      </c>
      <c r="J112" s="985">
        <f>Ram_3!AI30</f>
        <v>0</v>
      </c>
      <c r="K112" s="985">
        <f>Ram_1!AJ102</f>
        <v>0</v>
      </c>
      <c r="L112" s="986">
        <f>Ram_1!AK102</f>
        <v>0</v>
      </c>
      <c r="M112" s="178"/>
      <c r="N112" s="178"/>
      <c r="O112" s="178"/>
      <c r="P112" s="178"/>
      <c r="Q112" s="178"/>
      <c r="R112" s="178"/>
      <c r="S112" s="178"/>
      <c r="T112" s="178"/>
      <c r="U112" s="178"/>
      <c r="V112" s="178"/>
      <c r="W112" s="178"/>
      <c r="X112" s="178"/>
      <c r="Y112" s="178"/>
      <c r="Z112" s="178"/>
      <c r="AA112" s="584"/>
      <c r="AB112" s="584"/>
      <c r="AC112" s="584"/>
      <c r="AD112" s="584"/>
      <c r="AE112" s="977"/>
      <c r="AF112" s="978"/>
      <c r="AG112" s="978"/>
      <c r="AH112" s="978"/>
      <c r="AI112" s="978"/>
      <c r="AJ112" s="978"/>
      <c r="AK112" s="978"/>
      <c r="AL112" s="978"/>
      <c r="AM112" s="978"/>
      <c r="AN112" s="979"/>
      <c r="AO112" s="584"/>
      <c r="AP112" s="584"/>
      <c r="AQ112" s="584"/>
      <c r="AR112" s="992"/>
    </row>
    <row r="113" spans="1:80" ht="21" customHeight="1" x14ac:dyDescent="0.3">
      <c r="A113" s="178"/>
      <c r="B113" s="584"/>
      <c r="C113" s="584"/>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584"/>
      <c r="AB113" s="584"/>
      <c r="AC113" s="584"/>
      <c r="AD113" s="584"/>
      <c r="AE113" s="980"/>
      <c r="AF113" s="981"/>
      <c r="AG113" s="981"/>
      <c r="AH113" s="981"/>
      <c r="AI113" s="981"/>
      <c r="AJ113" s="981"/>
      <c r="AK113" s="981"/>
      <c r="AL113" s="981"/>
      <c r="AM113" s="981"/>
      <c r="AN113" s="982"/>
      <c r="AO113" s="584"/>
      <c r="AP113" s="584"/>
      <c r="AQ113" s="584"/>
      <c r="AR113" s="992"/>
    </row>
    <row r="114" spans="1:80" ht="14.4" customHeight="1" x14ac:dyDescent="0.3">
      <c r="A114" s="178"/>
      <c r="B114" s="584"/>
      <c r="C114" s="584"/>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584"/>
      <c r="AB114" s="584"/>
      <c r="AC114" s="584"/>
      <c r="AD114" s="584"/>
      <c r="AG114" s="584"/>
      <c r="AH114" s="584"/>
      <c r="AI114" s="584"/>
      <c r="AJ114" s="584"/>
      <c r="AK114" s="584"/>
      <c r="AL114" s="584"/>
      <c r="AM114" s="584"/>
      <c r="AN114" s="584"/>
      <c r="AO114" s="584"/>
      <c r="AP114" s="584"/>
      <c r="AQ114" s="584"/>
      <c r="AR114" s="992"/>
    </row>
    <row r="115" spans="1:80" ht="14.4" customHeight="1" x14ac:dyDescent="0.3">
      <c r="A115" s="178"/>
      <c r="B115" s="584"/>
      <c r="C115" s="584"/>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584"/>
      <c r="AB115" s="584"/>
      <c r="AC115" s="584"/>
      <c r="AD115" s="584"/>
      <c r="AG115" s="584"/>
      <c r="AH115" s="584"/>
      <c r="AI115" s="584"/>
      <c r="AJ115" s="584"/>
      <c r="AK115" s="584"/>
      <c r="AL115" s="584"/>
      <c r="AM115" s="584"/>
      <c r="AN115" s="584"/>
      <c r="AO115" s="584"/>
      <c r="AP115" s="584"/>
      <c r="AQ115" s="584"/>
      <c r="AR115" s="992"/>
    </row>
    <row r="116" spans="1:80" ht="14.4" customHeight="1" thickBot="1" x14ac:dyDescent="0.35">
      <c r="A116" s="589"/>
      <c r="B116" s="381"/>
      <c r="C116" s="381"/>
      <c r="D116" s="589"/>
      <c r="E116" s="589"/>
      <c r="F116" s="589"/>
      <c r="G116" s="589"/>
      <c r="H116" s="589"/>
      <c r="I116" s="589"/>
      <c r="J116" s="589"/>
      <c r="K116" s="589"/>
      <c r="L116" s="589"/>
      <c r="M116" s="589"/>
      <c r="N116" s="589"/>
      <c r="O116" s="589"/>
      <c r="P116" s="589"/>
      <c r="Q116" s="589"/>
      <c r="R116" s="589"/>
      <c r="S116" s="589"/>
      <c r="T116" s="589"/>
      <c r="U116" s="589"/>
      <c r="V116" s="589"/>
      <c r="W116" s="589"/>
      <c r="X116" s="589"/>
      <c r="Y116" s="589"/>
      <c r="Z116" s="589"/>
      <c r="AA116" s="381"/>
      <c r="AB116" s="381"/>
      <c r="AC116" s="381"/>
      <c r="AD116" s="381"/>
      <c r="AE116" s="590"/>
      <c r="AF116" s="591"/>
      <c r="AG116" s="381"/>
      <c r="AH116" s="381"/>
      <c r="AI116" s="381"/>
      <c r="AJ116" s="381"/>
      <c r="AK116" s="381"/>
      <c r="AL116" s="381"/>
      <c r="AM116" s="381"/>
      <c r="AN116" s="381"/>
      <c r="AO116" s="381"/>
      <c r="AP116" s="381"/>
      <c r="AQ116" s="381"/>
      <c r="AR116" s="381"/>
    </row>
    <row r="117" spans="1:80" ht="34.799999999999997" customHeight="1" thickBot="1" x14ac:dyDescent="0.35">
      <c r="A117" s="178"/>
      <c r="B117" s="584"/>
      <c r="C117" s="584"/>
      <c r="D117" s="178"/>
      <c r="E117" s="178"/>
      <c r="F117" s="178"/>
      <c r="G117" s="178"/>
      <c r="H117" s="178"/>
      <c r="I117" s="178"/>
      <c r="J117" s="585"/>
      <c r="K117" s="585"/>
      <c r="L117" s="585"/>
      <c r="M117" s="585"/>
      <c r="N117" s="585"/>
      <c r="O117" s="585"/>
      <c r="P117" s="585"/>
      <c r="Q117" s="585"/>
      <c r="R117" s="585"/>
      <c r="S117" s="585"/>
      <c r="T117" s="585"/>
      <c r="U117" s="585"/>
      <c r="V117" s="585"/>
      <c r="W117" s="971" t="str">
        <f>'Translate &amp; Prices'!$O$236</f>
        <v>Numer zamówienia</v>
      </c>
      <c r="X117" s="971"/>
      <c r="Y117" s="971"/>
      <c r="Z117" s="971"/>
      <c r="AA117" s="971"/>
      <c r="AB117" s="501"/>
      <c r="AC117" s="968"/>
      <c r="AD117" s="969"/>
      <c r="AE117" s="969"/>
      <c r="AF117" s="969"/>
      <c r="AG117" s="969"/>
      <c r="AH117" s="969"/>
      <c r="AI117" s="969"/>
      <c r="AJ117" s="969"/>
      <c r="AK117" s="969"/>
      <c r="AL117" s="969"/>
      <c r="AM117" s="969"/>
      <c r="AN117" s="969"/>
      <c r="AO117" s="970"/>
      <c r="AP117" s="584"/>
      <c r="AQ117" s="584"/>
      <c r="AR117" s="992" t="s">
        <v>3009</v>
      </c>
    </row>
    <row r="118" spans="1:80" ht="16.2" customHeight="1" x14ac:dyDescent="0.3">
      <c r="A118" s="178"/>
      <c r="B118" s="395"/>
      <c r="C118" s="395"/>
      <c r="W118" s="972" t="str">
        <f>'Translate &amp; Prices'!$O$522</f>
        <v>Połączenie 2 profili</v>
      </c>
      <c r="X118" s="972"/>
      <c r="Y118" s="972"/>
      <c r="Z118" s="972"/>
      <c r="AA118" s="972"/>
      <c r="AB118" s="501"/>
      <c r="AC118" s="991" t="str">
        <f>IF(kombinace_4!$H$1=TRUE,"Tak","Nie")</f>
        <v>Nie</v>
      </c>
      <c r="AD118" s="991"/>
      <c r="AE118" s="991"/>
      <c r="AF118" s="991"/>
      <c r="AG118" s="991"/>
      <c r="AH118" s="991"/>
      <c r="AI118" s="991"/>
      <c r="AJ118" s="991"/>
      <c r="AK118" s="991"/>
      <c r="AL118" s="991"/>
      <c r="AM118" s="991"/>
      <c r="AN118" s="991"/>
      <c r="AO118" s="991"/>
      <c r="AR118" s="992"/>
    </row>
    <row r="119" spans="1:80" ht="16.2" customHeight="1" x14ac:dyDescent="0.3">
      <c r="A119" s="178"/>
      <c r="B119" s="584"/>
      <c r="C119" s="584"/>
      <c r="D119" s="178"/>
      <c r="E119" s="178"/>
      <c r="F119" s="178"/>
      <c r="G119" s="178"/>
      <c r="H119" s="178"/>
      <c r="I119" s="178"/>
      <c r="J119" s="178"/>
      <c r="K119" s="178"/>
      <c r="L119" s="178"/>
      <c r="M119" s="178"/>
      <c r="N119" s="178"/>
      <c r="O119" s="178"/>
      <c r="P119" s="178"/>
      <c r="Q119" s="178"/>
      <c r="R119" s="178"/>
      <c r="S119" s="178"/>
      <c r="T119" s="178"/>
      <c r="U119" s="178"/>
      <c r="V119" s="178"/>
      <c r="W119" s="972" t="str">
        <f>'Translate &amp; Prices'!$O$152</f>
        <v>Rodzaj profilu</v>
      </c>
      <c r="X119" s="972"/>
      <c r="Y119" s="972"/>
      <c r="Z119" s="972"/>
      <c r="AA119" s="972"/>
      <c r="AB119" s="501"/>
      <c r="AC119" s="973">
        <f>IFERROR(VLOOKUP(Ram_4!$H$8,kombinace_1!DW:DY,2,0),0)</f>
        <v>0</v>
      </c>
      <c r="AD119" s="973"/>
      <c r="AE119" s="973"/>
      <c r="AF119" s="973"/>
      <c r="AG119" s="973"/>
      <c r="AH119" s="973"/>
      <c r="AI119" s="973"/>
      <c r="AJ119" s="973"/>
      <c r="AK119" s="973"/>
      <c r="AL119" s="973"/>
      <c r="AM119" s="973"/>
      <c r="AN119" s="973"/>
      <c r="AO119" s="973"/>
      <c r="AP119" s="584"/>
      <c r="AQ119" s="584"/>
      <c r="AR119" s="992"/>
    </row>
    <row r="120" spans="1:80" ht="16.2" customHeight="1" x14ac:dyDescent="0.3">
      <c r="A120" s="178"/>
      <c r="B120" s="584"/>
      <c r="C120" s="584"/>
      <c r="D120" s="178"/>
      <c r="E120" s="178"/>
      <c r="F120" s="178"/>
      <c r="G120" s="178"/>
      <c r="H120" s="178"/>
      <c r="I120" s="178"/>
      <c r="J120" s="178"/>
      <c r="K120" s="178"/>
      <c r="L120" s="178"/>
      <c r="M120" s="178"/>
      <c r="N120" s="178"/>
      <c r="O120" s="178"/>
      <c r="P120" s="178"/>
      <c r="Q120" s="178"/>
      <c r="R120" s="178"/>
      <c r="S120" s="178"/>
      <c r="T120" s="178"/>
      <c r="U120" s="178"/>
      <c r="V120" s="178"/>
      <c r="W120" s="972" t="str">
        <f>'Translate &amp; Prices'!$O$523</f>
        <v>Szprosy</v>
      </c>
      <c r="X120" s="972"/>
      <c r="Y120" s="972"/>
      <c r="Z120" s="972"/>
      <c r="AA120" s="972"/>
      <c r="AB120" s="501"/>
      <c r="AC120" s="973" t="str">
        <f>IFERROR(VLOOKUP(Ram_4!$AU$10,AU120:AV123,2,0),0)</f>
        <v>Nie</v>
      </c>
      <c r="AD120" s="973"/>
      <c r="AE120" s="973"/>
      <c r="AF120" s="973"/>
      <c r="AG120" s="973"/>
      <c r="AH120" s="973"/>
      <c r="AI120" s="973"/>
      <c r="AJ120" s="973"/>
      <c r="AK120" s="973"/>
      <c r="AL120" s="973"/>
      <c r="AM120" s="973"/>
      <c r="AN120" s="973"/>
      <c r="AO120" s="973"/>
      <c r="AP120" s="584"/>
      <c r="AQ120" s="584"/>
      <c r="AR120" s="992"/>
      <c r="AT120" s="474"/>
      <c r="AU120" s="404">
        <v>0</v>
      </c>
      <c r="AV120" s="404" t="str">
        <f>'Translate &amp; Prices'!$O$537</f>
        <v>Nie</v>
      </c>
      <c r="AY120" s="474"/>
      <c r="AZ120" s="404">
        <v>2</v>
      </c>
      <c r="BA120" s="404" t="str">
        <f>'Translate &amp; Prices'!$O$531</f>
        <v>Zawiasy</v>
      </c>
      <c r="BD120" s="395" t="s">
        <v>125</v>
      </c>
      <c r="BE120" s="395" t="s">
        <v>492</v>
      </c>
      <c r="BI120" s="395" t="s">
        <v>98</v>
      </c>
      <c r="BJ120" s="474" t="s">
        <v>486</v>
      </c>
      <c r="BM120" s="474" t="s">
        <v>245</v>
      </c>
      <c r="BN120" s="474" t="s">
        <v>526</v>
      </c>
      <c r="BS120" s="474" t="s">
        <v>251</v>
      </c>
      <c r="BT120" s="474" t="s">
        <v>2309</v>
      </c>
      <c r="BX120" s="474">
        <v>1</v>
      </c>
      <c r="BY120" s="474" t="str">
        <f>'Translate &amp; Prices'!$O$85</f>
        <v>Bez modyfikacji</v>
      </c>
      <c r="CA120" s="404" t="s">
        <v>2086</v>
      </c>
      <c r="CB120" s="404" t="s">
        <v>2616</v>
      </c>
    </row>
    <row r="121" spans="1:80" ht="16.2" customHeight="1" x14ac:dyDescent="0.3">
      <c r="A121" s="178"/>
      <c r="B121" s="584"/>
      <c r="C121" s="584"/>
      <c r="D121" s="178"/>
      <c r="E121" s="178"/>
      <c r="F121" s="178"/>
      <c r="G121" s="178"/>
      <c r="H121" s="178"/>
      <c r="I121" s="178"/>
      <c r="J121" s="178"/>
      <c r="K121" s="178"/>
      <c r="L121" s="178"/>
      <c r="M121" s="178"/>
      <c r="N121" s="178"/>
      <c r="O121" s="178"/>
      <c r="P121" s="178"/>
      <c r="Q121" s="178"/>
      <c r="R121" s="178"/>
      <c r="S121" s="178"/>
      <c r="T121" s="178"/>
      <c r="U121" s="178"/>
      <c r="V121" s="178"/>
      <c r="W121" s="592"/>
      <c r="X121" s="592"/>
      <c r="Y121" s="592"/>
      <c r="Z121" s="592"/>
      <c r="AA121" s="592"/>
      <c r="AB121" s="593"/>
      <c r="AC121" s="993" t="str">
        <f>'Translate &amp; Prices'!$O$538</f>
        <v>Poziomo</v>
      </c>
      <c r="AD121" s="993"/>
      <c r="AE121" s="993"/>
      <c r="AF121" s="993"/>
      <c r="AG121" s="993"/>
      <c r="AH121" s="993"/>
      <c r="AI121" s="993"/>
      <c r="AJ121" s="993" t="str">
        <f>'Translate &amp; Prices'!$O$539</f>
        <v>Pionowo</v>
      </c>
      <c r="AK121" s="993"/>
      <c r="AL121" s="993"/>
      <c r="AM121" s="993"/>
      <c r="AN121" s="993"/>
      <c r="AO121" s="993"/>
      <c r="AP121" s="584"/>
      <c r="AQ121" s="584"/>
      <c r="AR121" s="992"/>
      <c r="AT121" s="474"/>
      <c r="AU121" s="404">
        <v>1</v>
      </c>
      <c r="AV121" s="404" t="str">
        <f>'Translate &amp; Prices'!$O$538</f>
        <v>Poziomo</v>
      </c>
      <c r="AY121" s="474"/>
      <c r="AZ121" s="404">
        <v>3</v>
      </c>
      <c r="BA121" s="404" t="str">
        <f>'Translate &amp; Prices'!$O$532</f>
        <v>Podnośniki</v>
      </c>
      <c r="BD121" s="395" t="s">
        <v>126</v>
      </c>
      <c r="BE121" s="395" t="s">
        <v>493</v>
      </c>
      <c r="BI121" s="395" t="s">
        <v>97</v>
      </c>
      <c r="BJ121" s="474" t="s">
        <v>487</v>
      </c>
      <c r="BM121" s="474" t="s">
        <v>246</v>
      </c>
      <c r="BN121" s="474" t="s">
        <v>527</v>
      </c>
      <c r="BS121" s="474" t="s">
        <v>252</v>
      </c>
      <c r="BT121" s="474" t="s">
        <v>2599</v>
      </c>
      <c r="BX121" s="474">
        <v>2</v>
      </c>
      <c r="BY121" s="474" t="str">
        <f>'Translate &amp; Prices'!$O$83</f>
        <v>Hartowane</v>
      </c>
      <c r="CA121" s="404" t="s">
        <v>2089</v>
      </c>
      <c r="CB121" s="404" t="s">
        <v>2617</v>
      </c>
    </row>
    <row r="122" spans="1:80" ht="16.2" customHeight="1" x14ac:dyDescent="0.3">
      <c r="A122" s="178"/>
      <c r="B122" s="584"/>
      <c r="C122" s="584"/>
      <c r="D122" s="178"/>
      <c r="E122" s="178"/>
      <c r="F122" s="178"/>
      <c r="G122" s="178"/>
      <c r="H122" s="178"/>
      <c r="I122" s="178"/>
      <c r="J122" s="178"/>
      <c r="K122" s="178"/>
      <c r="L122" s="178"/>
      <c r="M122" s="178"/>
      <c r="N122" s="178"/>
      <c r="O122" s="178"/>
      <c r="P122" s="178"/>
      <c r="Q122" s="178"/>
      <c r="R122" s="178"/>
      <c r="S122" s="178"/>
      <c r="T122" s="178"/>
      <c r="U122" s="178"/>
      <c r="V122" s="178"/>
      <c r="W122" s="972" t="str">
        <f>('Translate &amp; Prices'!$O$523)&amp;" "&amp;"("&amp;'Translate &amp; Prices'!$O$154&amp;")"</f>
        <v>Szprosy (Ilość sztuk)</v>
      </c>
      <c r="X122" s="972"/>
      <c r="Y122" s="972"/>
      <c r="Z122" s="972"/>
      <c r="AA122" s="972"/>
      <c r="AB122" s="501"/>
      <c r="AC122" s="973">
        <f>Ram_4!$H$11</f>
        <v>0</v>
      </c>
      <c r="AD122" s="973"/>
      <c r="AE122" s="973"/>
      <c r="AF122" s="973"/>
      <c r="AG122" s="973"/>
      <c r="AH122" s="973"/>
      <c r="AI122" s="973"/>
      <c r="AJ122" s="973">
        <f>Ram_4!$M$11</f>
        <v>0</v>
      </c>
      <c r="AK122" s="973"/>
      <c r="AL122" s="973"/>
      <c r="AM122" s="973"/>
      <c r="AN122" s="973"/>
      <c r="AO122" s="973"/>
      <c r="AP122" s="584"/>
      <c r="AQ122" s="584"/>
      <c r="AR122" s="992"/>
      <c r="AT122" s="474"/>
      <c r="AU122" s="404">
        <v>2</v>
      </c>
      <c r="AV122" s="404" t="str">
        <f>'Translate &amp; Prices'!$O$539</f>
        <v>Pionowo</v>
      </c>
      <c r="BD122" s="395" t="s">
        <v>127</v>
      </c>
      <c r="BE122" s="395" t="s">
        <v>2348</v>
      </c>
      <c r="BI122" s="474" t="s">
        <v>427</v>
      </c>
      <c r="BJ122" s="474" t="s">
        <v>486</v>
      </c>
      <c r="BM122" s="474" t="s">
        <v>248</v>
      </c>
      <c r="BN122" s="474" t="s">
        <v>528</v>
      </c>
      <c r="BS122" s="474" t="s">
        <v>242</v>
      </c>
      <c r="BT122" s="474" t="s">
        <v>523</v>
      </c>
      <c r="BX122" s="474">
        <v>3</v>
      </c>
      <c r="BY122" s="474" t="str">
        <f>'Translate &amp; Prices'!$O$84</f>
        <v>Folia</v>
      </c>
      <c r="CA122" s="404" t="s">
        <v>2092</v>
      </c>
      <c r="CB122" s="404" t="s">
        <v>2618</v>
      </c>
    </row>
    <row r="123" spans="1:80" ht="16.2" customHeight="1" x14ac:dyDescent="0.3">
      <c r="A123" s="178"/>
      <c r="B123" s="584"/>
      <c r="C123" s="584"/>
      <c r="D123" s="178"/>
      <c r="E123" s="178"/>
      <c r="F123" s="178"/>
      <c r="G123" s="178"/>
      <c r="H123" s="178"/>
      <c r="I123" s="178"/>
      <c r="J123" s="178"/>
      <c r="K123" s="178"/>
      <c r="L123" s="178"/>
      <c r="M123" s="178"/>
      <c r="N123" s="178"/>
      <c r="O123" s="178"/>
      <c r="P123" s="178"/>
      <c r="Q123" s="178"/>
      <c r="R123" s="178"/>
      <c r="S123" s="178"/>
      <c r="T123" s="178"/>
      <c r="U123" s="178"/>
      <c r="V123" s="178"/>
      <c r="W123" s="972" t="str">
        <f>'Translate &amp; Prices'!$O$238</f>
        <v>Typ okucia</v>
      </c>
      <c r="X123" s="972"/>
      <c r="Y123" s="972"/>
      <c r="Z123" s="972"/>
      <c r="AA123" s="972"/>
      <c r="AB123" s="501"/>
      <c r="AC123" s="973">
        <f>IFERROR(VLOOKUP(Ram_4!$AU$9,AZ120:BA121,2,0),0)</f>
        <v>0</v>
      </c>
      <c r="AD123" s="973"/>
      <c r="AE123" s="973"/>
      <c r="AF123" s="973"/>
      <c r="AG123" s="973"/>
      <c r="AH123" s="973"/>
      <c r="AI123" s="973"/>
      <c r="AJ123" s="973"/>
      <c r="AK123" s="973"/>
      <c r="AL123" s="973"/>
      <c r="AM123" s="973"/>
      <c r="AN123" s="973"/>
      <c r="AO123" s="973"/>
      <c r="AP123" s="584"/>
      <c r="AQ123" s="584"/>
      <c r="AR123" s="992"/>
      <c r="AT123" s="474"/>
      <c r="AU123" s="404">
        <v>3</v>
      </c>
      <c r="AV123" s="404" t="str">
        <f>'Translate &amp; Prices'!$O$540</f>
        <v>Poziomo i pionowo</v>
      </c>
      <c r="BD123" s="395" t="s">
        <v>125</v>
      </c>
      <c r="BE123" s="395" t="s">
        <v>492</v>
      </c>
      <c r="BI123" s="474" t="s">
        <v>428</v>
      </c>
      <c r="BJ123" s="474" t="s">
        <v>487</v>
      </c>
      <c r="BM123" s="474" t="s">
        <v>247</v>
      </c>
      <c r="BN123" s="474" t="s">
        <v>529</v>
      </c>
      <c r="BS123" s="474" t="s">
        <v>241</v>
      </c>
      <c r="BT123" s="474" t="s">
        <v>524</v>
      </c>
      <c r="CA123" s="404" t="s">
        <v>2451</v>
      </c>
      <c r="CB123" s="404" t="s">
        <v>2616</v>
      </c>
    </row>
    <row r="124" spans="1:80" ht="16.2" customHeight="1" x14ac:dyDescent="0.3">
      <c r="A124" s="178"/>
      <c r="B124" s="584"/>
      <c r="C124" s="584"/>
      <c r="D124" s="178"/>
      <c r="E124" s="178"/>
      <c r="F124" s="178"/>
      <c r="G124" s="178"/>
      <c r="H124" s="178"/>
      <c r="I124" s="178"/>
      <c r="J124" s="178"/>
      <c r="K124" s="178"/>
      <c r="L124" s="178"/>
      <c r="M124" s="178"/>
      <c r="N124" s="178"/>
      <c r="O124" s="178"/>
      <c r="P124" s="178"/>
      <c r="Q124" s="178"/>
      <c r="R124" s="178"/>
      <c r="S124" s="178"/>
      <c r="T124" s="178"/>
      <c r="U124" s="178"/>
      <c r="V124" s="178"/>
      <c r="W124" s="972" t="str">
        <f>'Translate &amp; Prices'!$O$524</f>
        <v>Marka okucia</v>
      </c>
      <c r="X124" s="972"/>
      <c r="Y124" s="972"/>
      <c r="Z124" s="972"/>
      <c r="AA124" s="972"/>
      <c r="AB124" s="501"/>
      <c r="AC124" s="973">
        <f>Ram_4!$H$13</f>
        <v>0</v>
      </c>
      <c r="AD124" s="973"/>
      <c r="AE124" s="973"/>
      <c r="AF124" s="973"/>
      <c r="AG124" s="973"/>
      <c r="AH124" s="973"/>
      <c r="AI124" s="973"/>
      <c r="AJ124" s="973"/>
      <c r="AK124" s="973"/>
      <c r="AL124" s="973"/>
      <c r="AM124" s="973"/>
      <c r="AN124" s="973"/>
      <c r="AO124" s="973"/>
      <c r="AP124" s="584"/>
      <c r="AQ124" s="584"/>
      <c r="AR124" s="992"/>
      <c r="BD124" s="395" t="s">
        <v>126</v>
      </c>
      <c r="BE124" s="395" t="s">
        <v>493</v>
      </c>
      <c r="BI124" s="474" t="s">
        <v>747</v>
      </c>
      <c r="BJ124" s="474" t="s">
        <v>486</v>
      </c>
      <c r="BM124" s="474" t="s">
        <v>249</v>
      </c>
      <c r="BN124" s="474" t="s">
        <v>2600</v>
      </c>
      <c r="BS124" s="474" t="s">
        <v>2311</v>
      </c>
      <c r="BT124" s="474" t="s">
        <v>2309</v>
      </c>
      <c r="CA124" s="404" t="s">
        <v>2452</v>
      </c>
      <c r="CB124" s="404" t="s">
        <v>2617</v>
      </c>
    </row>
    <row r="125" spans="1:80" ht="16.2" customHeight="1" thickBot="1" x14ac:dyDescent="0.35">
      <c r="A125" s="178"/>
      <c r="B125" s="584"/>
      <c r="C125" s="584"/>
      <c r="D125" s="178"/>
      <c r="E125" s="178"/>
      <c r="F125" s="178"/>
      <c r="G125" s="178"/>
      <c r="H125" s="178"/>
      <c r="I125" s="178"/>
      <c r="J125" s="178"/>
      <c r="K125" s="178"/>
      <c r="L125" s="178"/>
      <c r="M125" s="178"/>
      <c r="N125" s="178"/>
      <c r="O125" s="178"/>
      <c r="P125" s="178"/>
      <c r="Q125" s="178"/>
      <c r="R125" s="178"/>
      <c r="S125" s="178"/>
      <c r="T125" s="178"/>
      <c r="U125" s="178"/>
      <c r="V125" s="178"/>
      <c r="W125" s="972" t="str">
        <f>'Translate &amp; Prices'!$O$526</f>
        <v>Nałożenie</v>
      </c>
      <c r="X125" s="972"/>
      <c r="Y125" s="972"/>
      <c r="Z125" s="972"/>
      <c r="AA125" s="972"/>
      <c r="AB125" s="501"/>
      <c r="AC125" s="973">
        <f>IFERROR(VLOOKUP(Ram_4!$H$14,BD120:BE134,2,0),0)</f>
        <v>0</v>
      </c>
      <c r="AD125" s="973"/>
      <c r="AE125" s="973"/>
      <c r="AF125" s="973"/>
      <c r="AG125" s="973"/>
      <c r="AH125" s="973"/>
      <c r="AI125" s="973"/>
      <c r="AJ125" s="973"/>
      <c r="AK125" s="973"/>
      <c r="AL125" s="973"/>
      <c r="AM125" s="973"/>
      <c r="AN125" s="973"/>
      <c r="AO125" s="973"/>
      <c r="AP125" s="584"/>
      <c r="AQ125" s="584"/>
      <c r="AR125" s="992"/>
      <c r="BD125" s="395" t="s">
        <v>127</v>
      </c>
      <c r="BE125" s="395" t="s">
        <v>2348</v>
      </c>
      <c r="BI125" s="474" t="s">
        <v>563</v>
      </c>
      <c r="BJ125" s="474" t="s">
        <v>487</v>
      </c>
      <c r="BM125" s="474" t="s">
        <v>461</v>
      </c>
      <c r="BN125" s="474" t="s">
        <v>526</v>
      </c>
      <c r="BS125" s="474" t="s">
        <v>252</v>
      </c>
      <c r="BT125" s="474" t="s">
        <v>2599</v>
      </c>
      <c r="CA125" s="404" t="s">
        <v>2453</v>
      </c>
      <c r="CB125" s="404" t="s">
        <v>2618</v>
      </c>
    </row>
    <row r="126" spans="1:80" ht="16.2" customHeight="1" x14ac:dyDescent="0.3">
      <c r="A126" s="178"/>
      <c r="B126" s="584"/>
      <c r="C126" s="584"/>
      <c r="D126" s="178"/>
      <c r="E126" s="178"/>
      <c r="F126" s="178"/>
      <c r="G126" s="178"/>
      <c r="H126" s="178"/>
      <c r="I126" s="178"/>
      <c r="J126" s="178"/>
      <c r="K126" s="178"/>
      <c r="L126" s="178"/>
      <c r="M126" s="178"/>
      <c r="N126" s="178"/>
      <c r="O126" s="178"/>
      <c r="P126" s="178"/>
      <c r="Q126" s="178"/>
      <c r="R126" s="178"/>
      <c r="S126" s="987">
        <f>Ram_4!AR14</f>
        <v>0</v>
      </c>
      <c r="T126" s="178"/>
      <c r="U126" s="178"/>
      <c r="V126" s="178"/>
      <c r="W126" s="972" t="str">
        <f>'Translate &amp; Prices'!$O$525</f>
        <v>Wariant okucia</v>
      </c>
      <c r="X126" s="972"/>
      <c r="Y126" s="972"/>
      <c r="Z126" s="972"/>
      <c r="AA126" s="972"/>
      <c r="AB126" s="501"/>
      <c r="AC126" s="973">
        <f>IFERROR(VLOOKUP(Ram_4!$H$15,kombinace_1!$ED:$EE,2,0),Ram_4!$H$15)</f>
        <v>0</v>
      </c>
      <c r="AD126" s="973"/>
      <c r="AE126" s="973"/>
      <c r="AF126" s="973"/>
      <c r="AG126" s="973"/>
      <c r="AH126" s="973"/>
      <c r="AI126" s="973"/>
      <c r="AJ126" s="973"/>
      <c r="AK126" s="973"/>
      <c r="AL126" s="973"/>
      <c r="AM126" s="973"/>
      <c r="AN126" s="973"/>
      <c r="AO126" s="973"/>
      <c r="AP126" s="584"/>
      <c r="AQ126" s="584"/>
      <c r="AR126" s="992"/>
      <c r="BD126" s="395" t="s">
        <v>492</v>
      </c>
      <c r="BE126" s="395" t="s">
        <v>492</v>
      </c>
      <c r="BI126" s="474" t="s">
        <v>2667</v>
      </c>
      <c r="BJ126" s="474" t="s">
        <v>486</v>
      </c>
      <c r="BM126" s="474" t="s">
        <v>462</v>
      </c>
      <c r="BN126" s="474" t="s">
        <v>527</v>
      </c>
      <c r="BS126" s="474" t="s">
        <v>457</v>
      </c>
      <c r="BT126" s="474" t="s">
        <v>523</v>
      </c>
      <c r="CA126" s="404" t="s">
        <v>2616</v>
      </c>
      <c r="CB126" s="404" t="s">
        <v>2616</v>
      </c>
    </row>
    <row r="127" spans="1:80" ht="16.2" customHeight="1" x14ac:dyDescent="0.3">
      <c r="A127" s="178"/>
      <c r="B127" s="584"/>
      <c r="C127" s="584"/>
      <c r="D127" s="178"/>
      <c r="E127" s="178"/>
      <c r="F127" s="178"/>
      <c r="G127" s="178"/>
      <c r="H127" s="178"/>
      <c r="I127" s="178"/>
      <c r="J127" s="178"/>
      <c r="K127" s="178"/>
      <c r="L127" s="178"/>
      <c r="M127" s="178"/>
      <c r="N127" s="178"/>
      <c r="O127" s="178"/>
      <c r="P127" s="178"/>
      <c r="Q127" s="178"/>
      <c r="R127" s="178"/>
      <c r="S127" s="988">
        <f>Ram_1!AR123</f>
        <v>0</v>
      </c>
      <c r="T127" s="178"/>
      <c r="U127" s="178"/>
      <c r="V127" s="178"/>
      <c r="W127" s="972" t="str">
        <f>'Translate &amp; Prices'!$O$198</f>
        <v>Wybierz pozycję ramki</v>
      </c>
      <c r="X127" s="972"/>
      <c r="Y127" s="972"/>
      <c r="Z127" s="972"/>
      <c r="AA127" s="972"/>
      <c r="AB127" s="973">
        <f>IFERROR(VLOOKUP(Ram_4!$F$16,BI120:BJ129,2,0),0)</f>
        <v>0</v>
      </c>
      <c r="AC127" s="973"/>
      <c r="AD127" s="973"/>
      <c r="AE127" s="973"/>
      <c r="AF127" s="973"/>
      <c r="AG127" s="972" t="str">
        <f>'Translate &amp; Prices'!$O$212</f>
        <v>Rodzaj drugiej ramki</v>
      </c>
      <c r="AH127" s="972"/>
      <c r="AI127" s="972"/>
      <c r="AJ127" s="972"/>
      <c r="AK127" s="972"/>
      <c r="AL127" s="973">
        <f>IFERROR(VLOOKUP(Ram_4!$N$16,BM120:BN144,2,0),0)</f>
        <v>0</v>
      </c>
      <c r="AM127" s="973"/>
      <c r="AN127" s="973"/>
      <c r="AO127" s="973"/>
      <c r="AP127" s="1"/>
      <c r="AQ127" s="1"/>
      <c r="AR127" s="992"/>
      <c r="AS127" s="474"/>
      <c r="AT127" s="474"/>
      <c r="BD127" s="395" t="s">
        <v>493</v>
      </c>
      <c r="BE127" s="395" t="s">
        <v>493</v>
      </c>
      <c r="BI127" s="474" t="s">
        <v>2668</v>
      </c>
      <c r="BJ127" s="474" t="s">
        <v>487</v>
      </c>
      <c r="BM127" s="474" t="s">
        <v>463</v>
      </c>
      <c r="BN127" s="474" t="s">
        <v>528</v>
      </c>
      <c r="BS127" s="474" t="s">
        <v>458</v>
      </c>
      <c r="BT127" s="474" t="s">
        <v>524</v>
      </c>
      <c r="CA127" s="404" t="s">
        <v>2617</v>
      </c>
      <c r="CB127" s="404" t="s">
        <v>2617</v>
      </c>
    </row>
    <row r="128" spans="1:80" ht="16.2" customHeight="1" x14ac:dyDescent="0.3">
      <c r="A128" s="178"/>
      <c r="B128" s="584"/>
      <c r="C128" s="584"/>
      <c r="D128" s="178"/>
      <c r="E128" s="178"/>
      <c r="F128" s="178"/>
      <c r="G128" s="178"/>
      <c r="H128" s="178"/>
      <c r="I128" s="178"/>
      <c r="J128" s="178"/>
      <c r="K128" s="178"/>
      <c r="L128" s="178"/>
      <c r="M128" s="178"/>
      <c r="N128" s="178"/>
      <c r="O128" s="178"/>
      <c r="P128" s="178"/>
      <c r="Q128" s="178"/>
      <c r="R128" s="178"/>
      <c r="S128" s="988">
        <f>Ram_1!AR124</f>
        <v>0</v>
      </c>
      <c r="T128" s="178"/>
      <c r="U128" s="178"/>
      <c r="V128" s="178"/>
      <c r="W128" s="972" t="str">
        <f>'Translate &amp; Prices'!$O$218</f>
        <v>Umieszczenie zawiasu</v>
      </c>
      <c r="X128" s="972"/>
      <c r="Y128" s="972"/>
      <c r="Z128" s="972"/>
      <c r="AA128" s="972"/>
      <c r="AB128" s="501"/>
      <c r="AC128" s="973">
        <f>IFERROR(VLOOKUP(Ram_4!$H$17,BS120:BT139,2,0),0)</f>
        <v>0</v>
      </c>
      <c r="AD128" s="973"/>
      <c r="AE128" s="973"/>
      <c r="AF128" s="973"/>
      <c r="AG128" s="973"/>
      <c r="AH128" s="973"/>
      <c r="AI128" s="973"/>
      <c r="AJ128" s="973"/>
      <c r="AK128" s="973"/>
      <c r="AL128" s="973"/>
      <c r="AM128" s="973"/>
      <c r="AN128" s="973"/>
      <c r="AO128" s="973"/>
      <c r="AP128" s="584"/>
      <c r="AQ128" s="584"/>
      <c r="AR128" s="992"/>
      <c r="BD128" s="395" t="s">
        <v>2348</v>
      </c>
      <c r="BE128" s="395" t="s">
        <v>2348</v>
      </c>
      <c r="BI128" s="474" t="s">
        <v>486</v>
      </c>
      <c r="BJ128" s="474" t="s">
        <v>486</v>
      </c>
      <c r="BM128" s="474" t="s">
        <v>464</v>
      </c>
      <c r="BN128" s="474" t="s">
        <v>529</v>
      </c>
      <c r="BS128" s="474" t="s">
        <v>2309</v>
      </c>
      <c r="BT128" s="474" t="s">
        <v>2309</v>
      </c>
      <c r="CA128" s="404" t="s">
        <v>2618</v>
      </c>
      <c r="CB128" s="404" t="s">
        <v>2618</v>
      </c>
    </row>
    <row r="129" spans="1:80" ht="16.2" customHeight="1" x14ac:dyDescent="0.3">
      <c r="A129" s="178"/>
      <c r="B129" s="584"/>
      <c r="C129" s="584"/>
      <c r="D129" s="178"/>
      <c r="E129" s="178"/>
      <c r="F129" s="178"/>
      <c r="G129" s="178"/>
      <c r="H129" s="178"/>
      <c r="I129" s="178"/>
      <c r="J129" s="178"/>
      <c r="K129" s="178"/>
      <c r="L129" s="178"/>
      <c r="M129" s="178"/>
      <c r="N129" s="178"/>
      <c r="O129" s="178"/>
      <c r="P129" s="178"/>
      <c r="Q129" s="178"/>
      <c r="R129" s="178"/>
      <c r="S129" s="988">
        <f>Ram_1!AR125</f>
        <v>0</v>
      </c>
      <c r="T129" s="178"/>
      <c r="U129" s="178"/>
      <c r="V129" s="178"/>
      <c r="W129" s="972" t="str">
        <f>'Translate &amp; Prices'!$O$527</f>
        <v>Zawiasy do podnośników</v>
      </c>
      <c r="X129" s="972"/>
      <c r="Y129" s="972"/>
      <c r="Z129" s="972"/>
      <c r="AA129" s="972"/>
      <c r="AB129" s="501"/>
      <c r="AC129" s="973">
        <f>Ram_4!$H$18</f>
        <v>0</v>
      </c>
      <c r="AD129" s="973"/>
      <c r="AE129" s="973"/>
      <c r="AF129" s="973"/>
      <c r="AG129" s="973"/>
      <c r="AH129" s="973"/>
      <c r="AI129" s="973"/>
      <c r="AJ129" s="973"/>
      <c r="AK129" s="973"/>
      <c r="AL129" s="973"/>
      <c r="AM129" s="973"/>
      <c r="AN129" s="973"/>
      <c r="AO129" s="973"/>
      <c r="AP129" s="584"/>
      <c r="AQ129" s="584"/>
      <c r="AR129" s="992"/>
      <c r="BD129" s="395" t="s">
        <v>568</v>
      </c>
      <c r="BE129" s="395" t="s">
        <v>492</v>
      </c>
      <c r="BI129" s="474" t="s">
        <v>487</v>
      </c>
      <c r="BJ129" s="474" t="s">
        <v>487</v>
      </c>
      <c r="BM129" s="474" t="s">
        <v>465</v>
      </c>
      <c r="BN129" s="474" t="s">
        <v>2600</v>
      </c>
      <c r="BS129" s="474" t="s">
        <v>2599</v>
      </c>
      <c r="BT129" s="474" t="s">
        <v>2599</v>
      </c>
      <c r="CA129" s="404" t="s">
        <v>2454</v>
      </c>
      <c r="CB129" s="404" t="s">
        <v>2616</v>
      </c>
    </row>
    <row r="130" spans="1:80" ht="16.2" customHeight="1" x14ac:dyDescent="0.3">
      <c r="A130" s="178"/>
      <c r="B130" s="584"/>
      <c r="C130" s="584"/>
      <c r="D130" s="178"/>
      <c r="E130" s="178"/>
      <c r="F130" s="178"/>
      <c r="G130" s="178"/>
      <c r="H130" s="178"/>
      <c r="I130" s="178"/>
      <c r="J130" s="178"/>
      <c r="K130" s="178"/>
      <c r="L130" s="178"/>
      <c r="M130" s="178"/>
      <c r="N130" s="178"/>
      <c r="O130" s="178"/>
      <c r="P130" s="178"/>
      <c r="Q130" s="178"/>
      <c r="R130" s="178"/>
      <c r="S130" s="988">
        <f>Ram_1!AR126</f>
        <v>0</v>
      </c>
      <c r="T130" s="178"/>
      <c r="U130" s="178"/>
      <c r="V130" s="178"/>
      <c r="W130" s="972" t="str">
        <f>'Translate &amp; Prices'!$O$203</f>
        <v>Ilość zawiasów na 1 ramkę</v>
      </c>
      <c r="X130" s="972"/>
      <c r="Y130" s="972"/>
      <c r="Z130" s="972"/>
      <c r="AA130" s="972"/>
      <c r="AB130" s="501"/>
      <c r="AC130" s="973">
        <f>Ram_4!$H$19</f>
        <v>0</v>
      </c>
      <c r="AD130" s="973"/>
      <c r="AE130" s="973"/>
      <c r="AF130" s="973"/>
      <c r="AG130" s="973"/>
      <c r="AH130" s="973"/>
      <c r="AI130" s="973"/>
      <c r="AJ130" s="973"/>
      <c r="AK130" s="973"/>
      <c r="AL130" s="973"/>
      <c r="AM130" s="973"/>
      <c r="AN130" s="973"/>
      <c r="AO130" s="973"/>
      <c r="AP130" s="584"/>
      <c r="AQ130" s="584"/>
      <c r="AR130" s="992"/>
      <c r="BD130" s="395" t="s">
        <v>569</v>
      </c>
      <c r="BE130" s="395" t="s">
        <v>493</v>
      </c>
      <c r="BM130" s="474" t="s">
        <v>526</v>
      </c>
      <c r="BN130" s="474" t="s">
        <v>526</v>
      </c>
      <c r="BS130" s="474" t="s">
        <v>523</v>
      </c>
      <c r="BT130" s="474" t="s">
        <v>523</v>
      </c>
      <c r="CA130" s="404" t="s">
        <v>2563</v>
      </c>
      <c r="CB130" s="404" t="s">
        <v>2617</v>
      </c>
    </row>
    <row r="131" spans="1:80" ht="16.2" customHeight="1" x14ac:dyDescent="0.3">
      <c r="A131" s="178"/>
      <c r="B131" s="584"/>
      <c r="C131" s="584"/>
      <c r="D131" s="178"/>
      <c r="E131" s="178"/>
      <c r="F131" s="178"/>
      <c r="G131" s="178"/>
      <c r="H131" s="178"/>
      <c r="I131" s="178"/>
      <c r="J131" s="178"/>
      <c r="K131" s="178"/>
      <c r="L131" s="178"/>
      <c r="M131" s="178"/>
      <c r="N131" s="178"/>
      <c r="O131" s="178"/>
      <c r="P131" s="178"/>
      <c r="Q131" s="178"/>
      <c r="R131" s="178"/>
      <c r="S131" s="989" t="str">
        <f>'Translate &amp; Prices'!$O$156</f>
        <v>Wysokość</v>
      </c>
      <c r="T131" s="178"/>
      <c r="U131" s="178"/>
      <c r="V131" s="178"/>
      <c r="W131" s="972" t="e">
        <f>'Translate &amp; Prices'!$O$222&amp;" "&amp;VLOOKUP(Ram_4!H17,kombinace_1!$BY$32:$CC$35,5,0)</f>
        <v>#N/A</v>
      </c>
      <c r="X131" s="972"/>
      <c r="Y131" s="972"/>
      <c r="Z131" s="972"/>
      <c r="AA131" s="972"/>
      <c r="AB131" s="973">
        <f>Ram_4!$F$20</f>
        <v>100</v>
      </c>
      <c r="AC131" s="973"/>
      <c r="AD131" s="973"/>
      <c r="AE131" s="973"/>
      <c r="AF131" s="973"/>
      <c r="AG131" s="972" t="e">
        <f>'Translate &amp; Prices'!$O$222&amp;" "&amp;VLOOKUP(Ram_4!H17,kombinace_1!$BY$32:$CD$35,6,0)</f>
        <v>#N/A</v>
      </c>
      <c r="AH131" s="972"/>
      <c r="AI131" s="972"/>
      <c r="AJ131" s="972"/>
      <c r="AK131" s="972"/>
      <c r="AL131" s="973">
        <f>Ram_4!$N$20</f>
        <v>100</v>
      </c>
      <c r="AM131" s="973"/>
      <c r="AN131" s="973"/>
      <c r="AO131" s="973"/>
      <c r="AP131" s="584"/>
      <c r="AQ131" s="584"/>
      <c r="AR131" s="992"/>
      <c r="BD131" s="395" t="s">
        <v>570</v>
      </c>
      <c r="BE131" s="395" t="s">
        <v>2348</v>
      </c>
      <c r="BM131" s="474" t="s">
        <v>527</v>
      </c>
      <c r="BN131" s="474" t="s">
        <v>527</v>
      </c>
      <c r="BS131" s="474" t="s">
        <v>524</v>
      </c>
      <c r="BT131" s="474" t="s">
        <v>524</v>
      </c>
      <c r="CA131" s="404" t="s">
        <v>2455</v>
      </c>
      <c r="CB131" s="404" t="s">
        <v>2618</v>
      </c>
    </row>
    <row r="132" spans="1:80" ht="16.2" customHeight="1" x14ac:dyDescent="0.3">
      <c r="A132" s="178"/>
      <c r="B132" s="584"/>
      <c r="C132" s="584"/>
      <c r="D132" s="178"/>
      <c r="E132" s="178"/>
      <c r="F132" s="178"/>
      <c r="G132" s="178"/>
      <c r="H132" s="178"/>
      <c r="I132" s="178"/>
      <c r="J132" s="178"/>
      <c r="K132" s="178"/>
      <c r="L132" s="178"/>
      <c r="M132" s="178"/>
      <c r="N132" s="178"/>
      <c r="O132" s="178"/>
      <c r="P132" s="178"/>
      <c r="Q132" s="178"/>
      <c r="R132" s="178"/>
      <c r="S132" s="989">
        <f>Ram_1!AR128</f>
        <v>0</v>
      </c>
      <c r="T132" s="178"/>
      <c r="U132" s="178"/>
      <c r="V132" s="178"/>
      <c r="W132" s="592"/>
      <c r="X132" s="592"/>
      <c r="Y132" s="592"/>
      <c r="Z132" s="592"/>
      <c r="AA132" s="592"/>
      <c r="AB132" s="593"/>
      <c r="AC132" s="593"/>
      <c r="AD132" s="593"/>
      <c r="AE132" s="594"/>
      <c r="AF132" s="594"/>
      <c r="AG132" s="594"/>
      <c r="AH132" s="594"/>
      <c r="AI132" s="594"/>
      <c r="AJ132" s="593"/>
      <c r="AK132" s="593"/>
      <c r="AL132" s="593"/>
      <c r="AM132" s="593"/>
      <c r="AN132" s="593"/>
      <c r="AO132" s="593"/>
      <c r="AP132" s="584"/>
      <c r="AQ132" s="584"/>
      <c r="AR132" s="992"/>
      <c r="BD132" s="395" t="s">
        <v>2970</v>
      </c>
      <c r="BE132" s="395" t="s">
        <v>492</v>
      </c>
      <c r="BM132" s="474" t="s">
        <v>528</v>
      </c>
      <c r="BN132" s="474" t="s">
        <v>528</v>
      </c>
      <c r="BS132" s="474" t="s">
        <v>2310</v>
      </c>
      <c r="BT132" s="474" t="s">
        <v>2309</v>
      </c>
      <c r="CA132" s="404" t="s">
        <v>2724</v>
      </c>
      <c r="CB132" s="404" t="s">
        <v>2616</v>
      </c>
    </row>
    <row r="133" spans="1:80" ht="16.2" customHeight="1" x14ac:dyDescent="0.3">
      <c r="A133" s="178"/>
      <c r="B133" s="584"/>
      <c r="C133" s="584"/>
      <c r="D133" s="178"/>
      <c r="E133" s="178"/>
      <c r="F133" s="178"/>
      <c r="G133" s="178"/>
      <c r="H133" s="178"/>
      <c r="I133" s="178"/>
      <c r="J133" s="178"/>
      <c r="K133" s="178"/>
      <c r="L133" s="178"/>
      <c r="M133" s="178"/>
      <c r="N133" s="178"/>
      <c r="O133" s="178"/>
      <c r="P133" s="178"/>
      <c r="Q133" s="178"/>
      <c r="R133" s="178"/>
      <c r="S133" s="989">
        <f>Ram_1!AR129</f>
        <v>0</v>
      </c>
      <c r="T133" s="178"/>
      <c r="U133" s="178"/>
      <c r="V133" s="178"/>
      <c r="W133" s="972" t="str">
        <f>'Translate &amp; Prices'!$O$153</f>
        <v>Rodzaj szkła</v>
      </c>
      <c r="X133" s="972"/>
      <c r="Y133" s="972"/>
      <c r="Z133" s="972"/>
      <c r="AA133" s="972"/>
      <c r="AB133" s="501"/>
      <c r="AC133" s="973" t="str">
        <f>IFERROR(VLOOKUP(kombinace_4!$V$1,BX120:BY122,2,0),0)</f>
        <v>Bez modyfikacji</v>
      </c>
      <c r="AD133" s="973"/>
      <c r="AE133" s="973"/>
      <c r="AF133" s="973"/>
      <c r="AG133" s="973"/>
      <c r="AH133" s="973"/>
      <c r="AI133" s="973"/>
      <c r="AJ133" s="973"/>
      <c r="AK133" s="973"/>
      <c r="AL133" s="973"/>
      <c r="AM133" s="973"/>
      <c r="AN133" s="973"/>
      <c r="AO133" s="973"/>
      <c r="AP133" s="584"/>
      <c r="AQ133" s="584"/>
      <c r="AR133" s="992"/>
      <c r="BD133" s="395" t="s">
        <v>2803</v>
      </c>
      <c r="BE133" s="395" t="s">
        <v>493</v>
      </c>
      <c r="BM133" s="474" t="s">
        <v>529</v>
      </c>
      <c r="BN133" s="474" t="s">
        <v>529</v>
      </c>
      <c r="BS133" s="474" t="s">
        <v>2312</v>
      </c>
      <c r="BT133" s="474" t="s">
        <v>2599</v>
      </c>
      <c r="CA133" s="404" t="s">
        <v>2725</v>
      </c>
      <c r="CB133" s="404" t="s">
        <v>2617</v>
      </c>
    </row>
    <row r="134" spans="1:80" ht="16.2" customHeight="1" x14ac:dyDescent="0.3">
      <c r="A134" s="178"/>
      <c r="B134" s="584"/>
      <c r="C134" s="584"/>
      <c r="D134" s="178"/>
      <c r="E134" s="178"/>
      <c r="F134" s="178"/>
      <c r="G134" s="178"/>
      <c r="H134" s="178"/>
      <c r="I134" s="178"/>
      <c r="J134" s="178"/>
      <c r="K134" s="178"/>
      <c r="L134" s="178"/>
      <c r="M134" s="178"/>
      <c r="N134" s="178"/>
      <c r="O134" s="178"/>
      <c r="P134" s="178"/>
      <c r="Q134" s="178"/>
      <c r="R134" s="178"/>
      <c r="S134" s="989">
        <f>Ram_1!AR130</f>
        <v>0</v>
      </c>
      <c r="T134" s="178"/>
      <c r="U134" s="178"/>
      <c r="V134" s="178"/>
      <c r="W134" s="972" t="str">
        <f>'Translate &amp; Prices'!$O$542</f>
        <v>Rodzaj folii</v>
      </c>
      <c r="X134" s="972"/>
      <c r="Y134" s="972"/>
      <c r="Z134" s="972"/>
      <c r="AA134" s="972"/>
      <c r="AB134" s="501"/>
      <c r="AC134" s="973">
        <f>IFERROR(VLOOKUP(Ram_4!$H$24,CA120:CB134,2,0),0)</f>
        <v>0</v>
      </c>
      <c r="AD134" s="973"/>
      <c r="AE134" s="973"/>
      <c r="AF134" s="973"/>
      <c r="AG134" s="973"/>
      <c r="AH134" s="973"/>
      <c r="AI134" s="973"/>
      <c r="AJ134" s="973"/>
      <c r="AK134" s="973"/>
      <c r="AL134" s="973"/>
      <c r="AM134" s="973"/>
      <c r="AN134" s="973"/>
      <c r="AO134" s="973"/>
      <c r="AP134" s="584"/>
      <c r="AQ134" s="584"/>
      <c r="AR134" s="992"/>
      <c r="BD134" s="395" t="s">
        <v>1847</v>
      </c>
      <c r="BE134" s="395" t="s">
        <v>2348</v>
      </c>
      <c r="BM134" s="474" t="s">
        <v>2600</v>
      </c>
      <c r="BN134" s="474" t="s">
        <v>2600</v>
      </c>
      <c r="BS134" s="474" t="s">
        <v>600</v>
      </c>
      <c r="BT134" s="474" t="s">
        <v>523</v>
      </c>
      <c r="CA134" s="404" t="s">
        <v>2726</v>
      </c>
      <c r="CB134" s="404" t="s">
        <v>2618</v>
      </c>
    </row>
    <row r="135" spans="1:80" ht="16.2" customHeight="1" thickBot="1" x14ac:dyDescent="0.35">
      <c r="A135" s="178"/>
      <c r="B135" s="584"/>
      <c r="C135" s="584"/>
      <c r="D135" s="178"/>
      <c r="E135" s="178"/>
      <c r="F135" s="178"/>
      <c r="G135" s="178"/>
      <c r="H135" s="178"/>
      <c r="I135" s="178"/>
      <c r="J135" s="178"/>
      <c r="K135" s="178"/>
      <c r="L135" s="178"/>
      <c r="M135" s="178"/>
      <c r="N135" s="178"/>
      <c r="O135" s="178"/>
      <c r="P135" s="178"/>
      <c r="Q135" s="178"/>
      <c r="R135" s="178"/>
      <c r="S135" s="990">
        <f>Ram_1!AR131</f>
        <v>0</v>
      </c>
      <c r="T135" s="178"/>
      <c r="U135" s="178"/>
      <c r="V135" s="178"/>
      <c r="W135" s="972" t="str">
        <f>'Translate &amp; Prices'!$O$153</f>
        <v>Rodzaj szkła</v>
      </c>
      <c r="X135" s="972"/>
      <c r="Y135" s="972"/>
      <c r="Z135" s="972"/>
      <c r="AA135" s="972"/>
      <c r="AB135" s="501"/>
      <c r="AC135" s="973">
        <f>IFERROR(VLOOKUP(Ram_4!$H$25,kombinace_1!DT:DU,2,0),0)</f>
        <v>0</v>
      </c>
      <c r="AD135" s="973"/>
      <c r="AE135" s="973"/>
      <c r="AF135" s="973"/>
      <c r="AG135" s="973"/>
      <c r="AH135" s="973"/>
      <c r="AI135" s="973"/>
      <c r="AJ135" s="973"/>
      <c r="AK135" s="973"/>
      <c r="AL135" s="973"/>
      <c r="AM135" s="973"/>
      <c r="AN135" s="973"/>
      <c r="AO135" s="973"/>
      <c r="AP135" s="584"/>
      <c r="AQ135" s="584"/>
      <c r="AR135" s="992"/>
      <c r="BM135" s="474" t="s">
        <v>604</v>
      </c>
      <c r="BN135" s="474" t="s">
        <v>526</v>
      </c>
      <c r="BS135" s="474" t="s">
        <v>601</v>
      </c>
      <c r="BT135" s="474" t="s">
        <v>524</v>
      </c>
    </row>
    <row r="136" spans="1:80" ht="16.2" customHeight="1" x14ac:dyDescent="0.3">
      <c r="A136" s="178"/>
      <c r="B136" s="584"/>
      <c r="C136" s="584"/>
      <c r="D136" s="178"/>
      <c r="E136" s="178"/>
      <c r="F136" s="178"/>
      <c r="G136" s="178"/>
      <c r="H136" s="178"/>
      <c r="I136" s="178"/>
      <c r="J136" s="178"/>
      <c r="K136" s="178"/>
      <c r="L136" s="178"/>
      <c r="M136" s="178"/>
      <c r="N136" s="178"/>
      <c r="O136" s="178"/>
      <c r="P136" s="178"/>
      <c r="Q136" s="178"/>
      <c r="R136" s="178"/>
      <c r="S136" s="178"/>
      <c r="T136" s="178"/>
      <c r="U136" s="178"/>
      <c r="V136" s="178"/>
      <c r="W136" s="972" t="str">
        <f>'Translate &amp; Prices'!$O$529</f>
        <v>Rozstaw uchwytu (mm)</v>
      </c>
      <c r="X136" s="972"/>
      <c r="Y136" s="972"/>
      <c r="Z136" s="972"/>
      <c r="AA136" s="972"/>
      <c r="AB136" s="501"/>
      <c r="AC136" s="973">
        <f>Ram_4!$H$26</f>
        <v>0</v>
      </c>
      <c r="AD136" s="973"/>
      <c r="AE136" s="973"/>
      <c r="AF136" s="973"/>
      <c r="AG136" s="973"/>
      <c r="AH136" s="973"/>
      <c r="AI136" s="973"/>
      <c r="AJ136" s="973"/>
      <c r="AK136" s="973"/>
      <c r="AL136" s="973"/>
      <c r="AM136" s="973"/>
      <c r="AN136" s="973"/>
      <c r="AO136" s="973"/>
      <c r="AP136" s="584"/>
      <c r="AQ136" s="584"/>
      <c r="AR136" s="992"/>
      <c r="BM136" s="474" t="s">
        <v>605</v>
      </c>
      <c r="BN136" s="474" t="s">
        <v>527</v>
      </c>
      <c r="BS136" s="474" t="s">
        <v>2675</v>
      </c>
      <c r="BT136" s="474" t="s">
        <v>2309</v>
      </c>
    </row>
    <row r="137" spans="1:80" ht="16.2" customHeight="1" x14ac:dyDescent="0.3">
      <c r="A137" s="178"/>
      <c r="B137" s="584"/>
      <c r="C137" s="584"/>
      <c r="D137" s="178"/>
      <c r="E137" s="178"/>
      <c r="F137" s="178"/>
      <c r="G137" s="178"/>
      <c r="H137" s="178"/>
      <c r="I137" s="178"/>
      <c r="J137" s="178"/>
      <c r="K137" s="178"/>
      <c r="L137" s="178"/>
      <c r="M137" s="178"/>
      <c r="N137" s="178"/>
      <c r="O137" s="178"/>
      <c r="P137" s="178"/>
      <c r="Q137" s="178"/>
      <c r="R137" s="178"/>
      <c r="S137" s="178"/>
      <c r="T137" s="178"/>
      <c r="U137" s="178"/>
      <c r="V137" s="178"/>
      <c r="W137" s="972" t="str">
        <f>'Translate &amp; Prices'!$O$530</f>
        <v>Umieszczenie uchwytu</v>
      </c>
      <c r="X137" s="972"/>
      <c r="Y137" s="972"/>
      <c r="Z137" s="972"/>
      <c r="AA137" s="972"/>
      <c r="AB137" s="501"/>
      <c r="AC137" s="973">
        <f>IFERROR(VLOOKUP(Ram_4!$H$27,BS120:BT139,2,0),0)</f>
        <v>0</v>
      </c>
      <c r="AD137" s="973"/>
      <c r="AE137" s="973"/>
      <c r="AF137" s="973"/>
      <c r="AG137" s="973"/>
      <c r="AH137" s="973"/>
      <c r="AI137" s="973"/>
      <c r="AJ137" s="973"/>
      <c r="AK137" s="973"/>
      <c r="AL137" s="973"/>
      <c r="AM137" s="973"/>
      <c r="AN137" s="973"/>
      <c r="AO137" s="973"/>
      <c r="AP137" s="584"/>
      <c r="AQ137" s="584"/>
      <c r="AR137" s="992"/>
      <c r="BM137" s="474" t="s">
        <v>606</v>
      </c>
      <c r="BN137" s="474" t="s">
        <v>528</v>
      </c>
      <c r="BS137" s="474" t="s">
        <v>1921</v>
      </c>
      <c r="BT137" s="474" t="s">
        <v>2599</v>
      </c>
    </row>
    <row r="138" spans="1:80" ht="16.2" customHeight="1" x14ac:dyDescent="0.3">
      <c r="A138" s="178"/>
      <c r="B138" s="584"/>
      <c r="C138" s="584"/>
      <c r="D138" s="178"/>
      <c r="E138" s="178"/>
      <c r="F138" s="178"/>
      <c r="G138" s="178"/>
      <c r="H138" s="178"/>
      <c r="I138" s="178"/>
      <c r="J138" s="178"/>
      <c r="K138" s="178"/>
      <c r="L138" s="178"/>
      <c r="M138" s="178"/>
      <c r="N138" s="178"/>
      <c r="O138" s="178"/>
      <c r="P138" s="178"/>
      <c r="Q138" s="178"/>
      <c r="R138" s="178"/>
      <c r="S138" s="178"/>
      <c r="T138" s="178"/>
      <c r="U138" s="178"/>
      <c r="V138" s="178"/>
      <c r="W138" s="972" t="str">
        <f>('Translate &amp; Prices'!$O$154)&amp;" "&amp;"-"&amp;" "&amp;('Translate &amp; Prices'!$O$149)&amp;" "&amp;" "&amp;1</f>
        <v>Ilość sztuk - Ramka  1</v>
      </c>
      <c r="X138" s="972"/>
      <c r="Y138" s="972"/>
      <c r="Z138" s="972"/>
      <c r="AA138" s="972"/>
      <c r="AB138" s="501"/>
      <c r="AC138" s="973">
        <f>Ram_4!$H$28</f>
        <v>0</v>
      </c>
      <c r="AD138" s="973"/>
      <c r="AE138" s="973"/>
      <c r="AF138" s="973"/>
      <c r="AG138" s="973"/>
      <c r="AH138" s="973"/>
      <c r="AI138" s="973"/>
      <c r="AJ138" s="973"/>
      <c r="AK138" s="973"/>
      <c r="AL138" s="973"/>
      <c r="AM138" s="973"/>
      <c r="AN138" s="973"/>
      <c r="AO138" s="973"/>
      <c r="AP138" s="584"/>
      <c r="AQ138" s="584"/>
      <c r="AR138" s="992"/>
      <c r="BM138" s="474" t="s">
        <v>607</v>
      </c>
      <c r="BN138" s="474" t="s">
        <v>529</v>
      </c>
      <c r="BS138" s="474" t="s">
        <v>1880</v>
      </c>
      <c r="BT138" s="474" t="s">
        <v>523</v>
      </c>
    </row>
    <row r="139" spans="1:80" ht="16.2" customHeight="1" x14ac:dyDescent="0.3">
      <c r="A139" s="178"/>
      <c r="B139" s="584"/>
      <c r="C139" s="584"/>
      <c r="D139" s="178"/>
      <c r="E139" s="178"/>
      <c r="F139" s="178"/>
      <c r="G139" s="178"/>
      <c r="H139" s="178"/>
      <c r="I139" s="178"/>
      <c r="J139" s="178"/>
      <c r="K139" s="178"/>
      <c r="L139" s="178"/>
      <c r="M139" s="178"/>
      <c r="N139" s="178"/>
      <c r="O139" s="178"/>
      <c r="P139" s="178"/>
      <c r="Q139" s="178"/>
      <c r="R139" s="178"/>
      <c r="S139" s="178"/>
      <c r="T139" s="178"/>
      <c r="U139" s="178"/>
      <c r="V139" s="178"/>
      <c r="W139" s="1"/>
      <c r="X139" s="1"/>
      <c r="Y139" s="1"/>
      <c r="Z139" s="1"/>
      <c r="AA139" s="1"/>
      <c r="AB139" s="1"/>
      <c r="AC139" s="1"/>
      <c r="AD139" s="1"/>
      <c r="AE139" s="1"/>
      <c r="AF139" s="1"/>
      <c r="AG139" s="1"/>
      <c r="AH139" s="1"/>
      <c r="AI139" s="1"/>
      <c r="AJ139" s="1"/>
      <c r="AK139" s="1"/>
      <c r="AL139" s="1"/>
      <c r="AM139" s="1"/>
      <c r="AN139" s="1"/>
      <c r="AO139" s="1"/>
      <c r="AP139" s="584"/>
      <c r="AQ139" s="584"/>
      <c r="AR139" s="992"/>
      <c r="BM139" s="474" t="s">
        <v>2519</v>
      </c>
      <c r="BN139" s="474" t="s">
        <v>2600</v>
      </c>
      <c r="BS139" s="474" t="s">
        <v>1881</v>
      </c>
      <c r="BT139" s="474" t="s">
        <v>524</v>
      </c>
    </row>
    <row r="140" spans="1:80" ht="14.4" customHeight="1" x14ac:dyDescent="0.3">
      <c r="A140" s="178"/>
      <c r="B140" s="584"/>
      <c r="C140" s="584"/>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584"/>
      <c r="AB140" s="584"/>
      <c r="AC140" s="584"/>
      <c r="AD140" s="584"/>
      <c r="AG140" s="584"/>
      <c r="AH140" s="584"/>
      <c r="AI140" s="584"/>
      <c r="AJ140" s="584"/>
      <c r="AK140" s="584"/>
      <c r="AL140" s="584"/>
      <c r="AM140" s="584"/>
      <c r="AN140" s="584"/>
      <c r="AO140" s="584"/>
      <c r="AP140" s="584"/>
      <c r="AQ140" s="584"/>
      <c r="AR140" s="992"/>
      <c r="BM140" s="474" t="s">
        <v>2676</v>
      </c>
      <c r="BN140" s="474" t="s">
        <v>526</v>
      </c>
    </row>
    <row r="141" spans="1:80" ht="14.4" customHeight="1" x14ac:dyDescent="0.3">
      <c r="A141" s="178"/>
      <c r="B141" s="584"/>
      <c r="C141" s="584"/>
      <c r="D141" s="178"/>
      <c r="E141" s="178"/>
      <c r="F141" s="178"/>
      <c r="G141" s="178"/>
      <c r="H141" s="178"/>
      <c r="I141" s="178"/>
      <c r="J141" s="178"/>
      <c r="K141" s="178"/>
      <c r="L141" s="178"/>
      <c r="M141" s="178"/>
      <c r="N141" s="178"/>
      <c r="O141" s="178"/>
      <c r="P141" s="178"/>
      <c r="Q141" s="178"/>
      <c r="R141" s="178"/>
      <c r="S141" s="178"/>
      <c r="T141" s="178"/>
      <c r="U141" s="178"/>
      <c r="V141" s="178"/>
      <c r="W141" s="994" t="s">
        <v>3004</v>
      </c>
      <c r="X141" s="994"/>
      <c r="Y141" s="994"/>
      <c r="Z141" s="994"/>
      <c r="AA141" s="584"/>
      <c r="AB141" s="584"/>
      <c r="AC141" s="584"/>
      <c r="AD141" s="584"/>
      <c r="AE141" s="994" t="s">
        <v>3005</v>
      </c>
      <c r="AF141" s="994"/>
      <c r="AG141" s="994"/>
      <c r="AH141" s="994"/>
      <c r="AI141" s="584"/>
      <c r="AJ141" s="584"/>
      <c r="AK141" s="584"/>
      <c r="AL141" s="584"/>
      <c r="AM141" s="584"/>
      <c r="AN141" s="584"/>
      <c r="AO141" s="584"/>
      <c r="AP141" s="584"/>
      <c r="AQ141" s="584"/>
      <c r="AR141" s="992"/>
      <c r="BM141" s="474" t="s">
        <v>2677</v>
      </c>
      <c r="BN141" s="474" t="s">
        <v>527</v>
      </c>
    </row>
    <row r="142" spans="1:80" ht="14.4" customHeight="1" x14ac:dyDescent="0.3">
      <c r="A142" s="178"/>
      <c r="B142" s="584"/>
      <c r="C142" s="584"/>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584"/>
      <c r="AB142" s="584"/>
      <c r="AC142" s="584"/>
      <c r="AD142" s="584"/>
      <c r="AE142" s="974"/>
      <c r="AF142" s="975"/>
      <c r="AG142" s="975"/>
      <c r="AH142" s="975"/>
      <c r="AI142" s="975"/>
      <c r="AJ142" s="975"/>
      <c r="AK142" s="975"/>
      <c r="AL142" s="975"/>
      <c r="AM142" s="975"/>
      <c r="AN142" s="976"/>
      <c r="AO142" s="584"/>
      <c r="AP142" s="584"/>
      <c r="AQ142" s="584"/>
      <c r="AR142" s="992"/>
      <c r="BM142" s="474" t="s">
        <v>2831</v>
      </c>
      <c r="BN142" s="474" t="s">
        <v>528</v>
      </c>
    </row>
    <row r="143" spans="1:80" ht="14.4" customHeight="1" x14ac:dyDescent="0.3">
      <c r="A143" s="178"/>
      <c r="B143" s="584"/>
      <c r="C143" s="584"/>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584"/>
      <c r="AB143" s="584"/>
      <c r="AC143" s="584"/>
      <c r="AD143" s="584"/>
      <c r="AE143" s="977"/>
      <c r="AF143" s="978"/>
      <c r="AG143" s="978"/>
      <c r="AH143" s="978"/>
      <c r="AI143" s="978"/>
      <c r="AJ143" s="978"/>
      <c r="AK143" s="978"/>
      <c r="AL143" s="978"/>
      <c r="AM143" s="978"/>
      <c r="AN143" s="979"/>
      <c r="AO143" s="584"/>
      <c r="AP143" s="584"/>
      <c r="AQ143" s="584"/>
      <c r="AR143" s="992"/>
      <c r="BM143" s="474" t="s">
        <v>2832</v>
      </c>
      <c r="BN143" s="474" t="s">
        <v>529</v>
      </c>
    </row>
    <row r="144" spans="1:80" ht="14.4" customHeight="1" x14ac:dyDescent="0.3">
      <c r="A144" s="178"/>
      <c r="B144" s="584"/>
      <c r="C144" s="584"/>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584"/>
      <c r="AB144" s="584"/>
      <c r="AC144" s="584"/>
      <c r="AD144" s="584"/>
      <c r="AE144" s="977"/>
      <c r="AF144" s="978"/>
      <c r="AG144" s="978"/>
      <c r="AH144" s="978"/>
      <c r="AI144" s="978"/>
      <c r="AJ144" s="978"/>
      <c r="AK144" s="978"/>
      <c r="AL144" s="978"/>
      <c r="AM144" s="978"/>
      <c r="AN144" s="979"/>
      <c r="AO144" s="584"/>
      <c r="AP144" s="584"/>
      <c r="AQ144" s="584"/>
      <c r="AR144" s="992"/>
      <c r="BM144" s="474" t="s">
        <v>2098</v>
      </c>
      <c r="BN144" s="474" t="s">
        <v>2600</v>
      </c>
    </row>
    <row r="145" spans="1:80" ht="14.4" customHeight="1" x14ac:dyDescent="0.35">
      <c r="A145" s="178"/>
      <c r="B145" s="584"/>
      <c r="C145" s="584"/>
      <c r="D145" s="996">
        <f>IF(OR(Ram_4!$AC$25="x",Ram_4!$AJ$26="x",Ram_4!$AC$9="x",Ram_4!$AJ$7="x",Ram_4!$AB$16="x",Ram_4!$AM$23="x",Ram_4!$AN$19="x",Ram_4!$AD$10="x"),'Translate &amp; Prices'!$B$568,0)</f>
        <v>0</v>
      </c>
      <c r="E145" s="996"/>
      <c r="F145" s="996"/>
      <c r="G145" s="996"/>
      <c r="H145" s="996"/>
      <c r="I145" s="996"/>
      <c r="J145" s="996"/>
      <c r="K145" s="996"/>
      <c r="L145" s="996"/>
      <c r="M145" s="996"/>
      <c r="N145" s="996"/>
      <c r="O145" s="996"/>
      <c r="P145" s="996"/>
      <c r="Q145" s="178"/>
      <c r="R145" s="178"/>
      <c r="S145" s="178"/>
      <c r="T145" s="178"/>
      <c r="U145" s="178"/>
      <c r="V145" s="178"/>
      <c r="W145" s="178"/>
      <c r="X145" s="178"/>
      <c r="Y145" s="178"/>
      <c r="Z145" s="178"/>
      <c r="AA145" s="584"/>
      <c r="AB145" s="584"/>
      <c r="AC145" s="584"/>
      <c r="AD145" s="584"/>
      <c r="AE145" s="977"/>
      <c r="AF145" s="978"/>
      <c r="AG145" s="978"/>
      <c r="AH145" s="978"/>
      <c r="AI145" s="978"/>
      <c r="AJ145" s="978"/>
      <c r="AK145" s="978"/>
      <c r="AL145" s="978"/>
      <c r="AM145" s="978"/>
      <c r="AN145" s="979"/>
      <c r="AO145" s="584"/>
      <c r="AP145" s="584"/>
      <c r="AQ145" s="584"/>
      <c r="AR145" s="992"/>
    </row>
    <row r="146" spans="1:80" ht="14.4" customHeight="1" x14ac:dyDescent="0.3">
      <c r="A146" s="178"/>
      <c r="B146" s="584"/>
      <c r="C146" s="584"/>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584"/>
      <c r="AB146" s="584"/>
      <c r="AC146" s="584"/>
      <c r="AD146" s="584"/>
      <c r="AE146" s="977"/>
      <c r="AF146" s="978"/>
      <c r="AG146" s="978"/>
      <c r="AH146" s="978"/>
      <c r="AI146" s="978"/>
      <c r="AJ146" s="978"/>
      <c r="AK146" s="978"/>
      <c r="AL146" s="978"/>
      <c r="AM146" s="978"/>
      <c r="AN146" s="979"/>
      <c r="AO146" s="584"/>
      <c r="AP146" s="584"/>
      <c r="AQ146" s="584"/>
      <c r="AR146" s="992"/>
    </row>
    <row r="147" spans="1:80" ht="14.4" customHeight="1" thickBot="1" x14ac:dyDescent="0.35">
      <c r="A147" s="178"/>
      <c r="B147" s="584"/>
      <c r="C147" s="584"/>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584"/>
      <c r="AB147" s="584"/>
      <c r="AC147" s="584"/>
      <c r="AD147" s="584"/>
      <c r="AE147" s="977"/>
      <c r="AF147" s="978"/>
      <c r="AG147" s="978"/>
      <c r="AH147" s="978"/>
      <c r="AI147" s="978"/>
      <c r="AJ147" s="978"/>
      <c r="AK147" s="978"/>
      <c r="AL147" s="978"/>
      <c r="AM147" s="978"/>
      <c r="AN147" s="979"/>
      <c r="AO147" s="584"/>
      <c r="AP147" s="584"/>
      <c r="AQ147" s="584"/>
      <c r="AR147" s="992"/>
    </row>
    <row r="148" spans="1:80" ht="14.4" customHeight="1" thickBot="1" x14ac:dyDescent="0.35">
      <c r="A148" s="178"/>
      <c r="B148" s="584"/>
      <c r="C148" s="584"/>
      <c r="D148" s="178"/>
      <c r="E148" s="178"/>
      <c r="F148" s="178"/>
      <c r="G148" s="983" t="str">
        <f>'Translate &amp; Prices'!$O$155</f>
        <v>Szerokość</v>
      </c>
      <c r="H148" s="984">
        <f>Ram_1!AG138</f>
        <v>0</v>
      </c>
      <c r="I148" s="984">
        <f>Ram_1!AH138</f>
        <v>0</v>
      </c>
      <c r="J148" s="985">
        <f>Ram_4!AI30</f>
        <v>0</v>
      </c>
      <c r="K148" s="985">
        <f>Ram_1!AJ138</f>
        <v>0</v>
      </c>
      <c r="L148" s="986">
        <f>Ram_1!AK138</f>
        <v>0</v>
      </c>
      <c r="M148" s="178"/>
      <c r="N148" s="178"/>
      <c r="O148" s="178"/>
      <c r="P148" s="178"/>
      <c r="Q148" s="178"/>
      <c r="R148" s="178"/>
      <c r="S148" s="178"/>
      <c r="T148" s="178"/>
      <c r="U148" s="178"/>
      <c r="V148" s="178"/>
      <c r="W148" s="178"/>
      <c r="X148" s="178"/>
      <c r="Y148" s="178"/>
      <c r="Z148" s="178"/>
      <c r="AA148" s="584"/>
      <c r="AB148" s="584"/>
      <c r="AC148" s="584"/>
      <c r="AD148" s="584"/>
      <c r="AE148" s="977"/>
      <c r="AF148" s="978"/>
      <c r="AG148" s="978"/>
      <c r="AH148" s="978"/>
      <c r="AI148" s="978"/>
      <c r="AJ148" s="978"/>
      <c r="AK148" s="978"/>
      <c r="AL148" s="978"/>
      <c r="AM148" s="978"/>
      <c r="AN148" s="979"/>
      <c r="AO148" s="584"/>
      <c r="AP148" s="584"/>
      <c r="AQ148" s="584"/>
      <c r="AR148" s="992"/>
    </row>
    <row r="149" spans="1:80" ht="21" customHeight="1" x14ac:dyDescent="0.3">
      <c r="A149" s="178"/>
      <c r="B149" s="584"/>
      <c r="C149" s="584"/>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584"/>
      <c r="AB149" s="584"/>
      <c r="AC149" s="584"/>
      <c r="AD149" s="584"/>
      <c r="AE149" s="980"/>
      <c r="AF149" s="981"/>
      <c r="AG149" s="981"/>
      <c r="AH149" s="981"/>
      <c r="AI149" s="981"/>
      <c r="AJ149" s="981"/>
      <c r="AK149" s="981"/>
      <c r="AL149" s="981"/>
      <c r="AM149" s="981"/>
      <c r="AN149" s="982"/>
      <c r="AO149" s="584"/>
      <c r="AP149" s="584"/>
      <c r="AQ149" s="584"/>
      <c r="AR149" s="992"/>
    </row>
    <row r="150" spans="1:80" ht="14.4" customHeight="1" x14ac:dyDescent="0.3">
      <c r="A150" s="178"/>
      <c r="B150" s="584"/>
      <c r="C150" s="584"/>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584"/>
      <c r="AB150" s="584"/>
      <c r="AC150" s="584"/>
      <c r="AD150" s="584"/>
      <c r="AG150" s="584"/>
      <c r="AH150" s="584"/>
      <c r="AI150" s="584"/>
      <c r="AJ150" s="584"/>
      <c r="AK150" s="584"/>
      <c r="AL150" s="584"/>
      <c r="AM150" s="584"/>
      <c r="AN150" s="584"/>
      <c r="AO150" s="584"/>
      <c r="AP150" s="584"/>
      <c r="AQ150" s="584"/>
      <c r="AR150" s="992"/>
    </row>
    <row r="151" spans="1:80" ht="14.4" customHeight="1" x14ac:dyDescent="0.3">
      <c r="A151" s="178"/>
      <c r="B151" s="584"/>
      <c r="C151" s="584"/>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584"/>
      <c r="AB151" s="584"/>
      <c r="AC151" s="584"/>
      <c r="AD151" s="584"/>
      <c r="AG151" s="584"/>
      <c r="AH151" s="584"/>
      <c r="AI151" s="584"/>
      <c r="AJ151" s="584"/>
      <c r="AK151" s="584"/>
      <c r="AL151" s="584"/>
      <c r="AM151" s="584"/>
      <c r="AN151" s="584"/>
      <c r="AO151" s="584"/>
      <c r="AP151" s="584"/>
      <c r="AQ151" s="584"/>
      <c r="AR151" s="992"/>
    </row>
    <row r="152" spans="1:80" ht="14.4" customHeight="1" thickBot="1" x14ac:dyDescent="0.35">
      <c r="A152" s="589"/>
      <c r="B152" s="381"/>
      <c r="C152" s="381"/>
      <c r="D152" s="589"/>
      <c r="E152" s="589"/>
      <c r="F152" s="589"/>
      <c r="G152" s="589"/>
      <c r="H152" s="589"/>
      <c r="I152" s="589"/>
      <c r="J152" s="589"/>
      <c r="K152" s="589"/>
      <c r="L152" s="589"/>
      <c r="M152" s="589"/>
      <c r="N152" s="589"/>
      <c r="O152" s="589"/>
      <c r="P152" s="589"/>
      <c r="Q152" s="589"/>
      <c r="R152" s="589"/>
      <c r="S152" s="589"/>
      <c r="T152" s="589"/>
      <c r="U152" s="589"/>
      <c r="V152" s="589"/>
      <c r="W152" s="589"/>
      <c r="X152" s="589"/>
      <c r="Y152" s="589"/>
      <c r="Z152" s="589"/>
      <c r="AA152" s="381"/>
      <c r="AB152" s="381"/>
      <c r="AC152" s="381"/>
      <c r="AD152" s="381"/>
      <c r="AE152" s="590"/>
      <c r="AF152" s="591"/>
      <c r="AG152" s="381"/>
      <c r="AH152" s="381"/>
      <c r="AI152" s="381"/>
      <c r="AJ152" s="381"/>
      <c r="AK152" s="381"/>
      <c r="AL152" s="381"/>
      <c r="AM152" s="381"/>
      <c r="AN152" s="381"/>
      <c r="AO152" s="381"/>
      <c r="AP152" s="381"/>
      <c r="AQ152" s="381"/>
      <c r="AR152" s="381"/>
    </row>
    <row r="153" spans="1:80" ht="34.799999999999997" customHeight="1" thickBot="1" x14ac:dyDescent="0.35">
      <c r="A153" s="178"/>
      <c r="B153" s="584"/>
      <c r="C153" s="584"/>
      <c r="D153" s="178"/>
      <c r="E153" s="178"/>
      <c r="F153" s="178"/>
      <c r="G153" s="178"/>
      <c r="H153" s="178"/>
      <c r="I153" s="178"/>
      <c r="J153" s="585"/>
      <c r="K153" s="585"/>
      <c r="L153" s="585"/>
      <c r="M153" s="585"/>
      <c r="N153" s="585"/>
      <c r="O153" s="585"/>
      <c r="P153" s="585"/>
      <c r="Q153" s="585"/>
      <c r="R153" s="585"/>
      <c r="S153" s="585"/>
      <c r="T153" s="585"/>
      <c r="U153" s="585"/>
      <c r="V153" s="585"/>
      <c r="W153" s="971" t="str">
        <f>'Translate &amp; Prices'!$O$236</f>
        <v>Numer zamówienia</v>
      </c>
      <c r="X153" s="971"/>
      <c r="Y153" s="971"/>
      <c r="Z153" s="971"/>
      <c r="AA153" s="971"/>
      <c r="AB153" s="501"/>
      <c r="AC153" s="968"/>
      <c r="AD153" s="969"/>
      <c r="AE153" s="969"/>
      <c r="AF153" s="969"/>
      <c r="AG153" s="969"/>
      <c r="AH153" s="969"/>
      <c r="AI153" s="969"/>
      <c r="AJ153" s="969"/>
      <c r="AK153" s="969"/>
      <c r="AL153" s="969"/>
      <c r="AM153" s="969"/>
      <c r="AN153" s="969"/>
      <c r="AO153" s="970"/>
      <c r="AP153" s="584"/>
      <c r="AQ153" s="584"/>
      <c r="AR153" s="992" t="s">
        <v>3010</v>
      </c>
    </row>
    <row r="154" spans="1:80" ht="16.2" customHeight="1" x14ac:dyDescent="0.3">
      <c r="A154" s="178"/>
      <c r="B154" s="395"/>
      <c r="C154" s="395"/>
      <c r="W154" s="972" t="str">
        <f>'Translate &amp; Prices'!$O$522</f>
        <v>Połączenie 2 profili</v>
      </c>
      <c r="X154" s="972"/>
      <c r="Y154" s="972"/>
      <c r="Z154" s="972"/>
      <c r="AA154" s="972"/>
      <c r="AB154" s="501"/>
      <c r="AC154" s="991" t="str">
        <f>IF(kombinace_5!$H$1=TRUE,"Tak","Nie")</f>
        <v>Nie</v>
      </c>
      <c r="AD154" s="991"/>
      <c r="AE154" s="991"/>
      <c r="AF154" s="991"/>
      <c r="AG154" s="991"/>
      <c r="AH154" s="991"/>
      <c r="AI154" s="991"/>
      <c r="AJ154" s="991"/>
      <c r="AK154" s="991"/>
      <c r="AL154" s="991"/>
      <c r="AM154" s="991"/>
      <c r="AN154" s="991"/>
      <c r="AO154" s="991"/>
      <c r="AR154" s="992"/>
    </row>
    <row r="155" spans="1:80" ht="16.2" customHeight="1" x14ac:dyDescent="0.3">
      <c r="A155" s="178"/>
      <c r="B155" s="584"/>
      <c r="C155" s="584"/>
      <c r="D155" s="178"/>
      <c r="E155" s="178"/>
      <c r="F155" s="178"/>
      <c r="G155" s="178"/>
      <c r="H155" s="178"/>
      <c r="I155" s="178"/>
      <c r="J155" s="178"/>
      <c r="K155" s="178"/>
      <c r="L155" s="178"/>
      <c r="M155" s="178"/>
      <c r="N155" s="178"/>
      <c r="O155" s="178"/>
      <c r="P155" s="178"/>
      <c r="Q155" s="178"/>
      <c r="R155" s="178"/>
      <c r="S155" s="178"/>
      <c r="T155" s="178"/>
      <c r="U155" s="178"/>
      <c r="V155" s="178"/>
      <c r="W155" s="972" t="str">
        <f>'Translate &amp; Prices'!$O$152</f>
        <v>Rodzaj profilu</v>
      </c>
      <c r="X155" s="972"/>
      <c r="Y155" s="972"/>
      <c r="Z155" s="972"/>
      <c r="AA155" s="972"/>
      <c r="AB155" s="501"/>
      <c r="AC155" s="973">
        <f>IFERROR(VLOOKUP(Ram_5!$H$8,kombinace_1!DW:DY,2,0),0)</f>
        <v>0</v>
      </c>
      <c r="AD155" s="973"/>
      <c r="AE155" s="973"/>
      <c r="AF155" s="973"/>
      <c r="AG155" s="973"/>
      <c r="AH155" s="973"/>
      <c r="AI155" s="973"/>
      <c r="AJ155" s="973"/>
      <c r="AK155" s="973"/>
      <c r="AL155" s="973"/>
      <c r="AM155" s="973"/>
      <c r="AN155" s="973"/>
      <c r="AO155" s="973"/>
      <c r="AP155" s="584"/>
      <c r="AQ155" s="584"/>
      <c r="AR155" s="992"/>
    </row>
    <row r="156" spans="1:80" ht="16.2" customHeight="1" x14ac:dyDescent="0.3">
      <c r="A156" s="178"/>
      <c r="B156" s="584"/>
      <c r="C156" s="584"/>
      <c r="D156" s="178"/>
      <c r="E156" s="178"/>
      <c r="F156" s="178"/>
      <c r="G156" s="178"/>
      <c r="H156" s="178"/>
      <c r="I156" s="178"/>
      <c r="J156" s="178"/>
      <c r="K156" s="178"/>
      <c r="L156" s="178"/>
      <c r="M156" s="178"/>
      <c r="N156" s="178"/>
      <c r="O156" s="178"/>
      <c r="P156" s="178"/>
      <c r="Q156" s="178"/>
      <c r="R156" s="178"/>
      <c r="S156" s="178"/>
      <c r="T156" s="178"/>
      <c r="U156" s="178"/>
      <c r="V156" s="178"/>
      <c r="W156" s="972" t="str">
        <f>'Translate &amp; Prices'!$O$523</f>
        <v>Szprosy</v>
      </c>
      <c r="X156" s="972"/>
      <c r="Y156" s="972"/>
      <c r="Z156" s="972"/>
      <c r="AA156" s="972"/>
      <c r="AB156" s="501"/>
      <c r="AC156" s="973" t="str">
        <f>IFERROR(VLOOKUP(Ram_5!$AU$10,AU156:AV159,2,0),0)</f>
        <v>Nie</v>
      </c>
      <c r="AD156" s="973"/>
      <c r="AE156" s="973"/>
      <c r="AF156" s="973"/>
      <c r="AG156" s="973"/>
      <c r="AH156" s="973"/>
      <c r="AI156" s="973"/>
      <c r="AJ156" s="973"/>
      <c r="AK156" s="973"/>
      <c r="AL156" s="973"/>
      <c r="AM156" s="973"/>
      <c r="AN156" s="973"/>
      <c r="AO156" s="973"/>
      <c r="AP156" s="584"/>
      <c r="AQ156" s="584"/>
      <c r="AR156" s="992"/>
      <c r="AT156" s="474"/>
      <c r="AU156" s="404">
        <v>0</v>
      </c>
      <c r="AV156" s="404" t="str">
        <f>'Translate &amp; Prices'!$O$537</f>
        <v>Nie</v>
      </c>
      <c r="AY156" s="474"/>
      <c r="AZ156" s="404">
        <v>2</v>
      </c>
      <c r="BA156" s="404" t="str">
        <f>'Translate &amp; Prices'!$O$531</f>
        <v>Zawiasy</v>
      </c>
      <c r="BD156" s="395" t="s">
        <v>125</v>
      </c>
      <c r="BE156" s="395" t="s">
        <v>492</v>
      </c>
      <c r="BI156" s="395" t="s">
        <v>98</v>
      </c>
      <c r="BJ156" s="474" t="s">
        <v>486</v>
      </c>
      <c r="BM156" s="474" t="s">
        <v>245</v>
      </c>
      <c r="BN156" s="474" t="s">
        <v>526</v>
      </c>
      <c r="BS156" s="474" t="s">
        <v>251</v>
      </c>
      <c r="BT156" s="474" t="s">
        <v>2309</v>
      </c>
      <c r="BX156" s="474">
        <v>1</v>
      </c>
      <c r="BY156" s="474" t="str">
        <f>'Translate &amp; Prices'!$O$85</f>
        <v>Bez modyfikacji</v>
      </c>
      <c r="CA156" s="404" t="s">
        <v>2086</v>
      </c>
      <c r="CB156" s="404" t="s">
        <v>2616</v>
      </c>
    </row>
    <row r="157" spans="1:80" ht="16.2" customHeight="1" x14ac:dyDescent="0.3">
      <c r="A157" s="178"/>
      <c r="B157" s="584"/>
      <c r="C157" s="584"/>
      <c r="D157" s="178"/>
      <c r="E157" s="178"/>
      <c r="F157" s="178"/>
      <c r="G157" s="178"/>
      <c r="H157" s="178"/>
      <c r="I157" s="178"/>
      <c r="J157" s="178"/>
      <c r="K157" s="178"/>
      <c r="L157" s="178"/>
      <c r="M157" s="178"/>
      <c r="N157" s="178"/>
      <c r="O157" s="178"/>
      <c r="P157" s="178"/>
      <c r="Q157" s="178"/>
      <c r="R157" s="178"/>
      <c r="S157" s="178"/>
      <c r="T157" s="178"/>
      <c r="U157" s="178"/>
      <c r="V157" s="178"/>
      <c r="W157" s="592"/>
      <c r="X157" s="592"/>
      <c r="Y157" s="592"/>
      <c r="Z157" s="592"/>
      <c r="AA157" s="592"/>
      <c r="AB157" s="593"/>
      <c r="AC157" s="993" t="str">
        <f>'Translate &amp; Prices'!$O$538</f>
        <v>Poziomo</v>
      </c>
      <c r="AD157" s="993"/>
      <c r="AE157" s="993"/>
      <c r="AF157" s="993"/>
      <c r="AG157" s="993"/>
      <c r="AH157" s="993"/>
      <c r="AI157" s="993"/>
      <c r="AJ157" s="993" t="str">
        <f>'Translate &amp; Prices'!$O$539</f>
        <v>Pionowo</v>
      </c>
      <c r="AK157" s="993"/>
      <c r="AL157" s="993"/>
      <c r="AM157" s="993"/>
      <c r="AN157" s="993"/>
      <c r="AO157" s="993"/>
      <c r="AP157" s="584"/>
      <c r="AQ157" s="584"/>
      <c r="AR157" s="992"/>
      <c r="AT157" s="474"/>
      <c r="AU157" s="404">
        <v>1</v>
      </c>
      <c r="AV157" s="404" t="str">
        <f>'Translate &amp; Prices'!$O$538</f>
        <v>Poziomo</v>
      </c>
      <c r="AY157" s="474"/>
      <c r="AZ157" s="404">
        <v>3</v>
      </c>
      <c r="BA157" s="404" t="str">
        <f>'Translate &amp; Prices'!$O$532</f>
        <v>Podnośniki</v>
      </c>
      <c r="BD157" s="395" t="s">
        <v>126</v>
      </c>
      <c r="BE157" s="395" t="s">
        <v>493</v>
      </c>
      <c r="BI157" s="395" t="s">
        <v>97</v>
      </c>
      <c r="BJ157" s="474" t="s">
        <v>487</v>
      </c>
      <c r="BM157" s="474" t="s">
        <v>246</v>
      </c>
      <c r="BN157" s="474" t="s">
        <v>527</v>
      </c>
      <c r="BS157" s="474" t="s">
        <v>252</v>
      </c>
      <c r="BT157" s="474" t="s">
        <v>2599</v>
      </c>
      <c r="BX157" s="474">
        <v>2</v>
      </c>
      <c r="BY157" s="474" t="str">
        <f>'Translate &amp; Prices'!$O$83</f>
        <v>Hartowane</v>
      </c>
      <c r="CA157" s="404" t="s">
        <v>2089</v>
      </c>
      <c r="CB157" s="404" t="s">
        <v>2617</v>
      </c>
    </row>
    <row r="158" spans="1:80" ht="16.2" customHeight="1" x14ac:dyDescent="0.3">
      <c r="A158" s="178"/>
      <c r="B158" s="584"/>
      <c r="C158" s="584"/>
      <c r="D158" s="178"/>
      <c r="E158" s="178"/>
      <c r="F158" s="178"/>
      <c r="G158" s="178"/>
      <c r="H158" s="178"/>
      <c r="I158" s="178"/>
      <c r="J158" s="178"/>
      <c r="K158" s="178"/>
      <c r="L158" s="178"/>
      <c r="M158" s="178"/>
      <c r="N158" s="178"/>
      <c r="O158" s="178"/>
      <c r="P158" s="178"/>
      <c r="Q158" s="178"/>
      <c r="R158" s="178"/>
      <c r="S158" s="178"/>
      <c r="T158" s="178"/>
      <c r="U158" s="178"/>
      <c r="V158" s="178"/>
      <c r="W158" s="972" t="str">
        <f>('Translate &amp; Prices'!$O$523)&amp;" "&amp;"("&amp;'Translate &amp; Prices'!$O$154&amp;")"</f>
        <v>Szprosy (Ilość sztuk)</v>
      </c>
      <c r="X158" s="972"/>
      <c r="Y158" s="972"/>
      <c r="Z158" s="972"/>
      <c r="AA158" s="972"/>
      <c r="AB158" s="501"/>
      <c r="AC158" s="973">
        <f>Ram_5!$H$11</f>
        <v>0</v>
      </c>
      <c r="AD158" s="973"/>
      <c r="AE158" s="973"/>
      <c r="AF158" s="973"/>
      <c r="AG158" s="973"/>
      <c r="AH158" s="973"/>
      <c r="AI158" s="973"/>
      <c r="AJ158" s="973">
        <f>Ram_5!$M$11</f>
        <v>0</v>
      </c>
      <c r="AK158" s="973"/>
      <c r="AL158" s="973"/>
      <c r="AM158" s="973"/>
      <c r="AN158" s="973"/>
      <c r="AO158" s="973"/>
      <c r="AP158" s="584"/>
      <c r="AQ158" s="584"/>
      <c r="AR158" s="992"/>
      <c r="AT158" s="474"/>
      <c r="AU158" s="404">
        <v>2</v>
      </c>
      <c r="AV158" s="404" t="str">
        <f>'Translate &amp; Prices'!$O$539</f>
        <v>Pionowo</v>
      </c>
      <c r="BD158" s="395" t="s">
        <v>127</v>
      </c>
      <c r="BE158" s="395" t="s">
        <v>2348</v>
      </c>
      <c r="BI158" s="474" t="s">
        <v>427</v>
      </c>
      <c r="BJ158" s="474" t="s">
        <v>486</v>
      </c>
      <c r="BM158" s="474" t="s">
        <v>248</v>
      </c>
      <c r="BN158" s="474" t="s">
        <v>528</v>
      </c>
      <c r="BS158" s="474" t="s">
        <v>242</v>
      </c>
      <c r="BT158" s="474" t="s">
        <v>523</v>
      </c>
      <c r="BX158" s="474">
        <v>3</v>
      </c>
      <c r="BY158" s="474" t="str">
        <f>'Translate &amp; Prices'!$O$84</f>
        <v>Folia</v>
      </c>
      <c r="CA158" s="404" t="s">
        <v>2092</v>
      </c>
      <c r="CB158" s="404" t="s">
        <v>2618</v>
      </c>
    </row>
    <row r="159" spans="1:80" ht="16.2" customHeight="1" x14ac:dyDescent="0.3">
      <c r="A159" s="178"/>
      <c r="B159" s="584"/>
      <c r="C159" s="584"/>
      <c r="D159" s="178"/>
      <c r="E159" s="178"/>
      <c r="F159" s="178"/>
      <c r="G159" s="178"/>
      <c r="H159" s="178"/>
      <c r="I159" s="178"/>
      <c r="J159" s="178"/>
      <c r="K159" s="178"/>
      <c r="L159" s="178"/>
      <c r="M159" s="178"/>
      <c r="N159" s="178"/>
      <c r="O159" s="178"/>
      <c r="P159" s="178"/>
      <c r="Q159" s="178"/>
      <c r="R159" s="178"/>
      <c r="S159" s="178"/>
      <c r="T159" s="178"/>
      <c r="U159" s="178"/>
      <c r="V159" s="178"/>
      <c r="W159" s="972" t="str">
        <f>'Translate &amp; Prices'!$O$238</f>
        <v>Typ okucia</v>
      </c>
      <c r="X159" s="972"/>
      <c r="Y159" s="972"/>
      <c r="Z159" s="972"/>
      <c r="AA159" s="972"/>
      <c r="AB159" s="501"/>
      <c r="AC159" s="973">
        <f>IFERROR(VLOOKUP(Ram_5!$AU$9,AZ156:BA157,2,0),0)</f>
        <v>0</v>
      </c>
      <c r="AD159" s="973"/>
      <c r="AE159" s="973"/>
      <c r="AF159" s="973"/>
      <c r="AG159" s="973"/>
      <c r="AH159" s="973"/>
      <c r="AI159" s="973"/>
      <c r="AJ159" s="973"/>
      <c r="AK159" s="973"/>
      <c r="AL159" s="973"/>
      <c r="AM159" s="973"/>
      <c r="AN159" s="973"/>
      <c r="AO159" s="973"/>
      <c r="AP159" s="584"/>
      <c r="AQ159" s="584"/>
      <c r="AR159" s="992"/>
      <c r="AT159" s="474"/>
      <c r="AU159" s="404">
        <v>3</v>
      </c>
      <c r="AV159" s="404" t="str">
        <f>'Translate &amp; Prices'!$O$540</f>
        <v>Poziomo i pionowo</v>
      </c>
      <c r="BD159" s="395" t="s">
        <v>125</v>
      </c>
      <c r="BE159" s="395" t="s">
        <v>492</v>
      </c>
      <c r="BI159" s="474" t="s">
        <v>428</v>
      </c>
      <c r="BJ159" s="474" t="s">
        <v>487</v>
      </c>
      <c r="BM159" s="474" t="s">
        <v>247</v>
      </c>
      <c r="BN159" s="474" t="s">
        <v>529</v>
      </c>
      <c r="BS159" s="474" t="s">
        <v>241</v>
      </c>
      <c r="BT159" s="474" t="s">
        <v>524</v>
      </c>
      <c r="CA159" s="404" t="s">
        <v>2451</v>
      </c>
      <c r="CB159" s="404" t="s">
        <v>2616</v>
      </c>
    </row>
    <row r="160" spans="1:80" ht="16.2" customHeight="1" x14ac:dyDescent="0.3">
      <c r="A160" s="178"/>
      <c r="B160" s="584"/>
      <c r="C160" s="584"/>
      <c r="D160" s="178"/>
      <c r="E160" s="178"/>
      <c r="F160" s="178"/>
      <c r="G160" s="178"/>
      <c r="H160" s="178"/>
      <c r="I160" s="178"/>
      <c r="J160" s="178"/>
      <c r="K160" s="178"/>
      <c r="L160" s="178"/>
      <c r="M160" s="178"/>
      <c r="N160" s="178"/>
      <c r="O160" s="178"/>
      <c r="P160" s="178"/>
      <c r="Q160" s="178"/>
      <c r="R160" s="178"/>
      <c r="S160" s="178"/>
      <c r="T160" s="178"/>
      <c r="U160" s="178"/>
      <c r="V160" s="178"/>
      <c r="W160" s="972" t="str">
        <f>'Translate &amp; Prices'!$O$524</f>
        <v>Marka okucia</v>
      </c>
      <c r="X160" s="972"/>
      <c r="Y160" s="972"/>
      <c r="Z160" s="972"/>
      <c r="AA160" s="972"/>
      <c r="AB160" s="501"/>
      <c r="AC160" s="973">
        <f>Ram_5!$H$13</f>
        <v>0</v>
      </c>
      <c r="AD160" s="973"/>
      <c r="AE160" s="973"/>
      <c r="AF160" s="973"/>
      <c r="AG160" s="973"/>
      <c r="AH160" s="973"/>
      <c r="AI160" s="973"/>
      <c r="AJ160" s="973"/>
      <c r="AK160" s="973"/>
      <c r="AL160" s="973"/>
      <c r="AM160" s="973"/>
      <c r="AN160" s="973"/>
      <c r="AO160" s="973"/>
      <c r="AP160" s="584"/>
      <c r="AQ160" s="584"/>
      <c r="AR160" s="992"/>
      <c r="BD160" s="395" t="s">
        <v>126</v>
      </c>
      <c r="BE160" s="395" t="s">
        <v>493</v>
      </c>
      <c r="BI160" s="474" t="s">
        <v>747</v>
      </c>
      <c r="BJ160" s="474" t="s">
        <v>486</v>
      </c>
      <c r="BM160" s="474" t="s">
        <v>249</v>
      </c>
      <c r="BN160" s="474" t="s">
        <v>2600</v>
      </c>
      <c r="BS160" s="474" t="s">
        <v>2311</v>
      </c>
      <c r="BT160" s="474" t="s">
        <v>2309</v>
      </c>
      <c r="CA160" s="404" t="s">
        <v>2452</v>
      </c>
      <c r="CB160" s="404" t="s">
        <v>2617</v>
      </c>
    </row>
    <row r="161" spans="1:80" ht="16.2" customHeight="1" thickBot="1" x14ac:dyDescent="0.35">
      <c r="A161" s="178"/>
      <c r="B161" s="584"/>
      <c r="C161" s="584"/>
      <c r="D161" s="178"/>
      <c r="E161" s="178"/>
      <c r="F161" s="178"/>
      <c r="G161" s="178"/>
      <c r="H161" s="178"/>
      <c r="I161" s="178"/>
      <c r="J161" s="178"/>
      <c r="K161" s="178"/>
      <c r="L161" s="178"/>
      <c r="M161" s="178"/>
      <c r="N161" s="178"/>
      <c r="O161" s="178"/>
      <c r="P161" s="178"/>
      <c r="Q161" s="178"/>
      <c r="R161" s="178"/>
      <c r="S161" s="178"/>
      <c r="T161" s="178"/>
      <c r="U161" s="178"/>
      <c r="V161" s="178"/>
      <c r="W161" s="972" t="str">
        <f>'Translate &amp; Prices'!$O$526</f>
        <v>Nałożenie</v>
      </c>
      <c r="X161" s="972"/>
      <c r="Y161" s="972"/>
      <c r="Z161" s="972"/>
      <c r="AA161" s="972"/>
      <c r="AB161" s="501"/>
      <c r="AC161" s="973">
        <f>IFERROR(VLOOKUP(Ram_5!$H$14,BD156:BE170,2,0),0)</f>
        <v>0</v>
      </c>
      <c r="AD161" s="973"/>
      <c r="AE161" s="973"/>
      <c r="AF161" s="973"/>
      <c r="AG161" s="973"/>
      <c r="AH161" s="973"/>
      <c r="AI161" s="973"/>
      <c r="AJ161" s="973"/>
      <c r="AK161" s="973"/>
      <c r="AL161" s="973"/>
      <c r="AM161" s="973"/>
      <c r="AN161" s="973"/>
      <c r="AO161" s="973"/>
      <c r="AP161" s="584"/>
      <c r="AQ161" s="584"/>
      <c r="AR161" s="992"/>
      <c r="BD161" s="395" t="s">
        <v>127</v>
      </c>
      <c r="BE161" s="395" t="s">
        <v>2348</v>
      </c>
      <c r="BI161" s="474" t="s">
        <v>563</v>
      </c>
      <c r="BJ161" s="474" t="s">
        <v>487</v>
      </c>
      <c r="BM161" s="474" t="s">
        <v>461</v>
      </c>
      <c r="BN161" s="474" t="s">
        <v>526</v>
      </c>
      <c r="BS161" s="474" t="s">
        <v>252</v>
      </c>
      <c r="BT161" s="474" t="s">
        <v>2599</v>
      </c>
      <c r="CA161" s="404" t="s">
        <v>2453</v>
      </c>
      <c r="CB161" s="404" t="s">
        <v>2618</v>
      </c>
    </row>
    <row r="162" spans="1:80" ht="16.2" customHeight="1" x14ac:dyDescent="0.3">
      <c r="A162" s="178"/>
      <c r="B162" s="584"/>
      <c r="C162" s="584"/>
      <c r="D162" s="178"/>
      <c r="E162" s="178"/>
      <c r="F162" s="178"/>
      <c r="G162" s="178"/>
      <c r="H162" s="178"/>
      <c r="I162" s="178"/>
      <c r="J162" s="178"/>
      <c r="K162" s="178"/>
      <c r="L162" s="178"/>
      <c r="M162" s="178"/>
      <c r="N162" s="178"/>
      <c r="O162" s="178"/>
      <c r="P162" s="178"/>
      <c r="Q162" s="178"/>
      <c r="R162" s="178"/>
      <c r="S162" s="987">
        <f>Ram_5!AR14</f>
        <v>0</v>
      </c>
      <c r="T162" s="178"/>
      <c r="U162" s="178"/>
      <c r="V162" s="178"/>
      <c r="W162" s="972" t="str">
        <f>'Translate &amp; Prices'!$O$525</f>
        <v>Wariant okucia</v>
      </c>
      <c r="X162" s="972"/>
      <c r="Y162" s="972"/>
      <c r="Z162" s="972"/>
      <c r="AA162" s="972"/>
      <c r="AB162" s="501"/>
      <c r="AC162" s="973">
        <f>IFERROR(VLOOKUP(Ram_5!$H$15,kombinace_1!$ED:$EE,2,0),Ram_5!$H$15)</f>
        <v>0</v>
      </c>
      <c r="AD162" s="973"/>
      <c r="AE162" s="973"/>
      <c r="AF162" s="973"/>
      <c r="AG162" s="973"/>
      <c r="AH162" s="973"/>
      <c r="AI162" s="973"/>
      <c r="AJ162" s="973"/>
      <c r="AK162" s="973"/>
      <c r="AL162" s="973"/>
      <c r="AM162" s="973"/>
      <c r="AN162" s="973"/>
      <c r="AO162" s="973"/>
      <c r="AP162" s="584"/>
      <c r="AQ162" s="584"/>
      <c r="AR162" s="992"/>
      <c r="BD162" s="395" t="s">
        <v>492</v>
      </c>
      <c r="BE162" s="395" t="s">
        <v>492</v>
      </c>
      <c r="BI162" s="474" t="s">
        <v>2667</v>
      </c>
      <c r="BJ162" s="474" t="s">
        <v>486</v>
      </c>
      <c r="BM162" s="474" t="s">
        <v>462</v>
      </c>
      <c r="BN162" s="474" t="s">
        <v>527</v>
      </c>
      <c r="BS162" s="474" t="s">
        <v>457</v>
      </c>
      <c r="BT162" s="474" t="s">
        <v>523</v>
      </c>
      <c r="CA162" s="404" t="s">
        <v>2616</v>
      </c>
      <c r="CB162" s="404" t="s">
        <v>2616</v>
      </c>
    </row>
    <row r="163" spans="1:80" ht="16.2" customHeight="1" x14ac:dyDescent="0.3">
      <c r="A163" s="178"/>
      <c r="B163" s="584"/>
      <c r="C163" s="584"/>
      <c r="D163" s="178"/>
      <c r="E163" s="178"/>
      <c r="F163" s="178"/>
      <c r="G163" s="178"/>
      <c r="H163" s="178"/>
      <c r="I163" s="178"/>
      <c r="J163" s="178"/>
      <c r="K163" s="178"/>
      <c r="L163" s="178"/>
      <c r="M163" s="178"/>
      <c r="N163" s="178"/>
      <c r="O163" s="178"/>
      <c r="P163" s="178"/>
      <c r="Q163" s="178"/>
      <c r="R163" s="178"/>
      <c r="S163" s="988">
        <f>Ram_1!AR159</f>
        <v>0</v>
      </c>
      <c r="T163" s="178"/>
      <c r="U163" s="178"/>
      <c r="V163" s="178"/>
      <c r="W163" s="972" t="str">
        <f>'Translate &amp; Prices'!$O$198</f>
        <v>Wybierz pozycję ramki</v>
      </c>
      <c r="X163" s="972"/>
      <c r="Y163" s="972"/>
      <c r="Z163" s="972"/>
      <c r="AA163" s="972"/>
      <c r="AB163" s="973">
        <f>IFERROR(VLOOKUP(Ram_5!$F$16,BI156:BJ165,2,0),0)</f>
        <v>0</v>
      </c>
      <c r="AC163" s="973"/>
      <c r="AD163" s="973"/>
      <c r="AE163" s="973"/>
      <c r="AF163" s="973"/>
      <c r="AG163" s="972" t="str">
        <f>'Translate &amp; Prices'!$O$212</f>
        <v>Rodzaj drugiej ramki</v>
      </c>
      <c r="AH163" s="972"/>
      <c r="AI163" s="972"/>
      <c r="AJ163" s="972"/>
      <c r="AK163" s="972"/>
      <c r="AL163" s="973">
        <f>IFERROR(VLOOKUP(Ram_5!$N$16,BM156:BN180,2,0),0)</f>
        <v>0</v>
      </c>
      <c r="AM163" s="973"/>
      <c r="AN163" s="973"/>
      <c r="AO163" s="973"/>
      <c r="AP163" s="1"/>
      <c r="AQ163" s="1"/>
      <c r="AR163" s="992"/>
      <c r="AS163" s="474"/>
      <c r="AT163" s="474"/>
      <c r="BD163" s="395" t="s">
        <v>493</v>
      </c>
      <c r="BE163" s="395" t="s">
        <v>493</v>
      </c>
      <c r="BI163" s="474" t="s">
        <v>2668</v>
      </c>
      <c r="BJ163" s="474" t="s">
        <v>487</v>
      </c>
      <c r="BM163" s="474" t="s">
        <v>463</v>
      </c>
      <c r="BN163" s="474" t="s">
        <v>528</v>
      </c>
      <c r="BS163" s="474" t="s">
        <v>458</v>
      </c>
      <c r="BT163" s="474" t="s">
        <v>524</v>
      </c>
      <c r="CA163" s="404" t="s">
        <v>2617</v>
      </c>
      <c r="CB163" s="404" t="s">
        <v>2617</v>
      </c>
    </row>
    <row r="164" spans="1:80" ht="16.2" customHeight="1" x14ac:dyDescent="0.3">
      <c r="A164" s="178"/>
      <c r="B164" s="584"/>
      <c r="C164" s="584"/>
      <c r="D164" s="178"/>
      <c r="E164" s="178"/>
      <c r="F164" s="178"/>
      <c r="G164" s="178"/>
      <c r="H164" s="178"/>
      <c r="I164" s="178"/>
      <c r="J164" s="178"/>
      <c r="K164" s="178"/>
      <c r="L164" s="178"/>
      <c r="M164" s="178"/>
      <c r="N164" s="178"/>
      <c r="O164" s="178"/>
      <c r="P164" s="178"/>
      <c r="Q164" s="178"/>
      <c r="R164" s="178"/>
      <c r="S164" s="988">
        <f>Ram_1!AR160</f>
        <v>0</v>
      </c>
      <c r="T164" s="178"/>
      <c r="U164" s="178"/>
      <c r="V164" s="178"/>
      <c r="W164" s="972" t="str">
        <f>'Translate &amp; Prices'!$O$218</f>
        <v>Umieszczenie zawiasu</v>
      </c>
      <c r="X164" s="972"/>
      <c r="Y164" s="972"/>
      <c r="Z164" s="972"/>
      <c r="AA164" s="972"/>
      <c r="AB164" s="501"/>
      <c r="AC164" s="973">
        <f>IFERROR(VLOOKUP(Ram_5!$H$17,BS156:BT175,2,0),0)</f>
        <v>0</v>
      </c>
      <c r="AD164" s="973"/>
      <c r="AE164" s="973"/>
      <c r="AF164" s="973"/>
      <c r="AG164" s="973"/>
      <c r="AH164" s="973"/>
      <c r="AI164" s="973"/>
      <c r="AJ164" s="973"/>
      <c r="AK164" s="973"/>
      <c r="AL164" s="973"/>
      <c r="AM164" s="973"/>
      <c r="AN164" s="973"/>
      <c r="AO164" s="973"/>
      <c r="AP164" s="584"/>
      <c r="AQ164" s="584"/>
      <c r="AR164" s="992"/>
      <c r="BD164" s="395" t="s">
        <v>2348</v>
      </c>
      <c r="BE164" s="395" t="s">
        <v>2348</v>
      </c>
      <c r="BI164" s="474" t="s">
        <v>486</v>
      </c>
      <c r="BJ164" s="474" t="s">
        <v>486</v>
      </c>
      <c r="BM164" s="474" t="s">
        <v>464</v>
      </c>
      <c r="BN164" s="474" t="s">
        <v>529</v>
      </c>
      <c r="BS164" s="474" t="s">
        <v>2309</v>
      </c>
      <c r="BT164" s="474" t="s">
        <v>2309</v>
      </c>
      <c r="CA164" s="404" t="s">
        <v>2618</v>
      </c>
      <c r="CB164" s="404" t="s">
        <v>2618</v>
      </c>
    </row>
    <row r="165" spans="1:80" ht="16.2" customHeight="1" x14ac:dyDescent="0.3">
      <c r="A165" s="178"/>
      <c r="B165" s="584"/>
      <c r="C165" s="584"/>
      <c r="D165" s="178"/>
      <c r="E165" s="178"/>
      <c r="F165" s="178"/>
      <c r="G165" s="178"/>
      <c r="H165" s="178"/>
      <c r="I165" s="178"/>
      <c r="J165" s="178"/>
      <c r="K165" s="178"/>
      <c r="L165" s="178"/>
      <c r="M165" s="178"/>
      <c r="N165" s="178"/>
      <c r="O165" s="178"/>
      <c r="P165" s="178"/>
      <c r="Q165" s="178"/>
      <c r="R165" s="178"/>
      <c r="S165" s="988">
        <f>Ram_1!AR161</f>
        <v>0</v>
      </c>
      <c r="T165" s="178"/>
      <c r="U165" s="178"/>
      <c r="V165" s="178"/>
      <c r="W165" s="972" t="str">
        <f>'Translate &amp; Prices'!$O$527</f>
        <v>Zawiasy do podnośników</v>
      </c>
      <c r="X165" s="972"/>
      <c r="Y165" s="972"/>
      <c r="Z165" s="972"/>
      <c r="AA165" s="972"/>
      <c r="AB165" s="501"/>
      <c r="AC165" s="973">
        <f>Ram_5!$H$18</f>
        <v>0</v>
      </c>
      <c r="AD165" s="973"/>
      <c r="AE165" s="973"/>
      <c r="AF165" s="973"/>
      <c r="AG165" s="973"/>
      <c r="AH165" s="973"/>
      <c r="AI165" s="973"/>
      <c r="AJ165" s="973"/>
      <c r="AK165" s="973"/>
      <c r="AL165" s="973"/>
      <c r="AM165" s="973"/>
      <c r="AN165" s="973"/>
      <c r="AO165" s="973"/>
      <c r="AP165" s="584"/>
      <c r="AQ165" s="584"/>
      <c r="AR165" s="992"/>
      <c r="BD165" s="395" t="s">
        <v>568</v>
      </c>
      <c r="BE165" s="395" t="s">
        <v>492</v>
      </c>
      <c r="BI165" s="474" t="s">
        <v>487</v>
      </c>
      <c r="BJ165" s="474" t="s">
        <v>487</v>
      </c>
      <c r="BM165" s="474" t="s">
        <v>465</v>
      </c>
      <c r="BN165" s="474" t="s">
        <v>2600</v>
      </c>
      <c r="BS165" s="474" t="s">
        <v>2599</v>
      </c>
      <c r="BT165" s="474" t="s">
        <v>2599</v>
      </c>
      <c r="CA165" s="404" t="s">
        <v>2454</v>
      </c>
      <c r="CB165" s="404" t="s">
        <v>2616</v>
      </c>
    </row>
    <row r="166" spans="1:80" ht="16.2" customHeight="1" x14ac:dyDescent="0.3">
      <c r="A166" s="178"/>
      <c r="B166" s="584"/>
      <c r="C166" s="584"/>
      <c r="D166" s="178"/>
      <c r="E166" s="178"/>
      <c r="F166" s="178"/>
      <c r="G166" s="178"/>
      <c r="H166" s="178"/>
      <c r="I166" s="178"/>
      <c r="J166" s="178"/>
      <c r="K166" s="178"/>
      <c r="L166" s="178"/>
      <c r="M166" s="178"/>
      <c r="N166" s="178"/>
      <c r="O166" s="178"/>
      <c r="P166" s="178"/>
      <c r="Q166" s="178"/>
      <c r="R166" s="178"/>
      <c r="S166" s="988">
        <f>Ram_1!AR162</f>
        <v>0</v>
      </c>
      <c r="T166" s="178"/>
      <c r="U166" s="178"/>
      <c r="V166" s="178"/>
      <c r="W166" s="972" t="str">
        <f>'Translate &amp; Prices'!$O$203</f>
        <v>Ilość zawiasów na 1 ramkę</v>
      </c>
      <c r="X166" s="972"/>
      <c r="Y166" s="972"/>
      <c r="Z166" s="972"/>
      <c r="AA166" s="972"/>
      <c r="AB166" s="501"/>
      <c r="AC166" s="973">
        <f>Ram_5!$H$19</f>
        <v>0</v>
      </c>
      <c r="AD166" s="973"/>
      <c r="AE166" s="973"/>
      <c r="AF166" s="973"/>
      <c r="AG166" s="973"/>
      <c r="AH166" s="973"/>
      <c r="AI166" s="973"/>
      <c r="AJ166" s="973"/>
      <c r="AK166" s="973"/>
      <c r="AL166" s="973"/>
      <c r="AM166" s="973"/>
      <c r="AN166" s="973"/>
      <c r="AO166" s="973"/>
      <c r="AP166" s="584"/>
      <c r="AQ166" s="584"/>
      <c r="AR166" s="992"/>
      <c r="BD166" s="395" t="s">
        <v>569</v>
      </c>
      <c r="BE166" s="395" t="s">
        <v>493</v>
      </c>
      <c r="BM166" s="474" t="s">
        <v>526</v>
      </c>
      <c r="BN166" s="474" t="s">
        <v>526</v>
      </c>
      <c r="BS166" s="474" t="s">
        <v>523</v>
      </c>
      <c r="BT166" s="474" t="s">
        <v>523</v>
      </c>
      <c r="CA166" s="404" t="s">
        <v>2563</v>
      </c>
      <c r="CB166" s="404" t="s">
        <v>2617</v>
      </c>
    </row>
    <row r="167" spans="1:80" ht="16.2" customHeight="1" x14ac:dyDescent="0.3">
      <c r="A167" s="178"/>
      <c r="B167" s="584"/>
      <c r="C167" s="584"/>
      <c r="D167" s="178"/>
      <c r="E167" s="178"/>
      <c r="F167" s="178"/>
      <c r="G167" s="178"/>
      <c r="H167" s="178"/>
      <c r="I167" s="178"/>
      <c r="J167" s="178"/>
      <c r="K167" s="178"/>
      <c r="L167" s="178"/>
      <c r="M167" s="178"/>
      <c r="N167" s="178"/>
      <c r="O167" s="178"/>
      <c r="P167" s="178"/>
      <c r="Q167" s="178"/>
      <c r="R167" s="178"/>
      <c r="S167" s="989" t="str">
        <f>'Translate &amp; Prices'!$O$156</f>
        <v>Wysokość</v>
      </c>
      <c r="T167" s="178"/>
      <c r="U167" s="178"/>
      <c r="V167" s="178"/>
      <c r="W167" s="972" t="e">
        <f>'Translate &amp; Prices'!$O$222&amp;" "&amp;VLOOKUP(Ram_5!H17,kombinace_1!$BY$32:$CC$35,5,0)</f>
        <v>#N/A</v>
      </c>
      <c r="X167" s="972"/>
      <c r="Y167" s="972"/>
      <c r="Z167" s="972"/>
      <c r="AA167" s="972"/>
      <c r="AB167" s="973">
        <f>Ram_5!$F$20</f>
        <v>100</v>
      </c>
      <c r="AC167" s="973"/>
      <c r="AD167" s="973"/>
      <c r="AE167" s="973"/>
      <c r="AF167" s="973"/>
      <c r="AG167" s="972" t="e">
        <f>'Translate &amp; Prices'!$O$222&amp;" "&amp;VLOOKUP(Ram_4!H17,kombinace_1!$BY$32:$CD$35,6,0)</f>
        <v>#N/A</v>
      </c>
      <c r="AH167" s="972"/>
      <c r="AI167" s="972"/>
      <c r="AJ167" s="972"/>
      <c r="AK167" s="972"/>
      <c r="AL167" s="973">
        <f>Ram_5!$N$20</f>
        <v>100</v>
      </c>
      <c r="AM167" s="973"/>
      <c r="AN167" s="973"/>
      <c r="AO167" s="973"/>
      <c r="AP167" s="584"/>
      <c r="AQ167" s="584"/>
      <c r="AR167" s="992"/>
      <c r="BD167" s="395" t="s">
        <v>570</v>
      </c>
      <c r="BE167" s="395" t="s">
        <v>2348</v>
      </c>
      <c r="BM167" s="474" t="s">
        <v>527</v>
      </c>
      <c r="BN167" s="474" t="s">
        <v>527</v>
      </c>
      <c r="BS167" s="474" t="s">
        <v>524</v>
      </c>
      <c r="BT167" s="474" t="s">
        <v>524</v>
      </c>
      <c r="CA167" s="404" t="s">
        <v>2455</v>
      </c>
      <c r="CB167" s="404" t="s">
        <v>2618</v>
      </c>
    </row>
    <row r="168" spans="1:80" ht="16.2" customHeight="1" x14ac:dyDescent="0.3">
      <c r="A168" s="178"/>
      <c r="B168" s="584"/>
      <c r="C168" s="584"/>
      <c r="D168" s="178"/>
      <c r="E168" s="178"/>
      <c r="F168" s="178"/>
      <c r="G168" s="178"/>
      <c r="H168" s="178"/>
      <c r="I168" s="178"/>
      <c r="J168" s="178"/>
      <c r="K168" s="178"/>
      <c r="L168" s="178"/>
      <c r="M168" s="178"/>
      <c r="N168" s="178"/>
      <c r="O168" s="178"/>
      <c r="P168" s="178"/>
      <c r="Q168" s="178"/>
      <c r="R168" s="178"/>
      <c r="S168" s="989">
        <f>Ram_1!AR164</f>
        <v>0</v>
      </c>
      <c r="T168" s="178"/>
      <c r="U168" s="178"/>
      <c r="V168" s="178"/>
      <c r="W168" s="592"/>
      <c r="X168" s="592"/>
      <c r="Y168" s="592"/>
      <c r="Z168" s="592"/>
      <c r="AA168" s="592"/>
      <c r="AB168" s="593"/>
      <c r="AC168" s="593"/>
      <c r="AD168" s="593"/>
      <c r="AE168" s="594"/>
      <c r="AF168" s="594"/>
      <c r="AG168" s="594"/>
      <c r="AH168" s="594"/>
      <c r="AI168" s="594"/>
      <c r="AJ168" s="593"/>
      <c r="AK168" s="593"/>
      <c r="AL168" s="593"/>
      <c r="AM168" s="593"/>
      <c r="AN168" s="593"/>
      <c r="AO168" s="593"/>
      <c r="AP168" s="584"/>
      <c r="AQ168" s="584"/>
      <c r="AR168" s="992"/>
      <c r="BD168" s="395" t="s">
        <v>2970</v>
      </c>
      <c r="BE168" s="395" t="s">
        <v>492</v>
      </c>
      <c r="BM168" s="474" t="s">
        <v>528</v>
      </c>
      <c r="BN168" s="474" t="s">
        <v>528</v>
      </c>
      <c r="BS168" s="474" t="s">
        <v>2310</v>
      </c>
      <c r="BT168" s="474" t="s">
        <v>2309</v>
      </c>
      <c r="CA168" s="404" t="s">
        <v>2724</v>
      </c>
      <c r="CB168" s="404" t="s">
        <v>2616</v>
      </c>
    </row>
    <row r="169" spans="1:80" ht="16.2" customHeight="1" x14ac:dyDescent="0.3">
      <c r="A169" s="178"/>
      <c r="B169" s="584"/>
      <c r="C169" s="584"/>
      <c r="D169" s="178"/>
      <c r="E169" s="178"/>
      <c r="F169" s="178"/>
      <c r="G169" s="178"/>
      <c r="H169" s="178"/>
      <c r="I169" s="178"/>
      <c r="J169" s="178"/>
      <c r="K169" s="178"/>
      <c r="L169" s="178"/>
      <c r="M169" s="178"/>
      <c r="N169" s="178"/>
      <c r="O169" s="178"/>
      <c r="P169" s="178"/>
      <c r="Q169" s="178"/>
      <c r="R169" s="178"/>
      <c r="S169" s="989">
        <f>Ram_1!AR165</f>
        <v>0</v>
      </c>
      <c r="T169" s="178"/>
      <c r="U169" s="178"/>
      <c r="V169" s="178"/>
      <c r="W169" s="972" t="str">
        <f>'Translate &amp; Prices'!$O$153</f>
        <v>Rodzaj szkła</v>
      </c>
      <c r="X169" s="972"/>
      <c r="Y169" s="972"/>
      <c r="Z169" s="972"/>
      <c r="AA169" s="972"/>
      <c r="AB169" s="501"/>
      <c r="AC169" s="973" t="str">
        <f>IFERROR(VLOOKUP(kombinace_5!$V$1,BX156:BY158,2,0),0)</f>
        <v>Bez modyfikacji</v>
      </c>
      <c r="AD169" s="973"/>
      <c r="AE169" s="973"/>
      <c r="AF169" s="973"/>
      <c r="AG169" s="973"/>
      <c r="AH169" s="973"/>
      <c r="AI169" s="973"/>
      <c r="AJ169" s="973"/>
      <c r="AK169" s="973"/>
      <c r="AL169" s="973"/>
      <c r="AM169" s="973"/>
      <c r="AN169" s="973"/>
      <c r="AO169" s="973"/>
      <c r="AP169" s="584"/>
      <c r="AQ169" s="584"/>
      <c r="AR169" s="992"/>
      <c r="BD169" s="395" t="s">
        <v>2803</v>
      </c>
      <c r="BE169" s="395" t="s">
        <v>493</v>
      </c>
      <c r="BM169" s="474" t="s">
        <v>529</v>
      </c>
      <c r="BN169" s="474" t="s">
        <v>529</v>
      </c>
      <c r="BS169" s="474" t="s">
        <v>2312</v>
      </c>
      <c r="BT169" s="474" t="s">
        <v>2599</v>
      </c>
      <c r="CA169" s="404" t="s">
        <v>2725</v>
      </c>
      <c r="CB169" s="404" t="s">
        <v>2617</v>
      </c>
    </row>
    <row r="170" spans="1:80" ht="16.2" customHeight="1" x14ac:dyDescent="0.3">
      <c r="A170" s="178"/>
      <c r="B170" s="584"/>
      <c r="C170" s="584"/>
      <c r="D170" s="178"/>
      <c r="E170" s="178"/>
      <c r="F170" s="178"/>
      <c r="G170" s="178"/>
      <c r="H170" s="178"/>
      <c r="I170" s="178"/>
      <c r="J170" s="178"/>
      <c r="K170" s="178"/>
      <c r="L170" s="178"/>
      <c r="M170" s="178"/>
      <c r="N170" s="178"/>
      <c r="O170" s="178"/>
      <c r="P170" s="178"/>
      <c r="Q170" s="178"/>
      <c r="R170" s="178"/>
      <c r="S170" s="989">
        <f>Ram_1!AR166</f>
        <v>0</v>
      </c>
      <c r="T170" s="178"/>
      <c r="U170" s="178"/>
      <c r="V170" s="178"/>
      <c r="W170" s="972" t="str">
        <f>'Translate &amp; Prices'!$O$542</f>
        <v>Rodzaj folii</v>
      </c>
      <c r="X170" s="972"/>
      <c r="Y170" s="972"/>
      <c r="Z170" s="972"/>
      <c r="AA170" s="972"/>
      <c r="AB170" s="501"/>
      <c r="AC170" s="973">
        <f>IFERROR(VLOOKUP(Ram_5!$H$24,CA156:CB170,2,0),0)</f>
        <v>0</v>
      </c>
      <c r="AD170" s="973"/>
      <c r="AE170" s="973"/>
      <c r="AF170" s="973"/>
      <c r="AG170" s="973"/>
      <c r="AH170" s="973"/>
      <c r="AI170" s="973"/>
      <c r="AJ170" s="973"/>
      <c r="AK170" s="973"/>
      <c r="AL170" s="973"/>
      <c r="AM170" s="973"/>
      <c r="AN170" s="973"/>
      <c r="AO170" s="973"/>
      <c r="AP170" s="584"/>
      <c r="AQ170" s="584"/>
      <c r="AR170" s="992"/>
      <c r="BD170" s="395" t="s">
        <v>1847</v>
      </c>
      <c r="BE170" s="395" t="s">
        <v>2348</v>
      </c>
      <c r="BM170" s="474" t="s">
        <v>2600</v>
      </c>
      <c r="BN170" s="474" t="s">
        <v>2600</v>
      </c>
      <c r="BS170" s="474" t="s">
        <v>600</v>
      </c>
      <c r="BT170" s="474" t="s">
        <v>523</v>
      </c>
      <c r="CA170" s="404" t="s">
        <v>2726</v>
      </c>
      <c r="CB170" s="404" t="s">
        <v>2618</v>
      </c>
    </row>
    <row r="171" spans="1:80" ht="16.2" customHeight="1" thickBot="1" x14ac:dyDescent="0.35">
      <c r="A171" s="178"/>
      <c r="B171" s="584"/>
      <c r="C171" s="584"/>
      <c r="D171" s="178"/>
      <c r="E171" s="178"/>
      <c r="F171" s="178"/>
      <c r="G171" s="178"/>
      <c r="H171" s="178"/>
      <c r="I171" s="178"/>
      <c r="J171" s="178"/>
      <c r="K171" s="178"/>
      <c r="L171" s="178"/>
      <c r="M171" s="178"/>
      <c r="N171" s="178"/>
      <c r="O171" s="178"/>
      <c r="P171" s="178"/>
      <c r="Q171" s="178"/>
      <c r="R171" s="178"/>
      <c r="S171" s="990">
        <f>Ram_1!AR167</f>
        <v>0</v>
      </c>
      <c r="T171" s="178"/>
      <c r="U171" s="178"/>
      <c r="V171" s="178"/>
      <c r="W171" s="972" t="str">
        <f>'Translate &amp; Prices'!$O$153</f>
        <v>Rodzaj szkła</v>
      </c>
      <c r="X171" s="972"/>
      <c r="Y171" s="972"/>
      <c r="Z171" s="972"/>
      <c r="AA171" s="972"/>
      <c r="AB171" s="501"/>
      <c r="AC171" s="973">
        <f>IFERROR(VLOOKUP(Ram_5!$H$25,kombinace_1!DT:DU,2,0),0)</f>
        <v>0</v>
      </c>
      <c r="AD171" s="973"/>
      <c r="AE171" s="973"/>
      <c r="AF171" s="973"/>
      <c r="AG171" s="973"/>
      <c r="AH171" s="973"/>
      <c r="AI171" s="973"/>
      <c r="AJ171" s="973"/>
      <c r="AK171" s="973"/>
      <c r="AL171" s="973"/>
      <c r="AM171" s="973"/>
      <c r="AN171" s="973"/>
      <c r="AO171" s="973"/>
      <c r="AP171" s="584"/>
      <c r="AQ171" s="584"/>
      <c r="AR171" s="992"/>
      <c r="BM171" s="474" t="s">
        <v>604</v>
      </c>
      <c r="BN171" s="474" t="s">
        <v>526</v>
      </c>
      <c r="BS171" s="474" t="s">
        <v>601</v>
      </c>
      <c r="BT171" s="474" t="s">
        <v>524</v>
      </c>
    </row>
    <row r="172" spans="1:80" ht="16.2" customHeight="1" x14ac:dyDescent="0.3">
      <c r="A172" s="178"/>
      <c r="B172" s="584"/>
      <c r="C172" s="584"/>
      <c r="D172" s="178"/>
      <c r="E172" s="178"/>
      <c r="F172" s="178"/>
      <c r="G172" s="178"/>
      <c r="H172" s="178"/>
      <c r="I172" s="178"/>
      <c r="J172" s="178"/>
      <c r="K172" s="178"/>
      <c r="L172" s="178"/>
      <c r="M172" s="178"/>
      <c r="N172" s="178"/>
      <c r="O172" s="178"/>
      <c r="P172" s="178"/>
      <c r="Q172" s="178"/>
      <c r="R172" s="178"/>
      <c r="S172" s="178"/>
      <c r="T172" s="178"/>
      <c r="U172" s="178"/>
      <c r="V172" s="178"/>
      <c r="W172" s="972" t="str">
        <f>'Translate &amp; Prices'!$O$529</f>
        <v>Rozstaw uchwytu (mm)</v>
      </c>
      <c r="X172" s="972"/>
      <c r="Y172" s="972"/>
      <c r="Z172" s="972"/>
      <c r="AA172" s="972"/>
      <c r="AB172" s="501"/>
      <c r="AC172" s="973">
        <f>Ram_5!$H$26</f>
        <v>0</v>
      </c>
      <c r="AD172" s="973"/>
      <c r="AE172" s="973"/>
      <c r="AF172" s="973"/>
      <c r="AG172" s="973"/>
      <c r="AH172" s="973"/>
      <c r="AI172" s="973"/>
      <c r="AJ172" s="973"/>
      <c r="AK172" s="973"/>
      <c r="AL172" s="973"/>
      <c r="AM172" s="973"/>
      <c r="AN172" s="973"/>
      <c r="AO172" s="973"/>
      <c r="AP172" s="584"/>
      <c r="AQ172" s="584"/>
      <c r="AR172" s="992"/>
      <c r="BM172" s="474" t="s">
        <v>605</v>
      </c>
      <c r="BN172" s="474" t="s">
        <v>527</v>
      </c>
      <c r="BS172" s="474" t="s">
        <v>2675</v>
      </c>
      <c r="BT172" s="474" t="s">
        <v>2309</v>
      </c>
    </row>
    <row r="173" spans="1:80" ht="16.2" customHeight="1" x14ac:dyDescent="0.3">
      <c r="A173" s="178"/>
      <c r="B173" s="584"/>
      <c r="C173" s="584"/>
      <c r="D173" s="178"/>
      <c r="E173" s="178"/>
      <c r="F173" s="178"/>
      <c r="G173" s="178"/>
      <c r="H173" s="178"/>
      <c r="I173" s="178"/>
      <c r="J173" s="178"/>
      <c r="K173" s="178"/>
      <c r="L173" s="178"/>
      <c r="M173" s="178"/>
      <c r="N173" s="178"/>
      <c r="O173" s="178"/>
      <c r="P173" s="178"/>
      <c r="Q173" s="178"/>
      <c r="R173" s="178"/>
      <c r="S173" s="178"/>
      <c r="T173" s="178"/>
      <c r="U173" s="178"/>
      <c r="V173" s="178"/>
      <c r="W173" s="972" t="str">
        <f>'Translate &amp; Prices'!$O$530</f>
        <v>Umieszczenie uchwytu</v>
      </c>
      <c r="X173" s="972"/>
      <c r="Y173" s="972"/>
      <c r="Z173" s="972"/>
      <c r="AA173" s="972"/>
      <c r="AB173" s="501"/>
      <c r="AC173" s="973">
        <f>IFERROR(VLOOKUP(Ram_5!$H$27,BS156:BT175,2,0),0)</f>
        <v>0</v>
      </c>
      <c r="AD173" s="973"/>
      <c r="AE173" s="973"/>
      <c r="AF173" s="973"/>
      <c r="AG173" s="973"/>
      <c r="AH173" s="973"/>
      <c r="AI173" s="973"/>
      <c r="AJ173" s="973"/>
      <c r="AK173" s="973"/>
      <c r="AL173" s="973"/>
      <c r="AM173" s="973"/>
      <c r="AN173" s="973"/>
      <c r="AO173" s="973"/>
      <c r="AP173" s="584"/>
      <c r="AQ173" s="584"/>
      <c r="AR173" s="992"/>
      <c r="BM173" s="474" t="s">
        <v>606</v>
      </c>
      <c r="BN173" s="474" t="s">
        <v>528</v>
      </c>
      <c r="BS173" s="474" t="s">
        <v>1921</v>
      </c>
      <c r="BT173" s="474" t="s">
        <v>2599</v>
      </c>
    </row>
    <row r="174" spans="1:80" ht="16.2" customHeight="1" x14ac:dyDescent="0.3">
      <c r="A174" s="178"/>
      <c r="B174" s="584"/>
      <c r="C174" s="584"/>
      <c r="D174" s="178"/>
      <c r="E174" s="178"/>
      <c r="F174" s="178"/>
      <c r="G174" s="178"/>
      <c r="H174" s="178"/>
      <c r="I174" s="178"/>
      <c r="J174" s="178"/>
      <c r="K174" s="178"/>
      <c r="L174" s="178"/>
      <c r="M174" s="178"/>
      <c r="N174" s="178"/>
      <c r="O174" s="178"/>
      <c r="P174" s="178"/>
      <c r="Q174" s="178"/>
      <c r="R174" s="178"/>
      <c r="S174" s="178"/>
      <c r="T174" s="178"/>
      <c r="U174" s="178"/>
      <c r="V174" s="178"/>
      <c r="W174" s="972" t="str">
        <f>('Translate &amp; Prices'!$O$154)&amp;" "&amp;"-"&amp;" "&amp;('Translate &amp; Prices'!$O$149)&amp;" "&amp;" "&amp;1</f>
        <v>Ilość sztuk - Ramka  1</v>
      </c>
      <c r="X174" s="972"/>
      <c r="Y174" s="972"/>
      <c r="Z174" s="972"/>
      <c r="AA174" s="972"/>
      <c r="AB174" s="501"/>
      <c r="AC174" s="973">
        <f>Ram_5!$H$28</f>
        <v>0</v>
      </c>
      <c r="AD174" s="973"/>
      <c r="AE174" s="973"/>
      <c r="AF174" s="973"/>
      <c r="AG174" s="973"/>
      <c r="AH174" s="973"/>
      <c r="AI174" s="973"/>
      <c r="AJ174" s="973"/>
      <c r="AK174" s="973"/>
      <c r="AL174" s="973"/>
      <c r="AM174" s="973"/>
      <c r="AN174" s="973"/>
      <c r="AO174" s="973"/>
      <c r="AP174" s="584"/>
      <c r="AQ174" s="584"/>
      <c r="AR174" s="992"/>
      <c r="BM174" s="474" t="s">
        <v>607</v>
      </c>
      <c r="BN174" s="474" t="s">
        <v>529</v>
      </c>
      <c r="BS174" s="474" t="s">
        <v>1880</v>
      </c>
      <c r="BT174" s="474" t="s">
        <v>523</v>
      </c>
    </row>
    <row r="175" spans="1:80" ht="16.2" customHeight="1" x14ac:dyDescent="0.3">
      <c r="A175" s="178"/>
      <c r="B175" s="584"/>
      <c r="C175" s="584"/>
      <c r="D175" s="178"/>
      <c r="E175" s="178"/>
      <c r="F175" s="178"/>
      <c r="G175" s="178"/>
      <c r="H175" s="178"/>
      <c r="I175" s="178"/>
      <c r="J175" s="178"/>
      <c r="K175" s="178"/>
      <c r="L175" s="178"/>
      <c r="M175" s="178"/>
      <c r="N175" s="178"/>
      <c r="O175" s="178"/>
      <c r="P175" s="178"/>
      <c r="Q175" s="178"/>
      <c r="R175" s="178"/>
      <c r="S175" s="178"/>
      <c r="T175" s="178"/>
      <c r="U175" s="178"/>
      <c r="V175" s="178"/>
      <c r="W175" s="1"/>
      <c r="X175" s="1"/>
      <c r="Y175" s="1"/>
      <c r="Z175" s="1"/>
      <c r="AA175" s="1"/>
      <c r="AB175" s="1"/>
      <c r="AC175" s="1"/>
      <c r="AD175" s="1"/>
      <c r="AE175" s="1"/>
      <c r="AF175" s="1"/>
      <c r="AG175" s="1"/>
      <c r="AH175" s="1"/>
      <c r="AI175" s="1"/>
      <c r="AJ175" s="1"/>
      <c r="AK175" s="1"/>
      <c r="AL175" s="1"/>
      <c r="AM175" s="1"/>
      <c r="AN175" s="1"/>
      <c r="AO175" s="1"/>
      <c r="AP175" s="584"/>
      <c r="AQ175" s="584"/>
      <c r="AR175" s="992"/>
      <c r="BM175" s="474" t="s">
        <v>2519</v>
      </c>
      <c r="BN175" s="474" t="s">
        <v>2600</v>
      </c>
      <c r="BS175" s="474" t="s">
        <v>1881</v>
      </c>
      <c r="BT175" s="474" t="s">
        <v>524</v>
      </c>
    </row>
    <row r="176" spans="1:80" ht="14.4" customHeight="1" x14ac:dyDescent="0.3">
      <c r="A176" s="178"/>
      <c r="B176" s="584"/>
      <c r="C176" s="584"/>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584"/>
      <c r="AB176" s="584"/>
      <c r="AC176" s="584"/>
      <c r="AD176" s="584"/>
      <c r="AG176" s="584"/>
      <c r="AH176" s="584"/>
      <c r="AI176" s="584"/>
      <c r="AJ176" s="584"/>
      <c r="AK176" s="584"/>
      <c r="AL176" s="584"/>
      <c r="AM176" s="584"/>
      <c r="AN176" s="584"/>
      <c r="AO176" s="584"/>
      <c r="AP176" s="584"/>
      <c r="AQ176" s="584"/>
      <c r="AR176" s="992"/>
      <c r="BM176" s="474" t="s">
        <v>2676</v>
      </c>
      <c r="BN176" s="474" t="s">
        <v>526</v>
      </c>
    </row>
    <row r="177" spans="1:80" ht="14.4" customHeight="1" x14ac:dyDescent="0.3">
      <c r="A177" s="178"/>
      <c r="B177" s="584"/>
      <c r="C177" s="584"/>
      <c r="D177" s="178"/>
      <c r="E177" s="178"/>
      <c r="F177" s="178"/>
      <c r="G177" s="178"/>
      <c r="H177" s="178"/>
      <c r="I177" s="178"/>
      <c r="J177" s="178"/>
      <c r="K177" s="178"/>
      <c r="L177" s="178"/>
      <c r="M177" s="178"/>
      <c r="N177" s="178"/>
      <c r="O177" s="178"/>
      <c r="P177" s="178"/>
      <c r="Q177" s="178"/>
      <c r="R177" s="178"/>
      <c r="S177" s="178"/>
      <c r="T177" s="178"/>
      <c r="U177" s="178"/>
      <c r="V177" s="178"/>
      <c r="W177" s="994" t="s">
        <v>3004</v>
      </c>
      <c r="X177" s="994"/>
      <c r="Y177" s="994"/>
      <c r="Z177" s="994"/>
      <c r="AA177" s="584"/>
      <c r="AB177" s="584"/>
      <c r="AC177" s="584"/>
      <c r="AD177" s="584"/>
      <c r="AE177" s="994" t="s">
        <v>3005</v>
      </c>
      <c r="AF177" s="994"/>
      <c r="AG177" s="994"/>
      <c r="AH177" s="994"/>
      <c r="AI177" s="584"/>
      <c r="AJ177" s="584"/>
      <c r="AK177" s="584"/>
      <c r="AL177" s="584"/>
      <c r="AM177" s="584"/>
      <c r="AN177" s="584"/>
      <c r="AO177" s="584"/>
      <c r="AP177" s="584"/>
      <c r="AQ177" s="584"/>
      <c r="AR177" s="992"/>
      <c r="BM177" s="474" t="s">
        <v>2677</v>
      </c>
      <c r="BN177" s="474" t="s">
        <v>527</v>
      </c>
    </row>
    <row r="178" spans="1:80" ht="14.4" customHeight="1" x14ac:dyDescent="0.3">
      <c r="A178" s="178"/>
      <c r="B178" s="584"/>
      <c r="C178" s="584"/>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584"/>
      <c r="AB178" s="584"/>
      <c r="AC178" s="584"/>
      <c r="AD178" s="584"/>
      <c r="AE178" s="974"/>
      <c r="AF178" s="975"/>
      <c r="AG178" s="975"/>
      <c r="AH178" s="975"/>
      <c r="AI178" s="975"/>
      <c r="AJ178" s="975"/>
      <c r="AK178" s="975"/>
      <c r="AL178" s="975"/>
      <c r="AM178" s="975"/>
      <c r="AN178" s="976"/>
      <c r="AO178" s="584"/>
      <c r="AP178" s="584"/>
      <c r="AQ178" s="584"/>
      <c r="AR178" s="992"/>
      <c r="BM178" s="474" t="s">
        <v>2831</v>
      </c>
      <c r="BN178" s="474" t="s">
        <v>528</v>
      </c>
    </row>
    <row r="179" spans="1:80" ht="14.4" customHeight="1" x14ac:dyDescent="0.3">
      <c r="A179" s="178"/>
      <c r="B179" s="584"/>
      <c r="C179" s="584"/>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584"/>
      <c r="AB179" s="584"/>
      <c r="AC179" s="584"/>
      <c r="AD179" s="584"/>
      <c r="AE179" s="977"/>
      <c r="AF179" s="978"/>
      <c r="AG179" s="978"/>
      <c r="AH179" s="978"/>
      <c r="AI179" s="978"/>
      <c r="AJ179" s="978"/>
      <c r="AK179" s="978"/>
      <c r="AL179" s="978"/>
      <c r="AM179" s="978"/>
      <c r="AN179" s="979"/>
      <c r="AO179" s="584"/>
      <c r="AP179" s="584"/>
      <c r="AQ179" s="584"/>
      <c r="AR179" s="992"/>
      <c r="BM179" s="474" t="s">
        <v>2832</v>
      </c>
      <c r="BN179" s="474" t="s">
        <v>529</v>
      </c>
    </row>
    <row r="180" spans="1:80" ht="14.4" customHeight="1" x14ac:dyDescent="0.3">
      <c r="A180" s="178"/>
      <c r="B180" s="584"/>
      <c r="C180" s="584"/>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584"/>
      <c r="AB180" s="584"/>
      <c r="AC180" s="584"/>
      <c r="AD180" s="584"/>
      <c r="AE180" s="977"/>
      <c r="AF180" s="978"/>
      <c r="AG180" s="978"/>
      <c r="AH180" s="978"/>
      <c r="AI180" s="978"/>
      <c r="AJ180" s="978"/>
      <c r="AK180" s="978"/>
      <c r="AL180" s="978"/>
      <c r="AM180" s="978"/>
      <c r="AN180" s="979"/>
      <c r="AO180" s="584"/>
      <c r="AP180" s="584"/>
      <c r="AQ180" s="584"/>
      <c r="AR180" s="992"/>
      <c r="BM180" s="474" t="s">
        <v>2098</v>
      </c>
      <c r="BN180" s="474" t="s">
        <v>2600</v>
      </c>
    </row>
    <row r="181" spans="1:80" ht="14.4" customHeight="1" x14ac:dyDescent="0.35">
      <c r="A181" s="178"/>
      <c r="B181" s="584"/>
      <c r="C181" s="584"/>
      <c r="D181" s="996">
        <f>IF(OR(Ram_5!$AC$25="x",Ram_5!$AJ$26="x",Ram_5!$AC$9="x",Ram_5!$AJ$7="x",Ram_5!$AB$16="x",Ram_5!$AM$23="x",Ram_5!$AN$19="x",Ram_5!$AD$10="x"),'Translate &amp; Prices'!$B$568,0)</f>
        <v>0</v>
      </c>
      <c r="E181" s="996"/>
      <c r="F181" s="996"/>
      <c r="G181" s="996"/>
      <c r="H181" s="996"/>
      <c r="I181" s="996"/>
      <c r="J181" s="996"/>
      <c r="K181" s="996"/>
      <c r="L181" s="996"/>
      <c r="M181" s="996"/>
      <c r="N181" s="996"/>
      <c r="O181" s="996"/>
      <c r="P181" s="996"/>
      <c r="Q181" s="178"/>
      <c r="R181" s="178"/>
      <c r="S181" s="178"/>
      <c r="T181" s="178"/>
      <c r="U181" s="178"/>
      <c r="V181" s="178"/>
      <c r="W181" s="178"/>
      <c r="X181" s="178"/>
      <c r="Y181" s="178"/>
      <c r="Z181" s="178"/>
      <c r="AA181" s="584"/>
      <c r="AB181" s="584"/>
      <c r="AC181" s="584"/>
      <c r="AD181" s="584"/>
      <c r="AE181" s="977"/>
      <c r="AF181" s="978"/>
      <c r="AG181" s="978"/>
      <c r="AH181" s="978"/>
      <c r="AI181" s="978"/>
      <c r="AJ181" s="978"/>
      <c r="AK181" s="978"/>
      <c r="AL181" s="978"/>
      <c r="AM181" s="978"/>
      <c r="AN181" s="979"/>
      <c r="AO181" s="584"/>
      <c r="AP181" s="584"/>
      <c r="AQ181" s="584"/>
      <c r="AR181" s="992"/>
    </row>
    <row r="182" spans="1:80" ht="14.4" customHeight="1" x14ac:dyDescent="0.3">
      <c r="A182" s="178"/>
      <c r="B182" s="584"/>
      <c r="C182" s="584"/>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584"/>
      <c r="AB182" s="584"/>
      <c r="AC182" s="584"/>
      <c r="AD182" s="584"/>
      <c r="AE182" s="977"/>
      <c r="AF182" s="978"/>
      <c r="AG182" s="978"/>
      <c r="AH182" s="978"/>
      <c r="AI182" s="978"/>
      <c r="AJ182" s="978"/>
      <c r="AK182" s="978"/>
      <c r="AL182" s="978"/>
      <c r="AM182" s="978"/>
      <c r="AN182" s="979"/>
      <c r="AO182" s="584"/>
      <c r="AP182" s="584"/>
      <c r="AQ182" s="584"/>
      <c r="AR182" s="992"/>
    </row>
    <row r="183" spans="1:80" ht="14.4" customHeight="1" thickBot="1" x14ac:dyDescent="0.35">
      <c r="A183" s="178"/>
      <c r="B183" s="584"/>
      <c r="C183" s="584"/>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584"/>
      <c r="AB183" s="584"/>
      <c r="AC183" s="584"/>
      <c r="AD183" s="584"/>
      <c r="AE183" s="977"/>
      <c r="AF183" s="978"/>
      <c r="AG183" s="978"/>
      <c r="AH183" s="978"/>
      <c r="AI183" s="978"/>
      <c r="AJ183" s="978"/>
      <c r="AK183" s="978"/>
      <c r="AL183" s="978"/>
      <c r="AM183" s="978"/>
      <c r="AN183" s="979"/>
      <c r="AO183" s="584"/>
      <c r="AP183" s="584"/>
      <c r="AQ183" s="584"/>
      <c r="AR183" s="992"/>
    </row>
    <row r="184" spans="1:80" ht="14.4" customHeight="1" thickBot="1" x14ac:dyDescent="0.35">
      <c r="A184" s="178"/>
      <c r="B184" s="584"/>
      <c r="C184" s="584"/>
      <c r="D184" s="178"/>
      <c r="E184" s="178"/>
      <c r="F184" s="178"/>
      <c r="G184" s="983" t="str">
        <f>'Translate &amp; Prices'!$O$155</f>
        <v>Szerokość</v>
      </c>
      <c r="H184" s="984">
        <f>Ram_1!AG174</f>
        <v>0</v>
      </c>
      <c r="I184" s="984">
        <f>Ram_1!AH174</f>
        <v>0</v>
      </c>
      <c r="J184" s="985">
        <f>Ram_5!AI30</f>
        <v>0</v>
      </c>
      <c r="K184" s="985">
        <f>Ram_1!AJ174</f>
        <v>0</v>
      </c>
      <c r="L184" s="986">
        <f>Ram_1!AK174</f>
        <v>0</v>
      </c>
      <c r="M184" s="178"/>
      <c r="N184" s="178"/>
      <c r="O184" s="178"/>
      <c r="P184" s="178"/>
      <c r="Q184" s="178"/>
      <c r="R184" s="178"/>
      <c r="S184" s="178"/>
      <c r="T184" s="178"/>
      <c r="U184" s="178"/>
      <c r="V184" s="178"/>
      <c r="W184" s="178"/>
      <c r="X184" s="178"/>
      <c r="Y184" s="178"/>
      <c r="Z184" s="178"/>
      <c r="AA184" s="584"/>
      <c r="AB184" s="584"/>
      <c r="AC184" s="584"/>
      <c r="AD184" s="584"/>
      <c r="AE184" s="977"/>
      <c r="AF184" s="978"/>
      <c r="AG184" s="978"/>
      <c r="AH184" s="978"/>
      <c r="AI184" s="978"/>
      <c r="AJ184" s="978"/>
      <c r="AK184" s="978"/>
      <c r="AL184" s="978"/>
      <c r="AM184" s="978"/>
      <c r="AN184" s="979"/>
      <c r="AO184" s="584"/>
      <c r="AP184" s="584"/>
      <c r="AQ184" s="584"/>
      <c r="AR184" s="992"/>
    </row>
    <row r="185" spans="1:80" ht="21" customHeight="1" x14ac:dyDescent="0.3">
      <c r="A185" s="178"/>
      <c r="B185" s="584"/>
      <c r="C185" s="584"/>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584"/>
      <c r="AB185" s="584"/>
      <c r="AC185" s="584"/>
      <c r="AD185" s="584"/>
      <c r="AE185" s="980"/>
      <c r="AF185" s="981"/>
      <c r="AG185" s="981"/>
      <c r="AH185" s="981"/>
      <c r="AI185" s="981"/>
      <c r="AJ185" s="981"/>
      <c r="AK185" s="981"/>
      <c r="AL185" s="981"/>
      <c r="AM185" s="981"/>
      <c r="AN185" s="982"/>
      <c r="AO185" s="584"/>
      <c r="AP185" s="584"/>
      <c r="AQ185" s="584"/>
      <c r="AR185" s="992"/>
    </row>
    <row r="186" spans="1:80" ht="14.4" customHeight="1" x14ac:dyDescent="0.3">
      <c r="A186" s="178"/>
      <c r="B186" s="584"/>
      <c r="C186" s="584"/>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584"/>
      <c r="AB186" s="584"/>
      <c r="AC186" s="584"/>
      <c r="AD186" s="584"/>
      <c r="AG186" s="584"/>
      <c r="AH186" s="584"/>
      <c r="AI186" s="584"/>
      <c r="AJ186" s="584"/>
      <c r="AK186" s="584"/>
      <c r="AL186" s="584"/>
      <c r="AM186" s="584"/>
      <c r="AN186" s="584"/>
      <c r="AO186" s="584"/>
      <c r="AP186" s="584"/>
      <c r="AQ186" s="584"/>
      <c r="AR186" s="992"/>
    </row>
    <row r="187" spans="1:80" ht="14.4" customHeight="1" x14ac:dyDescent="0.3">
      <c r="A187" s="178"/>
      <c r="B187" s="584"/>
      <c r="C187" s="584"/>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584"/>
      <c r="AB187" s="584"/>
      <c r="AC187" s="584"/>
      <c r="AD187" s="584"/>
      <c r="AG187" s="584"/>
      <c r="AH187" s="584"/>
      <c r="AI187" s="584"/>
      <c r="AJ187" s="584"/>
      <c r="AK187" s="584"/>
      <c r="AL187" s="584"/>
      <c r="AM187" s="584"/>
      <c r="AN187" s="584"/>
      <c r="AO187" s="584"/>
      <c r="AP187" s="584"/>
      <c r="AQ187" s="584"/>
      <c r="AR187" s="992"/>
    </row>
    <row r="188" spans="1:80" ht="14.4" customHeight="1" thickBot="1" x14ac:dyDescent="0.35">
      <c r="A188" s="589"/>
      <c r="B188" s="381"/>
      <c r="C188" s="381"/>
      <c r="D188" s="589"/>
      <c r="E188" s="589"/>
      <c r="F188" s="589"/>
      <c r="G188" s="589"/>
      <c r="H188" s="589"/>
      <c r="I188" s="589"/>
      <c r="J188" s="589"/>
      <c r="K188" s="589"/>
      <c r="L188" s="589"/>
      <c r="M188" s="589"/>
      <c r="N188" s="589"/>
      <c r="O188" s="589"/>
      <c r="P188" s="589"/>
      <c r="Q188" s="589"/>
      <c r="R188" s="589"/>
      <c r="S188" s="589"/>
      <c r="T188" s="589"/>
      <c r="U188" s="589"/>
      <c r="V188" s="589"/>
      <c r="W188" s="589"/>
      <c r="X188" s="589"/>
      <c r="Y188" s="589"/>
      <c r="Z188" s="589"/>
      <c r="AA188" s="381"/>
      <c r="AB188" s="381"/>
      <c r="AC188" s="381"/>
      <c r="AD188" s="381"/>
      <c r="AE188" s="590"/>
      <c r="AF188" s="591"/>
      <c r="AG188" s="381"/>
      <c r="AH188" s="381"/>
      <c r="AI188" s="381"/>
      <c r="AJ188" s="381"/>
      <c r="AK188" s="381"/>
      <c r="AL188" s="381"/>
      <c r="AM188" s="381"/>
      <c r="AN188" s="381"/>
      <c r="AO188" s="381"/>
      <c r="AP188" s="381"/>
      <c r="AQ188" s="381"/>
      <c r="AR188" s="381"/>
    </row>
    <row r="189" spans="1:80" ht="34.799999999999997" customHeight="1" thickBot="1" x14ac:dyDescent="0.35">
      <c r="A189" s="178"/>
      <c r="B189" s="584"/>
      <c r="C189" s="584"/>
      <c r="D189" s="178"/>
      <c r="E189" s="178"/>
      <c r="F189" s="178"/>
      <c r="G189" s="178"/>
      <c r="H189" s="178"/>
      <c r="I189" s="178"/>
      <c r="J189" s="585"/>
      <c r="K189" s="585"/>
      <c r="L189" s="585"/>
      <c r="M189" s="585"/>
      <c r="N189" s="585"/>
      <c r="O189" s="585"/>
      <c r="P189" s="585"/>
      <c r="Q189" s="585"/>
      <c r="R189" s="585"/>
      <c r="S189" s="585"/>
      <c r="T189" s="585"/>
      <c r="U189" s="585"/>
      <c r="V189" s="585"/>
      <c r="W189" s="971" t="str">
        <f>'Translate &amp; Prices'!$O$236</f>
        <v>Numer zamówienia</v>
      </c>
      <c r="X189" s="971"/>
      <c r="Y189" s="971"/>
      <c r="Z189" s="971"/>
      <c r="AA189" s="971"/>
      <c r="AB189" s="501"/>
      <c r="AC189" s="968"/>
      <c r="AD189" s="969"/>
      <c r="AE189" s="969"/>
      <c r="AF189" s="969"/>
      <c r="AG189" s="969"/>
      <c r="AH189" s="969"/>
      <c r="AI189" s="969"/>
      <c r="AJ189" s="969"/>
      <c r="AK189" s="969"/>
      <c r="AL189" s="969"/>
      <c r="AM189" s="969"/>
      <c r="AN189" s="969"/>
      <c r="AO189" s="970"/>
      <c r="AP189" s="584"/>
      <c r="AQ189" s="584"/>
      <c r="AR189" s="992" t="s">
        <v>3011</v>
      </c>
    </row>
    <row r="190" spans="1:80" ht="16.2" customHeight="1" x14ac:dyDescent="0.3">
      <c r="A190" s="178"/>
      <c r="B190" s="395"/>
      <c r="C190" s="395"/>
      <c r="W190" s="972" t="str">
        <f>'Translate &amp; Prices'!$O$522</f>
        <v>Połączenie 2 profili</v>
      </c>
      <c r="X190" s="972"/>
      <c r="Y190" s="972"/>
      <c r="Z190" s="972"/>
      <c r="AA190" s="972"/>
      <c r="AB190" s="501"/>
      <c r="AC190" s="991" t="str">
        <f>IF(kombinace_6!$H$1=TRUE,"Tak","Nie")</f>
        <v>Nie</v>
      </c>
      <c r="AD190" s="991"/>
      <c r="AE190" s="991"/>
      <c r="AF190" s="991"/>
      <c r="AG190" s="991"/>
      <c r="AH190" s="991"/>
      <c r="AI190" s="991"/>
      <c r="AJ190" s="991"/>
      <c r="AK190" s="991"/>
      <c r="AL190" s="991"/>
      <c r="AM190" s="991"/>
      <c r="AN190" s="991"/>
      <c r="AO190" s="991"/>
      <c r="AR190" s="992"/>
    </row>
    <row r="191" spans="1:80" ht="16.2" customHeight="1" x14ac:dyDescent="0.3">
      <c r="A191" s="178"/>
      <c r="B191" s="584"/>
      <c r="C191" s="584"/>
      <c r="D191" s="178"/>
      <c r="E191" s="178"/>
      <c r="F191" s="178"/>
      <c r="G191" s="178"/>
      <c r="H191" s="178"/>
      <c r="I191" s="178"/>
      <c r="J191" s="178"/>
      <c r="K191" s="178"/>
      <c r="L191" s="178"/>
      <c r="M191" s="178"/>
      <c r="N191" s="178"/>
      <c r="O191" s="178"/>
      <c r="P191" s="178"/>
      <c r="Q191" s="178"/>
      <c r="R191" s="178"/>
      <c r="S191" s="178"/>
      <c r="T191" s="178"/>
      <c r="U191" s="178"/>
      <c r="V191" s="178"/>
      <c r="W191" s="972" t="str">
        <f>'Translate &amp; Prices'!$O$152</f>
        <v>Rodzaj profilu</v>
      </c>
      <c r="X191" s="972"/>
      <c r="Y191" s="972"/>
      <c r="Z191" s="972"/>
      <c r="AA191" s="972"/>
      <c r="AB191" s="501"/>
      <c r="AC191" s="973">
        <f>IFERROR(VLOOKUP(Ram_6!$H$8,kombinace_1!DW:DY,2,0),0)</f>
        <v>0</v>
      </c>
      <c r="AD191" s="973"/>
      <c r="AE191" s="973"/>
      <c r="AF191" s="973"/>
      <c r="AG191" s="973"/>
      <c r="AH191" s="973"/>
      <c r="AI191" s="973"/>
      <c r="AJ191" s="973"/>
      <c r="AK191" s="973"/>
      <c r="AL191" s="973"/>
      <c r="AM191" s="973"/>
      <c r="AN191" s="973"/>
      <c r="AO191" s="973"/>
      <c r="AP191" s="584"/>
      <c r="AQ191" s="584"/>
      <c r="AR191" s="992"/>
    </row>
    <row r="192" spans="1:80" ht="16.2" customHeight="1" x14ac:dyDescent="0.3">
      <c r="A192" s="178"/>
      <c r="B192" s="584"/>
      <c r="C192" s="584"/>
      <c r="D192" s="178"/>
      <c r="E192" s="178"/>
      <c r="F192" s="178"/>
      <c r="G192" s="178"/>
      <c r="H192" s="178"/>
      <c r="I192" s="178"/>
      <c r="J192" s="178"/>
      <c r="K192" s="178"/>
      <c r="L192" s="178"/>
      <c r="M192" s="178"/>
      <c r="N192" s="178"/>
      <c r="O192" s="178"/>
      <c r="P192" s="178"/>
      <c r="Q192" s="178"/>
      <c r="R192" s="178"/>
      <c r="S192" s="178"/>
      <c r="T192" s="178"/>
      <c r="U192" s="178"/>
      <c r="V192" s="178"/>
      <c r="W192" s="972" t="str">
        <f>'Translate &amp; Prices'!$O$523</f>
        <v>Szprosy</v>
      </c>
      <c r="X192" s="972"/>
      <c r="Y192" s="972"/>
      <c r="Z192" s="972"/>
      <c r="AA192" s="972"/>
      <c r="AB192" s="501"/>
      <c r="AC192" s="973" t="str">
        <f>IFERROR(VLOOKUP(Ram_6!$AU$10,AU192:AV195,2,0),0)</f>
        <v>Nie</v>
      </c>
      <c r="AD192" s="973"/>
      <c r="AE192" s="973"/>
      <c r="AF192" s="973"/>
      <c r="AG192" s="973"/>
      <c r="AH192" s="973"/>
      <c r="AI192" s="973"/>
      <c r="AJ192" s="973"/>
      <c r="AK192" s="973"/>
      <c r="AL192" s="973"/>
      <c r="AM192" s="973"/>
      <c r="AN192" s="973"/>
      <c r="AO192" s="973"/>
      <c r="AP192" s="584"/>
      <c r="AQ192" s="584"/>
      <c r="AR192" s="992"/>
      <c r="AT192" s="474"/>
      <c r="AU192" s="404">
        <v>0</v>
      </c>
      <c r="AV192" s="404" t="str">
        <f>'Translate &amp; Prices'!$O$537</f>
        <v>Nie</v>
      </c>
      <c r="AY192" s="474"/>
      <c r="AZ192" s="404">
        <v>2</v>
      </c>
      <c r="BA192" s="404" t="str">
        <f>'Translate &amp; Prices'!$O$531</f>
        <v>Zawiasy</v>
      </c>
      <c r="BD192" s="395" t="s">
        <v>125</v>
      </c>
      <c r="BE192" s="395" t="s">
        <v>492</v>
      </c>
      <c r="BI192" s="395" t="s">
        <v>98</v>
      </c>
      <c r="BJ192" s="474" t="s">
        <v>486</v>
      </c>
      <c r="BM192" s="474" t="s">
        <v>245</v>
      </c>
      <c r="BN192" s="474" t="s">
        <v>526</v>
      </c>
      <c r="BS192" s="474" t="s">
        <v>251</v>
      </c>
      <c r="BT192" s="474" t="s">
        <v>2309</v>
      </c>
      <c r="BX192" s="474">
        <v>1</v>
      </c>
      <c r="BY192" s="474" t="str">
        <f>'Translate &amp; Prices'!$O$85</f>
        <v>Bez modyfikacji</v>
      </c>
      <c r="CA192" s="404" t="s">
        <v>2086</v>
      </c>
      <c r="CB192" s="404" t="s">
        <v>2616</v>
      </c>
    </row>
    <row r="193" spans="1:80" ht="16.2" customHeight="1" x14ac:dyDescent="0.3">
      <c r="A193" s="178"/>
      <c r="B193" s="584"/>
      <c r="C193" s="584"/>
      <c r="D193" s="178"/>
      <c r="E193" s="178"/>
      <c r="F193" s="178"/>
      <c r="G193" s="178"/>
      <c r="H193" s="178"/>
      <c r="I193" s="178"/>
      <c r="J193" s="178"/>
      <c r="K193" s="178"/>
      <c r="L193" s="178"/>
      <c r="M193" s="178"/>
      <c r="N193" s="178"/>
      <c r="O193" s="178"/>
      <c r="P193" s="178"/>
      <c r="Q193" s="178"/>
      <c r="R193" s="178"/>
      <c r="S193" s="178"/>
      <c r="T193" s="178"/>
      <c r="U193" s="178"/>
      <c r="V193" s="178"/>
      <c r="W193" s="592"/>
      <c r="X193" s="592"/>
      <c r="Y193" s="592"/>
      <c r="Z193" s="592"/>
      <c r="AA193" s="592"/>
      <c r="AB193" s="593"/>
      <c r="AC193" s="993" t="str">
        <f>'Translate &amp; Prices'!$O$538</f>
        <v>Poziomo</v>
      </c>
      <c r="AD193" s="993"/>
      <c r="AE193" s="993"/>
      <c r="AF193" s="993"/>
      <c r="AG193" s="993"/>
      <c r="AH193" s="993"/>
      <c r="AI193" s="993"/>
      <c r="AJ193" s="993" t="str">
        <f>'Translate &amp; Prices'!$O$539</f>
        <v>Pionowo</v>
      </c>
      <c r="AK193" s="993"/>
      <c r="AL193" s="993"/>
      <c r="AM193" s="993"/>
      <c r="AN193" s="993"/>
      <c r="AO193" s="993"/>
      <c r="AP193" s="584"/>
      <c r="AQ193" s="584"/>
      <c r="AR193" s="992"/>
      <c r="AT193" s="474"/>
      <c r="AU193" s="404">
        <v>1</v>
      </c>
      <c r="AV193" s="404" t="str">
        <f>'Translate &amp; Prices'!$O$538</f>
        <v>Poziomo</v>
      </c>
      <c r="AY193" s="474"/>
      <c r="AZ193" s="404">
        <v>3</v>
      </c>
      <c r="BA193" s="404" t="str">
        <f>'Translate &amp; Prices'!$O$532</f>
        <v>Podnośniki</v>
      </c>
      <c r="BD193" s="395" t="s">
        <v>126</v>
      </c>
      <c r="BE193" s="395" t="s">
        <v>493</v>
      </c>
      <c r="BI193" s="395" t="s">
        <v>97</v>
      </c>
      <c r="BJ193" s="474" t="s">
        <v>487</v>
      </c>
      <c r="BM193" s="474" t="s">
        <v>246</v>
      </c>
      <c r="BN193" s="474" t="s">
        <v>527</v>
      </c>
      <c r="BS193" s="474" t="s">
        <v>252</v>
      </c>
      <c r="BT193" s="474" t="s">
        <v>2599</v>
      </c>
      <c r="BX193" s="474">
        <v>2</v>
      </c>
      <c r="BY193" s="474" t="str">
        <f>'Translate &amp; Prices'!$O$83</f>
        <v>Hartowane</v>
      </c>
      <c r="CA193" s="404" t="s">
        <v>2089</v>
      </c>
      <c r="CB193" s="404" t="s">
        <v>2617</v>
      </c>
    </row>
    <row r="194" spans="1:80" ht="16.2" customHeight="1" x14ac:dyDescent="0.3">
      <c r="A194" s="178"/>
      <c r="B194" s="584"/>
      <c r="C194" s="584"/>
      <c r="D194" s="178"/>
      <c r="E194" s="178"/>
      <c r="F194" s="178"/>
      <c r="G194" s="178"/>
      <c r="H194" s="178"/>
      <c r="I194" s="178"/>
      <c r="J194" s="178"/>
      <c r="K194" s="178"/>
      <c r="L194" s="178"/>
      <c r="M194" s="178"/>
      <c r="N194" s="178"/>
      <c r="O194" s="178"/>
      <c r="P194" s="178"/>
      <c r="Q194" s="178"/>
      <c r="R194" s="178"/>
      <c r="S194" s="178"/>
      <c r="T194" s="178"/>
      <c r="U194" s="178"/>
      <c r="V194" s="178"/>
      <c r="W194" s="972" t="str">
        <f>('Translate &amp; Prices'!$O$523)&amp;" "&amp;"("&amp;'Translate &amp; Prices'!$O$154&amp;")"</f>
        <v>Szprosy (Ilość sztuk)</v>
      </c>
      <c r="X194" s="972"/>
      <c r="Y194" s="972"/>
      <c r="Z194" s="972"/>
      <c r="AA194" s="972"/>
      <c r="AB194" s="501"/>
      <c r="AC194" s="973">
        <f>Ram_6!$H$11</f>
        <v>0</v>
      </c>
      <c r="AD194" s="973"/>
      <c r="AE194" s="973"/>
      <c r="AF194" s="973"/>
      <c r="AG194" s="973"/>
      <c r="AH194" s="973"/>
      <c r="AI194" s="973"/>
      <c r="AJ194" s="973">
        <f>Ram_6!$M$11</f>
        <v>0</v>
      </c>
      <c r="AK194" s="973"/>
      <c r="AL194" s="973"/>
      <c r="AM194" s="973"/>
      <c r="AN194" s="973"/>
      <c r="AO194" s="973"/>
      <c r="AP194" s="584"/>
      <c r="AQ194" s="584"/>
      <c r="AR194" s="992"/>
      <c r="AT194" s="474"/>
      <c r="AU194" s="404">
        <v>2</v>
      </c>
      <c r="AV194" s="404" t="str">
        <f>'Translate &amp; Prices'!$O$539</f>
        <v>Pionowo</v>
      </c>
      <c r="BD194" s="395" t="s">
        <v>127</v>
      </c>
      <c r="BE194" s="395" t="s">
        <v>2348</v>
      </c>
      <c r="BI194" s="474" t="s">
        <v>427</v>
      </c>
      <c r="BJ194" s="474" t="s">
        <v>486</v>
      </c>
      <c r="BM194" s="474" t="s">
        <v>248</v>
      </c>
      <c r="BN194" s="474" t="s">
        <v>528</v>
      </c>
      <c r="BS194" s="474" t="s">
        <v>242</v>
      </c>
      <c r="BT194" s="474" t="s">
        <v>523</v>
      </c>
      <c r="BX194" s="474">
        <v>3</v>
      </c>
      <c r="BY194" s="474" t="str">
        <f>'Translate &amp; Prices'!$O$84</f>
        <v>Folia</v>
      </c>
      <c r="CA194" s="404" t="s">
        <v>2092</v>
      </c>
      <c r="CB194" s="404" t="s">
        <v>2618</v>
      </c>
    </row>
    <row r="195" spans="1:80" ht="16.2" customHeight="1" x14ac:dyDescent="0.3">
      <c r="A195" s="178"/>
      <c r="B195" s="584"/>
      <c r="C195" s="584"/>
      <c r="D195" s="178"/>
      <c r="E195" s="178"/>
      <c r="F195" s="178"/>
      <c r="G195" s="178"/>
      <c r="H195" s="178"/>
      <c r="I195" s="178"/>
      <c r="J195" s="178"/>
      <c r="K195" s="178"/>
      <c r="L195" s="178"/>
      <c r="M195" s="178"/>
      <c r="N195" s="178"/>
      <c r="O195" s="178"/>
      <c r="P195" s="178"/>
      <c r="Q195" s="178"/>
      <c r="R195" s="178"/>
      <c r="S195" s="178"/>
      <c r="T195" s="178"/>
      <c r="U195" s="178"/>
      <c r="V195" s="178"/>
      <c r="W195" s="972" t="str">
        <f>'Translate &amp; Prices'!$O$238</f>
        <v>Typ okucia</v>
      </c>
      <c r="X195" s="972"/>
      <c r="Y195" s="972"/>
      <c r="Z195" s="972"/>
      <c r="AA195" s="972"/>
      <c r="AB195" s="501"/>
      <c r="AC195" s="973">
        <f>IFERROR(VLOOKUP(Ram_6!$AU$9,AZ192:BA193,2,0),0)</f>
        <v>0</v>
      </c>
      <c r="AD195" s="973"/>
      <c r="AE195" s="973"/>
      <c r="AF195" s="973"/>
      <c r="AG195" s="973"/>
      <c r="AH195" s="973"/>
      <c r="AI195" s="973"/>
      <c r="AJ195" s="973"/>
      <c r="AK195" s="973"/>
      <c r="AL195" s="973"/>
      <c r="AM195" s="973"/>
      <c r="AN195" s="973"/>
      <c r="AO195" s="973"/>
      <c r="AP195" s="584"/>
      <c r="AQ195" s="584"/>
      <c r="AR195" s="992"/>
      <c r="AT195" s="474"/>
      <c r="AU195" s="404">
        <v>3</v>
      </c>
      <c r="AV195" s="404" t="str">
        <f>'Translate &amp; Prices'!$O$540</f>
        <v>Poziomo i pionowo</v>
      </c>
      <c r="BD195" s="395" t="s">
        <v>125</v>
      </c>
      <c r="BE195" s="395" t="s">
        <v>492</v>
      </c>
      <c r="BI195" s="474" t="s">
        <v>428</v>
      </c>
      <c r="BJ195" s="474" t="s">
        <v>487</v>
      </c>
      <c r="BM195" s="474" t="s">
        <v>247</v>
      </c>
      <c r="BN195" s="474" t="s">
        <v>529</v>
      </c>
      <c r="BS195" s="474" t="s">
        <v>241</v>
      </c>
      <c r="BT195" s="474" t="s">
        <v>524</v>
      </c>
      <c r="CA195" s="404" t="s">
        <v>2451</v>
      </c>
      <c r="CB195" s="404" t="s">
        <v>2616</v>
      </c>
    </row>
    <row r="196" spans="1:80" ht="16.2" customHeight="1" x14ac:dyDescent="0.3">
      <c r="A196" s="178"/>
      <c r="B196" s="584"/>
      <c r="C196" s="584"/>
      <c r="D196" s="178"/>
      <c r="E196" s="178"/>
      <c r="F196" s="178"/>
      <c r="G196" s="178"/>
      <c r="H196" s="178"/>
      <c r="I196" s="178"/>
      <c r="J196" s="178"/>
      <c r="K196" s="178"/>
      <c r="L196" s="178"/>
      <c r="M196" s="178"/>
      <c r="N196" s="178"/>
      <c r="O196" s="178"/>
      <c r="P196" s="178"/>
      <c r="Q196" s="178"/>
      <c r="R196" s="178"/>
      <c r="S196" s="178"/>
      <c r="T196" s="178"/>
      <c r="U196" s="178"/>
      <c r="V196" s="178"/>
      <c r="W196" s="972" t="str">
        <f>'Translate &amp; Prices'!$O$524</f>
        <v>Marka okucia</v>
      </c>
      <c r="X196" s="972"/>
      <c r="Y196" s="972"/>
      <c r="Z196" s="972"/>
      <c r="AA196" s="972"/>
      <c r="AB196" s="501"/>
      <c r="AC196" s="973">
        <f>Ram_6!$H$13</f>
        <v>0</v>
      </c>
      <c r="AD196" s="973"/>
      <c r="AE196" s="973"/>
      <c r="AF196" s="973"/>
      <c r="AG196" s="973"/>
      <c r="AH196" s="973"/>
      <c r="AI196" s="973"/>
      <c r="AJ196" s="973"/>
      <c r="AK196" s="973"/>
      <c r="AL196" s="973"/>
      <c r="AM196" s="973"/>
      <c r="AN196" s="973"/>
      <c r="AO196" s="973"/>
      <c r="AP196" s="584"/>
      <c r="AQ196" s="584"/>
      <c r="AR196" s="992"/>
      <c r="BD196" s="395" t="s">
        <v>126</v>
      </c>
      <c r="BE196" s="395" t="s">
        <v>493</v>
      </c>
      <c r="BI196" s="474" t="s">
        <v>747</v>
      </c>
      <c r="BJ196" s="474" t="s">
        <v>486</v>
      </c>
      <c r="BM196" s="474" t="s">
        <v>249</v>
      </c>
      <c r="BN196" s="474" t="s">
        <v>2600</v>
      </c>
      <c r="BS196" s="474" t="s">
        <v>2311</v>
      </c>
      <c r="BT196" s="474" t="s">
        <v>2309</v>
      </c>
      <c r="CA196" s="404" t="s">
        <v>2452</v>
      </c>
      <c r="CB196" s="404" t="s">
        <v>2617</v>
      </c>
    </row>
    <row r="197" spans="1:80" ht="16.2" customHeight="1" thickBot="1" x14ac:dyDescent="0.35">
      <c r="A197" s="178"/>
      <c r="B197" s="584"/>
      <c r="C197" s="584"/>
      <c r="D197" s="178"/>
      <c r="E197" s="178"/>
      <c r="F197" s="178"/>
      <c r="G197" s="178"/>
      <c r="H197" s="178"/>
      <c r="I197" s="178"/>
      <c r="J197" s="178"/>
      <c r="K197" s="178"/>
      <c r="L197" s="178"/>
      <c r="M197" s="178"/>
      <c r="N197" s="178"/>
      <c r="O197" s="178"/>
      <c r="P197" s="178"/>
      <c r="Q197" s="178"/>
      <c r="R197" s="178"/>
      <c r="S197" s="178"/>
      <c r="T197" s="178"/>
      <c r="U197" s="178"/>
      <c r="V197" s="178"/>
      <c r="W197" s="972" t="str">
        <f>'Translate &amp; Prices'!$O$526</f>
        <v>Nałożenie</v>
      </c>
      <c r="X197" s="972"/>
      <c r="Y197" s="972"/>
      <c r="Z197" s="972"/>
      <c r="AA197" s="972"/>
      <c r="AB197" s="501"/>
      <c r="AC197" s="973">
        <f>IFERROR(VLOOKUP(Ram_6!$H$14,BD192:BE206,2,0),0)</f>
        <v>0</v>
      </c>
      <c r="AD197" s="973"/>
      <c r="AE197" s="973"/>
      <c r="AF197" s="973"/>
      <c r="AG197" s="973"/>
      <c r="AH197" s="973"/>
      <c r="AI197" s="973"/>
      <c r="AJ197" s="973"/>
      <c r="AK197" s="973"/>
      <c r="AL197" s="973"/>
      <c r="AM197" s="973"/>
      <c r="AN197" s="973"/>
      <c r="AO197" s="973"/>
      <c r="AP197" s="584"/>
      <c r="AQ197" s="584"/>
      <c r="AR197" s="992"/>
      <c r="BD197" s="395" t="s">
        <v>127</v>
      </c>
      <c r="BE197" s="395" t="s">
        <v>2348</v>
      </c>
      <c r="BI197" s="474" t="s">
        <v>563</v>
      </c>
      <c r="BJ197" s="474" t="s">
        <v>487</v>
      </c>
      <c r="BM197" s="474" t="s">
        <v>461</v>
      </c>
      <c r="BN197" s="474" t="s">
        <v>526</v>
      </c>
      <c r="BS197" s="474" t="s">
        <v>252</v>
      </c>
      <c r="BT197" s="474" t="s">
        <v>2599</v>
      </c>
      <c r="CA197" s="404" t="s">
        <v>2453</v>
      </c>
      <c r="CB197" s="404" t="s">
        <v>2618</v>
      </c>
    </row>
    <row r="198" spans="1:80" ht="16.2" customHeight="1" x14ac:dyDescent="0.3">
      <c r="A198" s="178"/>
      <c r="B198" s="584"/>
      <c r="C198" s="584"/>
      <c r="D198" s="178"/>
      <c r="E198" s="178"/>
      <c r="F198" s="178"/>
      <c r="G198" s="178"/>
      <c r="H198" s="178"/>
      <c r="I198" s="178"/>
      <c r="J198" s="178"/>
      <c r="K198" s="178"/>
      <c r="L198" s="178"/>
      <c r="M198" s="178"/>
      <c r="N198" s="178"/>
      <c r="O198" s="178"/>
      <c r="P198" s="178"/>
      <c r="Q198" s="178"/>
      <c r="R198" s="178"/>
      <c r="S198" s="987">
        <f>Ram_6!AR14</f>
        <v>0</v>
      </c>
      <c r="T198" s="178"/>
      <c r="U198" s="178"/>
      <c r="V198" s="178"/>
      <c r="W198" s="972" t="str">
        <f>'Translate &amp; Prices'!$O$525</f>
        <v>Wariant okucia</v>
      </c>
      <c r="X198" s="972"/>
      <c r="Y198" s="972"/>
      <c r="Z198" s="972"/>
      <c r="AA198" s="972"/>
      <c r="AB198" s="501"/>
      <c r="AC198" s="973">
        <f>IFERROR(VLOOKUP(Ram_6!$H$15,kombinace_1!$ED:$EE,2,0),Ram_6!$H$15)</f>
        <v>0</v>
      </c>
      <c r="AD198" s="973"/>
      <c r="AE198" s="973"/>
      <c r="AF198" s="973"/>
      <c r="AG198" s="973"/>
      <c r="AH198" s="973"/>
      <c r="AI198" s="973"/>
      <c r="AJ198" s="973"/>
      <c r="AK198" s="973"/>
      <c r="AL198" s="973"/>
      <c r="AM198" s="973"/>
      <c r="AN198" s="973"/>
      <c r="AO198" s="973"/>
      <c r="AP198" s="584"/>
      <c r="AQ198" s="584"/>
      <c r="AR198" s="992"/>
      <c r="BD198" s="395" t="s">
        <v>492</v>
      </c>
      <c r="BE198" s="395" t="s">
        <v>492</v>
      </c>
      <c r="BI198" s="474" t="s">
        <v>2667</v>
      </c>
      <c r="BJ198" s="474" t="s">
        <v>486</v>
      </c>
      <c r="BM198" s="474" t="s">
        <v>462</v>
      </c>
      <c r="BN198" s="474" t="s">
        <v>527</v>
      </c>
      <c r="BS198" s="474" t="s">
        <v>457</v>
      </c>
      <c r="BT198" s="474" t="s">
        <v>523</v>
      </c>
      <c r="CA198" s="404" t="s">
        <v>2616</v>
      </c>
      <c r="CB198" s="404" t="s">
        <v>2616</v>
      </c>
    </row>
    <row r="199" spans="1:80" ht="16.2" customHeight="1" x14ac:dyDescent="0.3">
      <c r="A199" s="178"/>
      <c r="B199" s="584"/>
      <c r="C199" s="584"/>
      <c r="D199" s="178"/>
      <c r="E199" s="178"/>
      <c r="F199" s="178"/>
      <c r="G199" s="178"/>
      <c r="H199" s="178"/>
      <c r="I199" s="178"/>
      <c r="J199" s="178"/>
      <c r="K199" s="178"/>
      <c r="L199" s="178"/>
      <c r="M199" s="178"/>
      <c r="N199" s="178"/>
      <c r="O199" s="178"/>
      <c r="P199" s="178"/>
      <c r="Q199" s="178"/>
      <c r="R199" s="178"/>
      <c r="S199" s="988">
        <f>Ram_1!AR195</f>
        <v>0</v>
      </c>
      <c r="T199" s="178"/>
      <c r="U199" s="178"/>
      <c r="V199" s="178"/>
      <c r="W199" s="972" t="str">
        <f>'Translate &amp; Prices'!$O$198</f>
        <v>Wybierz pozycję ramki</v>
      </c>
      <c r="X199" s="972"/>
      <c r="Y199" s="972"/>
      <c r="Z199" s="972"/>
      <c r="AA199" s="972"/>
      <c r="AB199" s="973">
        <f>IFERROR(VLOOKUP(Ram_6!$F$16,BI192:BJ201,2,0),0)</f>
        <v>0</v>
      </c>
      <c r="AC199" s="973"/>
      <c r="AD199" s="973"/>
      <c r="AE199" s="973"/>
      <c r="AF199" s="973"/>
      <c r="AG199" s="972" t="str">
        <f>'Translate &amp; Prices'!$O$212</f>
        <v>Rodzaj drugiej ramki</v>
      </c>
      <c r="AH199" s="972"/>
      <c r="AI199" s="972"/>
      <c r="AJ199" s="972"/>
      <c r="AK199" s="972"/>
      <c r="AL199" s="973">
        <f>IFERROR(VLOOKUP(Ram_6!$N$16,BM192:BN216,2,0),0)</f>
        <v>0</v>
      </c>
      <c r="AM199" s="973"/>
      <c r="AN199" s="973"/>
      <c r="AO199" s="973"/>
      <c r="AP199" s="1"/>
      <c r="AQ199" s="1"/>
      <c r="AR199" s="992"/>
      <c r="AS199" s="474"/>
      <c r="AT199" s="474"/>
      <c r="BD199" s="395" t="s">
        <v>493</v>
      </c>
      <c r="BE199" s="395" t="s">
        <v>493</v>
      </c>
      <c r="BI199" s="474" t="s">
        <v>2668</v>
      </c>
      <c r="BJ199" s="474" t="s">
        <v>487</v>
      </c>
      <c r="BM199" s="474" t="s">
        <v>463</v>
      </c>
      <c r="BN199" s="474" t="s">
        <v>528</v>
      </c>
      <c r="BS199" s="474" t="s">
        <v>458</v>
      </c>
      <c r="BT199" s="474" t="s">
        <v>524</v>
      </c>
      <c r="CA199" s="404" t="s">
        <v>2617</v>
      </c>
      <c r="CB199" s="404" t="s">
        <v>2617</v>
      </c>
    </row>
    <row r="200" spans="1:80" ht="16.2" customHeight="1" x14ac:dyDescent="0.3">
      <c r="A200" s="178"/>
      <c r="B200" s="584"/>
      <c r="C200" s="584"/>
      <c r="D200" s="178"/>
      <c r="E200" s="178"/>
      <c r="F200" s="178"/>
      <c r="G200" s="178"/>
      <c r="H200" s="178"/>
      <c r="I200" s="178"/>
      <c r="J200" s="178"/>
      <c r="K200" s="178"/>
      <c r="L200" s="178"/>
      <c r="M200" s="178"/>
      <c r="N200" s="178"/>
      <c r="O200" s="178"/>
      <c r="P200" s="178"/>
      <c r="Q200" s="178"/>
      <c r="R200" s="178"/>
      <c r="S200" s="988">
        <f>Ram_1!AR196</f>
        <v>0</v>
      </c>
      <c r="T200" s="178"/>
      <c r="U200" s="178"/>
      <c r="V200" s="178"/>
      <c r="W200" s="972" t="str">
        <f>'Translate &amp; Prices'!$O$218</f>
        <v>Umieszczenie zawiasu</v>
      </c>
      <c r="X200" s="972"/>
      <c r="Y200" s="972"/>
      <c r="Z200" s="972"/>
      <c r="AA200" s="972"/>
      <c r="AB200" s="501"/>
      <c r="AC200" s="973">
        <f>IFERROR(VLOOKUP(Ram_6!$H$17,BS192:BT211,2,0),0)</f>
        <v>0</v>
      </c>
      <c r="AD200" s="973"/>
      <c r="AE200" s="973"/>
      <c r="AF200" s="973"/>
      <c r="AG200" s="973"/>
      <c r="AH200" s="973"/>
      <c r="AI200" s="973"/>
      <c r="AJ200" s="973"/>
      <c r="AK200" s="973"/>
      <c r="AL200" s="973"/>
      <c r="AM200" s="973"/>
      <c r="AN200" s="973"/>
      <c r="AO200" s="973"/>
      <c r="AP200" s="584"/>
      <c r="AQ200" s="584"/>
      <c r="AR200" s="992"/>
      <c r="BD200" s="395" t="s">
        <v>2348</v>
      </c>
      <c r="BE200" s="395" t="s">
        <v>2348</v>
      </c>
      <c r="BI200" s="474" t="s">
        <v>486</v>
      </c>
      <c r="BJ200" s="474" t="s">
        <v>486</v>
      </c>
      <c r="BM200" s="474" t="s">
        <v>464</v>
      </c>
      <c r="BN200" s="474" t="s">
        <v>529</v>
      </c>
      <c r="BS200" s="474" t="s">
        <v>2309</v>
      </c>
      <c r="BT200" s="474" t="s">
        <v>2309</v>
      </c>
      <c r="CA200" s="404" t="s">
        <v>2618</v>
      </c>
      <c r="CB200" s="404" t="s">
        <v>2618</v>
      </c>
    </row>
    <row r="201" spans="1:80" ht="16.2" customHeight="1" x14ac:dyDescent="0.3">
      <c r="A201" s="178"/>
      <c r="B201" s="584"/>
      <c r="C201" s="584"/>
      <c r="D201" s="178"/>
      <c r="E201" s="178"/>
      <c r="F201" s="178"/>
      <c r="G201" s="178"/>
      <c r="H201" s="178"/>
      <c r="I201" s="178"/>
      <c r="J201" s="178"/>
      <c r="K201" s="178"/>
      <c r="L201" s="178"/>
      <c r="M201" s="178"/>
      <c r="N201" s="178"/>
      <c r="O201" s="178"/>
      <c r="P201" s="178"/>
      <c r="Q201" s="178"/>
      <c r="R201" s="178"/>
      <c r="S201" s="988">
        <f>Ram_1!AR197</f>
        <v>0</v>
      </c>
      <c r="T201" s="178"/>
      <c r="U201" s="178"/>
      <c r="V201" s="178"/>
      <c r="W201" s="972" t="str">
        <f>'Translate &amp; Prices'!$O$527</f>
        <v>Zawiasy do podnośników</v>
      </c>
      <c r="X201" s="972"/>
      <c r="Y201" s="972"/>
      <c r="Z201" s="972"/>
      <c r="AA201" s="972"/>
      <c r="AB201" s="501"/>
      <c r="AC201" s="973">
        <f>Ram_6!$H$18</f>
        <v>0</v>
      </c>
      <c r="AD201" s="973"/>
      <c r="AE201" s="973"/>
      <c r="AF201" s="973"/>
      <c r="AG201" s="973"/>
      <c r="AH201" s="973"/>
      <c r="AI201" s="973"/>
      <c r="AJ201" s="973"/>
      <c r="AK201" s="973"/>
      <c r="AL201" s="973"/>
      <c r="AM201" s="973"/>
      <c r="AN201" s="973"/>
      <c r="AO201" s="973"/>
      <c r="AP201" s="584"/>
      <c r="AQ201" s="584"/>
      <c r="AR201" s="992"/>
      <c r="BD201" s="395" t="s">
        <v>568</v>
      </c>
      <c r="BE201" s="395" t="s">
        <v>492</v>
      </c>
      <c r="BI201" s="474" t="s">
        <v>487</v>
      </c>
      <c r="BJ201" s="474" t="s">
        <v>487</v>
      </c>
      <c r="BM201" s="474" t="s">
        <v>465</v>
      </c>
      <c r="BN201" s="474" t="s">
        <v>2600</v>
      </c>
      <c r="BS201" s="474" t="s">
        <v>2599</v>
      </c>
      <c r="BT201" s="474" t="s">
        <v>2599</v>
      </c>
      <c r="CA201" s="404" t="s">
        <v>2454</v>
      </c>
      <c r="CB201" s="404" t="s">
        <v>2616</v>
      </c>
    </row>
    <row r="202" spans="1:80" ht="16.2" customHeight="1" x14ac:dyDescent="0.3">
      <c r="A202" s="178"/>
      <c r="B202" s="584"/>
      <c r="C202" s="584"/>
      <c r="D202" s="178"/>
      <c r="E202" s="178"/>
      <c r="F202" s="178"/>
      <c r="G202" s="178"/>
      <c r="H202" s="178"/>
      <c r="I202" s="178"/>
      <c r="J202" s="178"/>
      <c r="K202" s="178"/>
      <c r="L202" s="178"/>
      <c r="M202" s="178"/>
      <c r="N202" s="178"/>
      <c r="O202" s="178"/>
      <c r="P202" s="178"/>
      <c r="Q202" s="178"/>
      <c r="R202" s="178"/>
      <c r="S202" s="988">
        <f>Ram_1!AR198</f>
        <v>0</v>
      </c>
      <c r="T202" s="178"/>
      <c r="U202" s="178"/>
      <c r="V202" s="178"/>
      <c r="W202" s="972" t="str">
        <f>'Translate &amp; Prices'!$O$203</f>
        <v>Ilość zawiasów na 1 ramkę</v>
      </c>
      <c r="X202" s="972"/>
      <c r="Y202" s="972"/>
      <c r="Z202" s="972"/>
      <c r="AA202" s="972"/>
      <c r="AB202" s="501"/>
      <c r="AC202" s="973">
        <f>Ram_6!$H$19</f>
        <v>0</v>
      </c>
      <c r="AD202" s="973"/>
      <c r="AE202" s="973"/>
      <c r="AF202" s="973"/>
      <c r="AG202" s="973"/>
      <c r="AH202" s="973"/>
      <c r="AI202" s="973"/>
      <c r="AJ202" s="973"/>
      <c r="AK202" s="973"/>
      <c r="AL202" s="973"/>
      <c r="AM202" s="973"/>
      <c r="AN202" s="973"/>
      <c r="AO202" s="973"/>
      <c r="AP202" s="584"/>
      <c r="AQ202" s="584"/>
      <c r="AR202" s="992"/>
      <c r="BD202" s="395" t="s">
        <v>569</v>
      </c>
      <c r="BE202" s="395" t="s">
        <v>493</v>
      </c>
      <c r="BM202" s="474" t="s">
        <v>526</v>
      </c>
      <c r="BN202" s="474" t="s">
        <v>526</v>
      </c>
      <c r="BS202" s="474" t="s">
        <v>523</v>
      </c>
      <c r="BT202" s="474" t="s">
        <v>523</v>
      </c>
      <c r="CA202" s="404" t="s">
        <v>2563</v>
      </c>
      <c r="CB202" s="404" t="s">
        <v>2617</v>
      </c>
    </row>
    <row r="203" spans="1:80" ht="16.2" customHeight="1" x14ac:dyDescent="0.3">
      <c r="A203" s="178"/>
      <c r="B203" s="584"/>
      <c r="C203" s="584"/>
      <c r="D203" s="178"/>
      <c r="E203" s="178"/>
      <c r="F203" s="178"/>
      <c r="G203" s="178"/>
      <c r="H203" s="178"/>
      <c r="I203" s="178"/>
      <c r="J203" s="178"/>
      <c r="K203" s="178"/>
      <c r="L203" s="178"/>
      <c r="M203" s="178"/>
      <c r="N203" s="178"/>
      <c r="O203" s="178"/>
      <c r="P203" s="178"/>
      <c r="Q203" s="178"/>
      <c r="R203" s="178"/>
      <c r="S203" s="989" t="str">
        <f>'Translate &amp; Prices'!$O$156</f>
        <v>Wysokość</v>
      </c>
      <c r="T203" s="178"/>
      <c r="U203" s="178"/>
      <c r="V203" s="178"/>
      <c r="W203" s="972" t="e">
        <f>'Translate &amp; Prices'!$O$222&amp;" "&amp;VLOOKUP(Ram_6!H17,kombinace_1!$BY$32:$CC$35,5,0)</f>
        <v>#N/A</v>
      </c>
      <c r="X203" s="972"/>
      <c r="Y203" s="972"/>
      <c r="Z203" s="972"/>
      <c r="AA203" s="972"/>
      <c r="AB203" s="973">
        <f>Ram_6!$F$20</f>
        <v>100</v>
      </c>
      <c r="AC203" s="973"/>
      <c r="AD203" s="973"/>
      <c r="AE203" s="973"/>
      <c r="AF203" s="973"/>
      <c r="AG203" s="972" t="e">
        <f>'Translate &amp; Prices'!$O$222&amp;" "&amp;VLOOKUP(Ram_6!H17,kombinace_1!$BY$32:$CD$35,6,0)</f>
        <v>#N/A</v>
      </c>
      <c r="AH203" s="972"/>
      <c r="AI203" s="972"/>
      <c r="AJ203" s="972"/>
      <c r="AK203" s="972"/>
      <c r="AL203" s="973">
        <f>Ram_6!$N$20</f>
        <v>100</v>
      </c>
      <c r="AM203" s="973"/>
      <c r="AN203" s="973"/>
      <c r="AO203" s="973"/>
      <c r="AP203" s="584"/>
      <c r="AQ203" s="584"/>
      <c r="AR203" s="992"/>
      <c r="BD203" s="395" t="s">
        <v>570</v>
      </c>
      <c r="BE203" s="395" t="s">
        <v>2348</v>
      </c>
      <c r="BM203" s="474" t="s">
        <v>527</v>
      </c>
      <c r="BN203" s="474" t="s">
        <v>527</v>
      </c>
      <c r="BS203" s="474" t="s">
        <v>524</v>
      </c>
      <c r="BT203" s="474" t="s">
        <v>524</v>
      </c>
      <c r="CA203" s="404" t="s">
        <v>2455</v>
      </c>
      <c r="CB203" s="404" t="s">
        <v>2618</v>
      </c>
    </row>
    <row r="204" spans="1:80" ht="16.2" customHeight="1" x14ac:dyDescent="0.3">
      <c r="A204" s="178"/>
      <c r="B204" s="584"/>
      <c r="C204" s="584"/>
      <c r="D204" s="178"/>
      <c r="E204" s="178"/>
      <c r="F204" s="178"/>
      <c r="G204" s="178"/>
      <c r="H204" s="178"/>
      <c r="I204" s="178"/>
      <c r="J204" s="178"/>
      <c r="K204" s="178"/>
      <c r="L204" s="178"/>
      <c r="M204" s="178"/>
      <c r="N204" s="178"/>
      <c r="O204" s="178"/>
      <c r="P204" s="178"/>
      <c r="Q204" s="178"/>
      <c r="R204" s="178"/>
      <c r="S204" s="989">
        <f>Ram_1!AR200</f>
        <v>0</v>
      </c>
      <c r="T204" s="178"/>
      <c r="U204" s="178"/>
      <c r="V204" s="178"/>
      <c r="W204" s="592"/>
      <c r="X204" s="592"/>
      <c r="Y204" s="592"/>
      <c r="Z204" s="592"/>
      <c r="AA204" s="592"/>
      <c r="AB204" s="593"/>
      <c r="AC204" s="593"/>
      <c r="AD204" s="593"/>
      <c r="AE204" s="594"/>
      <c r="AF204" s="594"/>
      <c r="AG204" s="594"/>
      <c r="AH204" s="594"/>
      <c r="AI204" s="594"/>
      <c r="AJ204" s="593"/>
      <c r="AK204" s="593"/>
      <c r="AL204" s="593"/>
      <c r="AM204" s="593"/>
      <c r="AN204" s="593"/>
      <c r="AO204" s="593"/>
      <c r="AP204" s="584"/>
      <c r="AQ204" s="584"/>
      <c r="AR204" s="992"/>
      <c r="BD204" s="395" t="s">
        <v>2970</v>
      </c>
      <c r="BE204" s="395" t="s">
        <v>492</v>
      </c>
      <c r="BM204" s="474" t="s">
        <v>528</v>
      </c>
      <c r="BN204" s="474" t="s">
        <v>528</v>
      </c>
      <c r="BS204" s="474" t="s">
        <v>2310</v>
      </c>
      <c r="BT204" s="474" t="s">
        <v>2309</v>
      </c>
      <c r="CA204" s="404" t="s">
        <v>2724</v>
      </c>
      <c r="CB204" s="404" t="s">
        <v>2616</v>
      </c>
    </row>
    <row r="205" spans="1:80" ht="16.2" customHeight="1" x14ac:dyDescent="0.3">
      <c r="A205" s="178"/>
      <c r="B205" s="584"/>
      <c r="C205" s="584"/>
      <c r="D205" s="178"/>
      <c r="E205" s="178"/>
      <c r="F205" s="178"/>
      <c r="G205" s="178"/>
      <c r="H205" s="178"/>
      <c r="I205" s="178"/>
      <c r="J205" s="178"/>
      <c r="K205" s="178"/>
      <c r="L205" s="178"/>
      <c r="M205" s="178"/>
      <c r="N205" s="178"/>
      <c r="O205" s="178"/>
      <c r="P205" s="178"/>
      <c r="Q205" s="178"/>
      <c r="R205" s="178"/>
      <c r="S205" s="989">
        <f>Ram_1!AR201</f>
        <v>0</v>
      </c>
      <c r="T205" s="178"/>
      <c r="U205" s="178"/>
      <c r="V205" s="178"/>
      <c r="W205" s="972" t="str">
        <f>'Translate &amp; Prices'!$O$153</f>
        <v>Rodzaj szkła</v>
      </c>
      <c r="X205" s="972"/>
      <c r="Y205" s="972"/>
      <c r="Z205" s="972"/>
      <c r="AA205" s="972"/>
      <c r="AB205" s="501"/>
      <c r="AC205" s="973" t="str">
        <f>IFERROR(VLOOKUP(kombinace_6!$V$1,BX192:BY194,2,0),0)</f>
        <v>Bez modyfikacji</v>
      </c>
      <c r="AD205" s="973"/>
      <c r="AE205" s="973"/>
      <c r="AF205" s="973"/>
      <c r="AG205" s="973"/>
      <c r="AH205" s="973"/>
      <c r="AI205" s="973"/>
      <c r="AJ205" s="973"/>
      <c r="AK205" s="973"/>
      <c r="AL205" s="973"/>
      <c r="AM205" s="973"/>
      <c r="AN205" s="973"/>
      <c r="AO205" s="973"/>
      <c r="AP205" s="584"/>
      <c r="AQ205" s="584"/>
      <c r="AR205" s="992"/>
      <c r="BD205" s="395" t="s">
        <v>2803</v>
      </c>
      <c r="BE205" s="395" t="s">
        <v>493</v>
      </c>
      <c r="BM205" s="474" t="s">
        <v>529</v>
      </c>
      <c r="BN205" s="474" t="s">
        <v>529</v>
      </c>
      <c r="BS205" s="474" t="s">
        <v>2312</v>
      </c>
      <c r="BT205" s="474" t="s">
        <v>2599</v>
      </c>
      <c r="CA205" s="404" t="s">
        <v>2725</v>
      </c>
      <c r="CB205" s="404" t="s">
        <v>2617</v>
      </c>
    </row>
    <row r="206" spans="1:80" ht="16.2" customHeight="1" x14ac:dyDescent="0.3">
      <c r="A206" s="178"/>
      <c r="B206" s="584"/>
      <c r="C206" s="584"/>
      <c r="D206" s="178"/>
      <c r="E206" s="178"/>
      <c r="F206" s="178"/>
      <c r="G206" s="178"/>
      <c r="H206" s="178"/>
      <c r="I206" s="178"/>
      <c r="J206" s="178"/>
      <c r="K206" s="178"/>
      <c r="L206" s="178"/>
      <c r="M206" s="178"/>
      <c r="N206" s="178"/>
      <c r="O206" s="178"/>
      <c r="P206" s="178"/>
      <c r="Q206" s="178"/>
      <c r="R206" s="178"/>
      <c r="S206" s="989">
        <f>Ram_1!AR202</f>
        <v>0</v>
      </c>
      <c r="T206" s="178"/>
      <c r="U206" s="178"/>
      <c r="V206" s="178"/>
      <c r="W206" s="972" t="str">
        <f>'Translate &amp; Prices'!$O$542</f>
        <v>Rodzaj folii</v>
      </c>
      <c r="X206" s="972"/>
      <c r="Y206" s="972"/>
      <c r="Z206" s="972"/>
      <c r="AA206" s="972"/>
      <c r="AB206" s="501"/>
      <c r="AC206" s="973">
        <f>IFERROR(VLOOKUP(Ram_6!$H$24,CA192:CB206,2,0),0)</f>
        <v>0</v>
      </c>
      <c r="AD206" s="973"/>
      <c r="AE206" s="973"/>
      <c r="AF206" s="973"/>
      <c r="AG206" s="973"/>
      <c r="AH206" s="973"/>
      <c r="AI206" s="973"/>
      <c r="AJ206" s="973"/>
      <c r="AK206" s="973"/>
      <c r="AL206" s="973"/>
      <c r="AM206" s="973"/>
      <c r="AN206" s="973"/>
      <c r="AO206" s="973"/>
      <c r="AP206" s="584"/>
      <c r="AQ206" s="584"/>
      <c r="AR206" s="992"/>
      <c r="BD206" s="395" t="s">
        <v>1847</v>
      </c>
      <c r="BE206" s="395" t="s">
        <v>2348</v>
      </c>
      <c r="BM206" s="474" t="s">
        <v>2600</v>
      </c>
      <c r="BN206" s="474" t="s">
        <v>2600</v>
      </c>
      <c r="BS206" s="474" t="s">
        <v>600</v>
      </c>
      <c r="BT206" s="474" t="s">
        <v>523</v>
      </c>
      <c r="CA206" s="404" t="s">
        <v>2726</v>
      </c>
      <c r="CB206" s="404" t="s">
        <v>2618</v>
      </c>
    </row>
    <row r="207" spans="1:80" ht="16.2" customHeight="1" thickBot="1" x14ac:dyDescent="0.35">
      <c r="A207" s="178"/>
      <c r="B207" s="584"/>
      <c r="C207" s="584"/>
      <c r="D207" s="178"/>
      <c r="E207" s="178"/>
      <c r="F207" s="178"/>
      <c r="G207" s="178"/>
      <c r="H207" s="178"/>
      <c r="I207" s="178"/>
      <c r="J207" s="178"/>
      <c r="K207" s="178"/>
      <c r="L207" s="178"/>
      <c r="M207" s="178"/>
      <c r="N207" s="178"/>
      <c r="O207" s="178"/>
      <c r="P207" s="178"/>
      <c r="Q207" s="178"/>
      <c r="R207" s="178"/>
      <c r="S207" s="990">
        <f>Ram_1!AR203</f>
        <v>0</v>
      </c>
      <c r="T207" s="178"/>
      <c r="U207" s="178"/>
      <c r="V207" s="178"/>
      <c r="W207" s="972" t="str">
        <f>'Translate &amp; Prices'!$O$153</f>
        <v>Rodzaj szkła</v>
      </c>
      <c r="X207" s="972"/>
      <c r="Y207" s="972"/>
      <c r="Z207" s="972"/>
      <c r="AA207" s="972"/>
      <c r="AB207" s="501"/>
      <c r="AC207" s="973">
        <f>IFERROR(VLOOKUP(Ram_6!$H$25,kombinace_1!DT:DU,2,0),0)</f>
        <v>0</v>
      </c>
      <c r="AD207" s="973"/>
      <c r="AE207" s="973"/>
      <c r="AF207" s="973"/>
      <c r="AG207" s="973"/>
      <c r="AH207" s="973"/>
      <c r="AI207" s="973"/>
      <c r="AJ207" s="973"/>
      <c r="AK207" s="973"/>
      <c r="AL207" s="973"/>
      <c r="AM207" s="973"/>
      <c r="AN207" s="973"/>
      <c r="AO207" s="973"/>
      <c r="AP207" s="584"/>
      <c r="AQ207" s="584"/>
      <c r="AR207" s="992"/>
      <c r="BM207" s="474" t="s">
        <v>604</v>
      </c>
      <c r="BN207" s="474" t="s">
        <v>526</v>
      </c>
      <c r="BS207" s="474" t="s">
        <v>601</v>
      </c>
      <c r="BT207" s="474" t="s">
        <v>524</v>
      </c>
    </row>
    <row r="208" spans="1:80" ht="16.2" customHeight="1" x14ac:dyDescent="0.3">
      <c r="A208" s="178"/>
      <c r="B208" s="584"/>
      <c r="C208" s="584"/>
      <c r="D208" s="178"/>
      <c r="E208" s="178"/>
      <c r="F208" s="178"/>
      <c r="G208" s="178"/>
      <c r="H208" s="178"/>
      <c r="I208" s="178"/>
      <c r="J208" s="178"/>
      <c r="K208" s="178"/>
      <c r="L208" s="178"/>
      <c r="M208" s="178"/>
      <c r="N208" s="178"/>
      <c r="O208" s="178"/>
      <c r="P208" s="178"/>
      <c r="Q208" s="178"/>
      <c r="R208" s="178"/>
      <c r="S208" s="178"/>
      <c r="T208" s="178"/>
      <c r="U208" s="178"/>
      <c r="V208" s="178"/>
      <c r="W208" s="972" t="str">
        <f>'Translate &amp; Prices'!$O$529</f>
        <v>Rozstaw uchwytu (mm)</v>
      </c>
      <c r="X208" s="972"/>
      <c r="Y208" s="972"/>
      <c r="Z208" s="972"/>
      <c r="AA208" s="972"/>
      <c r="AB208" s="501"/>
      <c r="AC208" s="973">
        <f>Ram_6!$H$26</f>
        <v>0</v>
      </c>
      <c r="AD208" s="973"/>
      <c r="AE208" s="973"/>
      <c r="AF208" s="973"/>
      <c r="AG208" s="973"/>
      <c r="AH208" s="973"/>
      <c r="AI208" s="973"/>
      <c r="AJ208" s="973"/>
      <c r="AK208" s="973"/>
      <c r="AL208" s="973"/>
      <c r="AM208" s="973"/>
      <c r="AN208" s="973"/>
      <c r="AO208" s="973"/>
      <c r="AP208" s="584"/>
      <c r="AQ208" s="584"/>
      <c r="AR208" s="992"/>
      <c r="BM208" s="474" t="s">
        <v>605</v>
      </c>
      <c r="BN208" s="474" t="s">
        <v>527</v>
      </c>
      <c r="BS208" s="474" t="s">
        <v>2675</v>
      </c>
      <c r="BT208" s="474" t="s">
        <v>2309</v>
      </c>
    </row>
    <row r="209" spans="1:72" ht="16.2" customHeight="1" x14ac:dyDescent="0.3">
      <c r="A209" s="178"/>
      <c r="B209" s="584"/>
      <c r="C209" s="584"/>
      <c r="D209" s="178"/>
      <c r="E209" s="178"/>
      <c r="F209" s="178"/>
      <c r="G209" s="178"/>
      <c r="H209" s="178"/>
      <c r="I209" s="178"/>
      <c r="J209" s="178"/>
      <c r="K209" s="178"/>
      <c r="L209" s="178"/>
      <c r="M209" s="178"/>
      <c r="N209" s="178"/>
      <c r="O209" s="178"/>
      <c r="P209" s="178"/>
      <c r="Q209" s="178"/>
      <c r="R209" s="178"/>
      <c r="S209" s="178"/>
      <c r="T209" s="178"/>
      <c r="U209" s="178"/>
      <c r="V209" s="178"/>
      <c r="W209" s="972" t="str">
        <f>'Translate &amp; Prices'!$O$530</f>
        <v>Umieszczenie uchwytu</v>
      </c>
      <c r="X209" s="972"/>
      <c r="Y209" s="972"/>
      <c r="Z209" s="972"/>
      <c r="AA209" s="972"/>
      <c r="AB209" s="501"/>
      <c r="AC209" s="973">
        <f>IFERROR(VLOOKUP(Ram_6!$H$27,BS192:BT211,2,0),0)</f>
        <v>0</v>
      </c>
      <c r="AD209" s="973"/>
      <c r="AE209" s="973"/>
      <c r="AF209" s="973"/>
      <c r="AG209" s="973"/>
      <c r="AH209" s="973"/>
      <c r="AI209" s="973"/>
      <c r="AJ209" s="973"/>
      <c r="AK209" s="973"/>
      <c r="AL209" s="973"/>
      <c r="AM209" s="973"/>
      <c r="AN209" s="973"/>
      <c r="AO209" s="973"/>
      <c r="AP209" s="584"/>
      <c r="AQ209" s="584"/>
      <c r="AR209" s="992"/>
      <c r="BM209" s="474" t="s">
        <v>606</v>
      </c>
      <c r="BN209" s="474" t="s">
        <v>528</v>
      </c>
      <c r="BS209" s="474" t="s">
        <v>1921</v>
      </c>
      <c r="BT209" s="474" t="s">
        <v>2599</v>
      </c>
    </row>
    <row r="210" spans="1:72" ht="16.2" customHeight="1" x14ac:dyDescent="0.3">
      <c r="A210" s="178"/>
      <c r="B210" s="584"/>
      <c r="C210" s="584"/>
      <c r="D210" s="178"/>
      <c r="E210" s="178"/>
      <c r="F210" s="178"/>
      <c r="G210" s="178"/>
      <c r="H210" s="178"/>
      <c r="I210" s="178"/>
      <c r="J210" s="178"/>
      <c r="K210" s="178"/>
      <c r="L210" s="178"/>
      <c r="M210" s="178"/>
      <c r="N210" s="178"/>
      <c r="O210" s="178"/>
      <c r="P210" s="178"/>
      <c r="Q210" s="178"/>
      <c r="R210" s="178"/>
      <c r="S210" s="178"/>
      <c r="T210" s="178"/>
      <c r="U210" s="178"/>
      <c r="V210" s="178"/>
      <c r="W210" s="972" t="str">
        <f>('Translate &amp; Prices'!$O$154)&amp;" "&amp;"-"&amp;" "&amp;('Translate &amp; Prices'!$O$149)&amp;" "&amp;" "&amp;1</f>
        <v>Ilość sztuk - Ramka  1</v>
      </c>
      <c r="X210" s="972"/>
      <c r="Y210" s="972"/>
      <c r="Z210" s="972"/>
      <c r="AA210" s="972"/>
      <c r="AB210" s="501"/>
      <c r="AC210" s="973">
        <f>Ram_6!$H$28</f>
        <v>0</v>
      </c>
      <c r="AD210" s="973"/>
      <c r="AE210" s="973"/>
      <c r="AF210" s="973"/>
      <c r="AG210" s="973"/>
      <c r="AH210" s="973"/>
      <c r="AI210" s="973"/>
      <c r="AJ210" s="973"/>
      <c r="AK210" s="973"/>
      <c r="AL210" s="973"/>
      <c r="AM210" s="973"/>
      <c r="AN210" s="973"/>
      <c r="AO210" s="973"/>
      <c r="AP210" s="584"/>
      <c r="AQ210" s="584"/>
      <c r="AR210" s="992"/>
      <c r="BM210" s="474" t="s">
        <v>607</v>
      </c>
      <c r="BN210" s="474" t="s">
        <v>529</v>
      </c>
      <c r="BS210" s="474" t="s">
        <v>1880</v>
      </c>
      <c r="BT210" s="474" t="s">
        <v>523</v>
      </c>
    </row>
    <row r="211" spans="1:72" ht="16.2" customHeight="1" x14ac:dyDescent="0.3">
      <c r="A211" s="178"/>
      <c r="B211" s="584"/>
      <c r="C211" s="584"/>
      <c r="D211" s="178"/>
      <c r="E211" s="178"/>
      <c r="F211" s="178"/>
      <c r="G211" s="178"/>
      <c r="H211" s="178"/>
      <c r="I211" s="178"/>
      <c r="J211" s="178"/>
      <c r="K211" s="178"/>
      <c r="L211" s="178"/>
      <c r="M211" s="178"/>
      <c r="N211" s="178"/>
      <c r="O211" s="178"/>
      <c r="P211" s="178"/>
      <c r="Q211" s="178"/>
      <c r="R211" s="178"/>
      <c r="S211" s="178"/>
      <c r="T211" s="178"/>
      <c r="U211" s="178"/>
      <c r="V211" s="178"/>
      <c r="W211" s="1"/>
      <c r="X211" s="1"/>
      <c r="Y211" s="1"/>
      <c r="Z211" s="1"/>
      <c r="AA211" s="1"/>
      <c r="AB211" s="1"/>
      <c r="AC211" s="1"/>
      <c r="AD211" s="1"/>
      <c r="AE211" s="1"/>
      <c r="AF211" s="1"/>
      <c r="AG211" s="1"/>
      <c r="AH211" s="1"/>
      <c r="AI211" s="1"/>
      <c r="AJ211" s="1"/>
      <c r="AK211" s="1"/>
      <c r="AL211" s="1"/>
      <c r="AM211" s="1"/>
      <c r="AN211" s="1"/>
      <c r="AO211" s="1"/>
      <c r="AP211" s="584"/>
      <c r="AQ211" s="584"/>
      <c r="AR211" s="992"/>
      <c r="BM211" s="474" t="s">
        <v>2519</v>
      </c>
      <c r="BN211" s="474" t="s">
        <v>2600</v>
      </c>
      <c r="BS211" s="474" t="s">
        <v>1881</v>
      </c>
      <c r="BT211" s="474" t="s">
        <v>524</v>
      </c>
    </row>
    <row r="212" spans="1:72" ht="14.4" customHeight="1" x14ac:dyDescent="0.3">
      <c r="A212" s="178"/>
      <c r="B212" s="584"/>
      <c r="C212" s="584"/>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584"/>
      <c r="AB212" s="584"/>
      <c r="AC212" s="584"/>
      <c r="AD212" s="584"/>
      <c r="AG212" s="584"/>
      <c r="AH212" s="584"/>
      <c r="AI212" s="584"/>
      <c r="AJ212" s="584"/>
      <c r="AK212" s="584"/>
      <c r="AL212" s="584"/>
      <c r="AM212" s="584"/>
      <c r="AN212" s="584"/>
      <c r="AO212" s="584"/>
      <c r="AP212" s="584"/>
      <c r="AQ212" s="584"/>
      <c r="AR212" s="992"/>
      <c r="BM212" s="474" t="s">
        <v>2676</v>
      </c>
      <c r="BN212" s="474" t="s">
        <v>526</v>
      </c>
    </row>
    <row r="213" spans="1:72" ht="14.4" customHeight="1" x14ac:dyDescent="0.3">
      <c r="A213" s="178"/>
      <c r="B213" s="584"/>
      <c r="C213" s="584"/>
      <c r="D213" s="178"/>
      <c r="E213" s="178"/>
      <c r="F213" s="178"/>
      <c r="G213" s="178"/>
      <c r="H213" s="178"/>
      <c r="I213" s="178"/>
      <c r="J213" s="178"/>
      <c r="K213" s="178"/>
      <c r="L213" s="178"/>
      <c r="M213" s="178"/>
      <c r="N213" s="178"/>
      <c r="O213" s="178"/>
      <c r="P213" s="178"/>
      <c r="Q213" s="178"/>
      <c r="R213" s="178"/>
      <c r="S213" s="178"/>
      <c r="T213" s="178"/>
      <c r="U213" s="178"/>
      <c r="V213" s="178"/>
      <c r="W213" s="994" t="s">
        <v>3004</v>
      </c>
      <c r="X213" s="994"/>
      <c r="Y213" s="994"/>
      <c r="Z213" s="994"/>
      <c r="AA213" s="584"/>
      <c r="AB213" s="584"/>
      <c r="AC213" s="584"/>
      <c r="AD213" s="584"/>
      <c r="AE213" s="994" t="s">
        <v>3005</v>
      </c>
      <c r="AF213" s="994"/>
      <c r="AG213" s="994"/>
      <c r="AH213" s="994"/>
      <c r="AI213" s="584"/>
      <c r="AJ213" s="584"/>
      <c r="AK213" s="584"/>
      <c r="AL213" s="584"/>
      <c r="AM213" s="584"/>
      <c r="AN213" s="584"/>
      <c r="AO213" s="584"/>
      <c r="AP213" s="584"/>
      <c r="AQ213" s="584"/>
      <c r="AR213" s="992"/>
      <c r="BM213" s="474" t="s">
        <v>2677</v>
      </c>
      <c r="BN213" s="474" t="s">
        <v>527</v>
      </c>
    </row>
    <row r="214" spans="1:72" ht="14.4" customHeight="1" x14ac:dyDescent="0.3">
      <c r="A214" s="178"/>
      <c r="B214" s="584"/>
      <c r="C214" s="584"/>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584"/>
      <c r="AB214" s="584"/>
      <c r="AC214" s="584"/>
      <c r="AD214" s="584"/>
      <c r="AE214" s="974"/>
      <c r="AF214" s="975"/>
      <c r="AG214" s="975"/>
      <c r="AH214" s="975"/>
      <c r="AI214" s="975"/>
      <c r="AJ214" s="975"/>
      <c r="AK214" s="975"/>
      <c r="AL214" s="975"/>
      <c r="AM214" s="975"/>
      <c r="AN214" s="976"/>
      <c r="AO214" s="584"/>
      <c r="AP214" s="584"/>
      <c r="AQ214" s="584"/>
      <c r="AR214" s="992"/>
      <c r="BM214" s="474" t="s">
        <v>2831</v>
      </c>
      <c r="BN214" s="474" t="s">
        <v>528</v>
      </c>
    </row>
    <row r="215" spans="1:72" ht="14.4" customHeight="1" x14ac:dyDescent="0.3">
      <c r="A215" s="178"/>
      <c r="B215" s="584"/>
      <c r="C215" s="584"/>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584"/>
      <c r="AB215" s="584"/>
      <c r="AC215" s="584"/>
      <c r="AD215" s="584"/>
      <c r="AE215" s="977"/>
      <c r="AF215" s="978"/>
      <c r="AG215" s="978"/>
      <c r="AH215" s="978"/>
      <c r="AI215" s="978"/>
      <c r="AJ215" s="978"/>
      <c r="AK215" s="978"/>
      <c r="AL215" s="978"/>
      <c r="AM215" s="978"/>
      <c r="AN215" s="979"/>
      <c r="AO215" s="584"/>
      <c r="AP215" s="584"/>
      <c r="AQ215" s="584"/>
      <c r="AR215" s="992"/>
      <c r="BM215" s="474" t="s">
        <v>2832</v>
      </c>
      <c r="BN215" s="474" t="s">
        <v>529</v>
      </c>
    </row>
    <row r="216" spans="1:72" ht="14.4" customHeight="1" x14ac:dyDescent="0.3">
      <c r="A216" s="178"/>
      <c r="B216" s="584"/>
      <c r="C216" s="584"/>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584"/>
      <c r="AB216" s="584"/>
      <c r="AC216" s="584"/>
      <c r="AD216" s="584"/>
      <c r="AE216" s="977"/>
      <c r="AF216" s="978"/>
      <c r="AG216" s="978"/>
      <c r="AH216" s="978"/>
      <c r="AI216" s="978"/>
      <c r="AJ216" s="978"/>
      <c r="AK216" s="978"/>
      <c r="AL216" s="978"/>
      <c r="AM216" s="978"/>
      <c r="AN216" s="979"/>
      <c r="AO216" s="584"/>
      <c r="AP216" s="584"/>
      <c r="AQ216" s="584"/>
      <c r="AR216" s="992"/>
      <c r="BM216" s="474" t="s">
        <v>2098</v>
      </c>
      <c r="BN216" s="474" t="s">
        <v>2600</v>
      </c>
    </row>
    <row r="217" spans="1:72" ht="14.4" customHeight="1" x14ac:dyDescent="0.35">
      <c r="A217" s="178"/>
      <c r="B217" s="584"/>
      <c r="C217" s="584"/>
      <c r="D217" s="996">
        <f>IF(OR(Ram_6!$AC$25="x",Ram_6!$AJ$26="x",Ram_6!$AC$9="x",Ram_6!$AJ$7="x",Ram_6!$AB$16="x",Ram_6!$AM$23="x",Ram_6!$AN$19="x",Ram_6!$AD$10="x"),'Translate &amp; Prices'!$B$568,0)</f>
        <v>0</v>
      </c>
      <c r="E217" s="996"/>
      <c r="F217" s="996"/>
      <c r="G217" s="996"/>
      <c r="H217" s="996"/>
      <c r="I217" s="996"/>
      <c r="J217" s="996"/>
      <c r="K217" s="996"/>
      <c r="L217" s="996"/>
      <c r="M217" s="996"/>
      <c r="N217" s="996"/>
      <c r="O217" s="996"/>
      <c r="P217" s="996"/>
      <c r="Q217" s="178"/>
      <c r="R217" s="178"/>
      <c r="S217" s="178"/>
      <c r="T217" s="178"/>
      <c r="U217" s="178"/>
      <c r="V217" s="178"/>
      <c r="W217" s="178"/>
      <c r="X217" s="178"/>
      <c r="Y217" s="178"/>
      <c r="Z217" s="178"/>
      <c r="AA217" s="584"/>
      <c r="AB217" s="584"/>
      <c r="AC217" s="584"/>
      <c r="AD217" s="584"/>
      <c r="AE217" s="977"/>
      <c r="AF217" s="978"/>
      <c r="AG217" s="978"/>
      <c r="AH217" s="978"/>
      <c r="AI217" s="978"/>
      <c r="AJ217" s="978"/>
      <c r="AK217" s="978"/>
      <c r="AL217" s="978"/>
      <c r="AM217" s="978"/>
      <c r="AN217" s="979"/>
      <c r="AO217" s="584"/>
      <c r="AP217" s="584"/>
      <c r="AQ217" s="584"/>
      <c r="AR217" s="992"/>
    </row>
    <row r="218" spans="1:72" ht="14.4" customHeight="1" x14ac:dyDescent="0.3">
      <c r="A218" s="178"/>
      <c r="B218" s="584"/>
      <c r="C218" s="584"/>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584"/>
      <c r="AB218" s="584"/>
      <c r="AC218" s="584"/>
      <c r="AD218" s="584"/>
      <c r="AE218" s="977"/>
      <c r="AF218" s="978"/>
      <c r="AG218" s="978"/>
      <c r="AH218" s="978"/>
      <c r="AI218" s="978"/>
      <c r="AJ218" s="978"/>
      <c r="AK218" s="978"/>
      <c r="AL218" s="978"/>
      <c r="AM218" s="978"/>
      <c r="AN218" s="979"/>
      <c r="AO218" s="584"/>
      <c r="AP218" s="584"/>
      <c r="AQ218" s="584"/>
      <c r="AR218" s="992"/>
    </row>
    <row r="219" spans="1:72" ht="14.4" customHeight="1" thickBot="1" x14ac:dyDescent="0.35">
      <c r="A219" s="178"/>
      <c r="B219" s="584"/>
      <c r="C219" s="584"/>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584"/>
      <c r="AB219" s="584"/>
      <c r="AC219" s="584"/>
      <c r="AD219" s="584"/>
      <c r="AE219" s="977"/>
      <c r="AF219" s="978"/>
      <c r="AG219" s="978"/>
      <c r="AH219" s="978"/>
      <c r="AI219" s="978"/>
      <c r="AJ219" s="978"/>
      <c r="AK219" s="978"/>
      <c r="AL219" s="978"/>
      <c r="AM219" s="978"/>
      <c r="AN219" s="979"/>
      <c r="AO219" s="584"/>
      <c r="AP219" s="584"/>
      <c r="AQ219" s="584"/>
      <c r="AR219" s="992"/>
    </row>
    <row r="220" spans="1:72" ht="14.4" customHeight="1" thickBot="1" x14ac:dyDescent="0.35">
      <c r="A220" s="178"/>
      <c r="B220" s="584"/>
      <c r="C220" s="584"/>
      <c r="D220" s="178"/>
      <c r="E220" s="178"/>
      <c r="F220" s="178"/>
      <c r="G220" s="983" t="str">
        <f>'Translate &amp; Prices'!$O$155</f>
        <v>Szerokość</v>
      </c>
      <c r="H220" s="984">
        <f>Ram_1!AG210</f>
        <v>0</v>
      </c>
      <c r="I220" s="984">
        <f>Ram_1!AH210</f>
        <v>0</v>
      </c>
      <c r="J220" s="985">
        <f>Ram_6!AI30</f>
        <v>0</v>
      </c>
      <c r="K220" s="985">
        <f>Ram_1!AJ210</f>
        <v>0</v>
      </c>
      <c r="L220" s="986">
        <f>Ram_1!AK210</f>
        <v>0</v>
      </c>
      <c r="M220" s="178"/>
      <c r="N220" s="178"/>
      <c r="O220" s="178"/>
      <c r="P220" s="178"/>
      <c r="Q220" s="178"/>
      <c r="R220" s="178"/>
      <c r="S220" s="178"/>
      <c r="T220" s="178"/>
      <c r="U220" s="178"/>
      <c r="V220" s="178"/>
      <c r="W220" s="178"/>
      <c r="X220" s="178"/>
      <c r="Y220" s="178"/>
      <c r="Z220" s="178"/>
      <c r="AA220" s="584"/>
      <c r="AB220" s="584"/>
      <c r="AC220" s="584"/>
      <c r="AD220" s="584"/>
      <c r="AE220" s="977"/>
      <c r="AF220" s="978"/>
      <c r="AG220" s="978"/>
      <c r="AH220" s="978"/>
      <c r="AI220" s="978"/>
      <c r="AJ220" s="978"/>
      <c r="AK220" s="978"/>
      <c r="AL220" s="978"/>
      <c r="AM220" s="978"/>
      <c r="AN220" s="979"/>
      <c r="AO220" s="584"/>
      <c r="AP220" s="584"/>
      <c r="AQ220" s="584"/>
      <c r="AR220" s="992"/>
    </row>
    <row r="221" spans="1:72" ht="21" customHeight="1" x14ac:dyDescent="0.3">
      <c r="A221" s="178"/>
      <c r="B221" s="584"/>
      <c r="C221" s="584"/>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584"/>
      <c r="AB221" s="584"/>
      <c r="AC221" s="584"/>
      <c r="AD221" s="584"/>
      <c r="AE221" s="980"/>
      <c r="AF221" s="981"/>
      <c r="AG221" s="981"/>
      <c r="AH221" s="981"/>
      <c r="AI221" s="981"/>
      <c r="AJ221" s="981"/>
      <c r="AK221" s="981"/>
      <c r="AL221" s="981"/>
      <c r="AM221" s="981"/>
      <c r="AN221" s="982"/>
      <c r="AO221" s="584"/>
      <c r="AP221" s="584"/>
      <c r="AQ221" s="584"/>
      <c r="AR221" s="992"/>
    </row>
    <row r="222" spans="1:72" ht="14.4" customHeight="1" x14ac:dyDescent="0.3">
      <c r="A222" s="178"/>
      <c r="B222" s="584"/>
      <c r="C222" s="584"/>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584"/>
      <c r="AB222" s="584"/>
      <c r="AC222" s="584"/>
      <c r="AD222" s="584"/>
      <c r="AG222" s="584"/>
      <c r="AH222" s="584"/>
      <c r="AI222" s="584"/>
      <c r="AJ222" s="584"/>
      <c r="AK222" s="584"/>
      <c r="AL222" s="584"/>
      <c r="AM222" s="584"/>
      <c r="AN222" s="584"/>
      <c r="AO222" s="584"/>
      <c r="AP222" s="584"/>
      <c r="AQ222" s="584"/>
      <c r="AR222" s="992"/>
    </row>
    <row r="223" spans="1:72" ht="14.4" customHeight="1" x14ac:dyDescent="0.3">
      <c r="A223" s="178"/>
      <c r="B223" s="584"/>
      <c r="C223" s="584"/>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584"/>
      <c r="AB223" s="584"/>
      <c r="AC223" s="584"/>
      <c r="AD223" s="584"/>
      <c r="AG223" s="584"/>
      <c r="AH223" s="584"/>
      <c r="AI223" s="584"/>
      <c r="AJ223" s="584"/>
      <c r="AK223" s="584"/>
      <c r="AL223" s="584"/>
      <c r="AM223" s="584"/>
      <c r="AN223" s="584"/>
      <c r="AO223" s="584"/>
      <c r="AP223" s="584"/>
      <c r="AQ223" s="584"/>
      <c r="AR223" s="992"/>
    </row>
    <row r="224" spans="1:72" ht="14.4" customHeight="1" x14ac:dyDescent="0.3">
      <c r="A224" s="589"/>
      <c r="B224" s="381"/>
      <c r="C224" s="381"/>
      <c r="D224" s="589"/>
      <c r="E224" s="589"/>
      <c r="F224" s="589"/>
      <c r="G224" s="589"/>
      <c r="H224" s="589"/>
      <c r="I224" s="589"/>
      <c r="J224" s="589"/>
      <c r="K224" s="589"/>
      <c r="L224" s="589"/>
      <c r="M224" s="589"/>
      <c r="N224" s="589"/>
      <c r="O224" s="589"/>
      <c r="P224" s="589"/>
      <c r="Q224" s="589"/>
      <c r="R224" s="589"/>
      <c r="S224" s="589"/>
      <c r="T224" s="589"/>
      <c r="U224" s="589"/>
      <c r="V224" s="589"/>
      <c r="W224" s="589"/>
      <c r="X224" s="589"/>
      <c r="Y224" s="589"/>
      <c r="Z224" s="589"/>
      <c r="AA224" s="381"/>
      <c r="AB224" s="381"/>
      <c r="AC224" s="381"/>
      <c r="AD224" s="381"/>
      <c r="AE224" s="590"/>
      <c r="AF224" s="591"/>
      <c r="AG224" s="381"/>
      <c r="AH224" s="381"/>
      <c r="AI224" s="381"/>
      <c r="AJ224" s="381"/>
      <c r="AK224" s="381"/>
      <c r="AL224" s="381"/>
      <c r="AM224" s="381"/>
      <c r="AN224" s="381"/>
      <c r="AO224" s="381"/>
      <c r="AP224" s="381"/>
      <c r="AQ224" s="381"/>
      <c r="AR224" s="381"/>
    </row>
  </sheetData>
  <sheetProtection selectLockedCells="1"/>
  <mergeCells count="339">
    <mergeCell ref="X4:AE5"/>
    <mergeCell ref="D217:P217"/>
    <mergeCell ref="W213:Z213"/>
    <mergeCell ref="AE213:AH213"/>
    <mergeCell ref="AE214:AN221"/>
    <mergeCell ref="G220:I220"/>
    <mergeCell ref="J220:L220"/>
    <mergeCell ref="AC207:AO207"/>
    <mergeCell ref="W208:AA208"/>
    <mergeCell ref="AC208:AO208"/>
    <mergeCell ref="W209:AA209"/>
    <mergeCell ref="AC209:AO209"/>
    <mergeCell ref="W210:AA210"/>
    <mergeCell ref="AC210:AO210"/>
    <mergeCell ref="S203:S207"/>
    <mergeCell ref="W203:AA203"/>
    <mergeCell ref="AB203:AF203"/>
    <mergeCell ref="AG203:AK203"/>
    <mergeCell ref="AL203:AO203"/>
    <mergeCell ref="W205:AA205"/>
    <mergeCell ref="AC200:AO200"/>
    <mergeCell ref="W201:AA201"/>
    <mergeCell ref="AC201:AO201"/>
    <mergeCell ref="W202:AA202"/>
    <mergeCell ref="AC202:AO202"/>
    <mergeCell ref="D37:P37"/>
    <mergeCell ref="D73:P73"/>
    <mergeCell ref="D109:P109"/>
    <mergeCell ref="D145:P145"/>
    <mergeCell ref="D181:P181"/>
    <mergeCell ref="G184:I184"/>
    <mergeCell ref="J184:L184"/>
    <mergeCell ref="AC195:AO195"/>
    <mergeCell ref="AL199:AO199"/>
    <mergeCell ref="W173:AA173"/>
    <mergeCell ref="AC173:AO173"/>
    <mergeCell ref="W174:AA174"/>
    <mergeCell ref="AC174:AO174"/>
    <mergeCell ref="W177:Z177"/>
    <mergeCell ref="AE177:AH177"/>
    <mergeCell ref="AC189:AO189"/>
    <mergeCell ref="W189:AA189"/>
    <mergeCell ref="W196:AA196"/>
    <mergeCell ref="AC196:AO196"/>
    <mergeCell ref="W197:AA197"/>
    <mergeCell ref="AC197:AO197"/>
    <mergeCell ref="AE178:AN185"/>
    <mergeCell ref="W172:AA172"/>
    <mergeCell ref="AR189:AR223"/>
    <mergeCell ref="W190:AA190"/>
    <mergeCell ref="AC190:AO190"/>
    <mergeCell ref="W191:AA191"/>
    <mergeCell ref="AC191:AO191"/>
    <mergeCell ref="W192:AA192"/>
    <mergeCell ref="AC192:AO192"/>
    <mergeCell ref="S198:S202"/>
    <mergeCell ref="W198:AA198"/>
    <mergeCell ref="AC198:AO198"/>
    <mergeCell ref="W199:AA199"/>
    <mergeCell ref="AB199:AF199"/>
    <mergeCell ref="AG199:AK199"/>
    <mergeCell ref="AC193:AI193"/>
    <mergeCell ref="AJ193:AO193"/>
    <mergeCell ref="W194:AA194"/>
    <mergeCell ref="AC194:AI194"/>
    <mergeCell ref="AC205:AO205"/>
    <mergeCell ref="W206:AA206"/>
    <mergeCell ref="AC206:AO206"/>
    <mergeCell ref="W207:AA207"/>
    <mergeCell ref="W200:AA200"/>
    <mergeCell ref="AJ194:AO194"/>
    <mergeCell ref="W195:AA195"/>
    <mergeCell ref="AC172:AO172"/>
    <mergeCell ref="W166:AA166"/>
    <mergeCell ref="AC166:AO166"/>
    <mergeCell ref="S167:S171"/>
    <mergeCell ref="W167:AA167"/>
    <mergeCell ref="AB167:AF167"/>
    <mergeCell ref="AG167:AK167"/>
    <mergeCell ref="AL167:AO167"/>
    <mergeCell ref="W169:AA169"/>
    <mergeCell ref="AC169:AO169"/>
    <mergeCell ref="S162:S166"/>
    <mergeCell ref="W162:AA162"/>
    <mergeCell ref="AC162:AO162"/>
    <mergeCell ref="W163:AA163"/>
    <mergeCell ref="AB163:AF163"/>
    <mergeCell ref="AG163:AK163"/>
    <mergeCell ref="AL163:AO163"/>
    <mergeCell ref="W164:AA164"/>
    <mergeCell ref="AC164:AO164"/>
    <mergeCell ref="AC165:AO165"/>
    <mergeCell ref="W165:AA165"/>
    <mergeCell ref="J148:L148"/>
    <mergeCell ref="AR153:AR187"/>
    <mergeCell ref="W154:AA154"/>
    <mergeCell ref="AC154:AO154"/>
    <mergeCell ref="W155:AA155"/>
    <mergeCell ref="AC155:AO155"/>
    <mergeCell ref="W159:AA159"/>
    <mergeCell ref="AC159:AO159"/>
    <mergeCell ref="W160:AA160"/>
    <mergeCell ref="AC160:AO160"/>
    <mergeCell ref="W161:AA161"/>
    <mergeCell ref="AC161:AO161"/>
    <mergeCell ref="W156:AA156"/>
    <mergeCell ref="AC156:AO156"/>
    <mergeCell ref="AC157:AI157"/>
    <mergeCell ref="AJ157:AO157"/>
    <mergeCell ref="W158:AA158"/>
    <mergeCell ref="AC158:AI158"/>
    <mergeCell ref="AJ158:AO158"/>
    <mergeCell ref="W170:AA170"/>
    <mergeCell ref="AC170:AO170"/>
    <mergeCell ref="W171:AA171"/>
    <mergeCell ref="AC171:AO171"/>
    <mergeCell ref="AC153:AO153"/>
    <mergeCell ref="W141:Z141"/>
    <mergeCell ref="AE141:AH141"/>
    <mergeCell ref="AE142:AN149"/>
    <mergeCell ref="W128:AA128"/>
    <mergeCell ref="AC128:AO128"/>
    <mergeCell ref="W129:AA129"/>
    <mergeCell ref="AC129:AO129"/>
    <mergeCell ref="W130:AA130"/>
    <mergeCell ref="AC130:AO130"/>
    <mergeCell ref="AC135:AO135"/>
    <mergeCell ref="W136:AA136"/>
    <mergeCell ref="AC136:AO136"/>
    <mergeCell ref="W137:AA137"/>
    <mergeCell ref="AC137:AO137"/>
    <mergeCell ref="W138:AA138"/>
    <mergeCell ref="AC138:AO138"/>
    <mergeCell ref="W131:AA131"/>
    <mergeCell ref="AB131:AF131"/>
    <mergeCell ref="AG131:AK131"/>
    <mergeCell ref="AL131:AO131"/>
    <mergeCell ref="W133:AA133"/>
    <mergeCell ref="AC133:AO133"/>
    <mergeCell ref="G112:I112"/>
    <mergeCell ref="J112:L112"/>
    <mergeCell ref="AR117:AR151"/>
    <mergeCell ref="W118:AA118"/>
    <mergeCell ref="AC118:AO118"/>
    <mergeCell ref="W119:AA119"/>
    <mergeCell ref="AC119:AO119"/>
    <mergeCell ref="W120:AA120"/>
    <mergeCell ref="AC120:AO120"/>
    <mergeCell ref="S126:S130"/>
    <mergeCell ref="W126:AA126"/>
    <mergeCell ref="AC126:AO126"/>
    <mergeCell ref="W127:AA127"/>
    <mergeCell ref="AB127:AF127"/>
    <mergeCell ref="AG127:AK127"/>
    <mergeCell ref="AC121:AI121"/>
    <mergeCell ref="AJ121:AO121"/>
    <mergeCell ref="W122:AA122"/>
    <mergeCell ref="AC122:AI122"/>
    <mergeCell ref="S131:S135"/>
    <mergeCell ref="W134:AA134"/>
    <mergeCell ref="AC134:AO134"/>
    <mergeCell ref="W135:AA135"/>
    <mergeCell ref="G148:I148"/>
    <mergeCell ref="AJ122:AO122"/>
    <mergeCell ref="W123:AA123"/>
    <mergeCell ref="AC123:AO123"/>
    <mergeCell ref="AL127:AO127"/>
    <mergeCell ref="W101:AA101"/>
    <mergeCell ref="AC101:AO101"/>
    <mergeCell ref="W102:AA102"/>
    <mergeCell ref="AC102:AO102"/>
    <mergeCell ref="W105:Z105"/>
    <mergeCell ref="AE105:AH105"/>
    <mergeCell ref="AC117:AO117"/>
    <mergeCell ref="W124:AA124"/>
    <mergeCell ref="AC124:AO124"/>
    <mergeCell ref="W125:AA125"/>
    <mergeCell ref="AC125:AO125"/>
    <mergeCell ref="AE106:AN113"/>
    <mergeCell ref="S95:S99"/>
    <mergeCell ref="W95:AA95"/>
    <mergeCell ref="AB95:AF95"/>
    <mergeCell ref="AG95:AK95"/>
    <mergeCell ref="AL95:AO95"/>
    <mergeCell ref="W97:AA97"/>
    <mergeCell ref="AC97:AO97"/>
    <mergeCell ref="S90:S94"/>
    <mergeCell ref="W90:AA90"/>
    <mergeCell ref="AC90:AO90"/>
    <mergeCell ref="W91:AA91"/>
    <mergeCell ref="AB91:AF91"/>
    <mergeCell ref="AG91:AK91"/>
    <mergeCell ref="AL91:AO91"/>
    <mergeCell ref="W92:AA92"/>
    <mergeCell ref="AC92:AO92"/>
    <mergeCell ref="AJ86:AO86"/>
    <mergeCell ref="W98:AA98"/>
    <mergeCell ref="AC98:AO98"/>
    <mergeCell ref="W99:AA99"/>
    <mergeCell ref="AC99:AO99"/>
    <mergeCell ref="W100:AA100"/>
    <mergeCell ref="AC100:AO100"/>
    <mergeCell ref="W94:AA94"/>
    <mergeCell ref="AC94:AO94"/>
    <mergeCell ref="AC81:AO81"/>
    <mergeCell ref="W93:AA93"/>
    <mergeCell ref="W69:Z69"/>
    <mergeCell ref="AE69:AH69"/>
    <mergeCell ref="AE70:AN77"/>
    <mergeCell ref="G76:I76"/>
    <mergeCell ref="J76:L76"/>
    <mergeCell ref="AR81:AR115"/>
    <mergeCell ref="W82:AA82"/>
    <mergeCell ref="AC82:AO82"/>
    <mergeCell ref="W83:AA83"/>
    <mergeCell ref="AC83:AO83"/>
    <mergeCell ref="W87:AA87"/>
    <mergeCell ref="AC87:AO87"/>
    <mergeCell ref="W88:AA88"/>
    <mergeCell ref="AC88:AO88"/>
    <mergeCell ref="W89:AA89"/>
    <mergeCell ref="AC89:AO89"/>
    <mergeCell ref="W84:AA84"/>
    <mergeCell ref="AC84:AO84"/>
    <mergeCell ref="AC85:AI85"/>
    <mergeCell ref="AJ85:AO85"/>
    <mergeCell ref="W86:AA86"/>
    <mergeCell ref="AC86:AI86"/>
    <mergeCell ref="W64:AA64"/>
    <mergeCell ref="AC64:AO64"/>
    <mergeCell ref="W65:AA65"/>
    <mergeCell ref="AC65:AO65"/>
    <mergeCell ref="W66:AA66"/>
    <mergeCell ref="AC66:AO66"/>
    <mergeCell ref="S59:S63"/>
    <mergeCell ref="W59:AA59"/>
    <mergeCell ref="AB59:AF59"/>
    <mergeCell ref="AG59:AK59"/>
    <mergeCell ref="AL59:AO59"/>
    <mergeCell ref="W61:AA61"/>
    <mergeCell ref="AC61:AO61"/>
    <mergeCell ref="W62:AA62"/>
    <mergeCell ref="AC62:AO62"/>
    <mergeCell ref="W63:AA63"/>
    <mergeCell ref="S54:S58"/>
    <mergeCell ref="W54:AA54"/>
    <mergeCell ref="AC54:AO54"/>
    <mergeCell ref="W55:AA55"/>
    <mergeCell ref="AB55:AF55"/>
    <mergeCell ref="AG55:AK55"/>
    <mergeCell ref="AJ49:AO49"/>
    <mergeCell ref="W50:AA50"/>
    <mergeCell ref="AC50:AI50"/>
    <mergeCell ref="AJ50:AO50"/>
    <mergeCell ref="W51:AA51"/>
    <mergeCell ref="AC51:AO51"/>
    <mergeCell ref="AL55:AO55"/>
    <mergeCell ref="W56:AA56"/>
    <mergeCell ref="AC56:AO56"/>
    <mergeCell ref="W57:AA57"/>
    <mergeCell ref="AC57:AO57"/>
    <mergeCell ref="W58:AA58"/>
    <mergeCell ref="AC58:AO58"/>
    <mergeCell ref="W52:AA52"/>
    <mergeCell ref="AC52:AO52"/>
    <mergeCell ref="W53:AA53"/>
    <mergeCell ref="AC53:AO53"/>
    <mergeCell ref="AR9:AR43"/>
    <mergeCell ref="AR45:AR79"/>
    <mergeCell ref="W46:AA46"/>
    <mergeCell ref="AC46:AO46"/>
    <mergeCell ref="W47:AA47"/>
    <mergeCell ref="AC47:AO47"/>
    <mergeCell ref="W48:AA48"/>
    <mergeCell ref="AC48:AO48"/>
    <mergeCell ref="AC49:AI49"/>
    <mergeCell ref="AC13:AI13"/>
    <mergeCell ref="AJ13:AO13"/>
    <mergeCell ref="AC14:AI14"/>
    <mergeCell ref="AJ14:AO14"/>
    <mergeCell ref="W33:Z33"/>
    <mergeCell ref="AE33:AH33"/>
    <mergeCell ref="AC26:AO26"/>
    <mergeCell ref="AC27:AO27"/>
    <mergeCell ref="AC28:AO28"/>
    <mergeCell ref="AC29:AO29"/>
    <mergeCell ref="AC30:AO30"/>
    <mergeCell ref="AL23:AO23"/>
    <mergeCell ref="AB23:AF23"/>
    <mergeCell ref="AC17:AO17"/>
    <mergeCell ref="AC63:AO63"/>
    <mergeCell ref="AO1:AR1"/>
    <mergeCell ref="AN2:AR3"/>
    <mergeCell ref="G40:I40"/>
    <mergeCell ref="J40:L40"/>
    <mergeCell ref="S18:S22"/>
    <mergeCell ref="S23:S27"/>
    <mergeCell ref="W10:AA10"/>
    <mergeCell ref="W11:AA11"/>
    <mergeCell ref="W12:AA12"/>
    <mergeCell ref="W14:AA14"/>
    <mergeCell ref="W15:AA15"/>
    <mergeCell ref="W29:AA29"/>
    <mergeCell ref="W30:AA30"/>
    <mergeCell ref="W27:AA27"/>
    <mergeCell ref="W28:AA28"/>
    <mergeCell ref="AC10:AO10"/>
    <mergeCell ref="AC11:AO11"/>
    <mergeCell ref="AC12:AO12"/>
    <mergeCell ref="AC15:AO15"/>
    <mergeCell ref="AC16:AO16"/>
    <mergeCell ref="W22:AA22"/>
    <mergeCell ref="W23:AA23"/>
    <mergeCell ref="W25:AA25"/>
    <mergeCell ref="W26:AA26"/>
    <mergeCell ref="AC45:AO45"/>
    <mergeCell ref="AC9:AO9"/>
    <mergeCell ref="W9:AA9"/>
    <mergeCell ref="W45:AA45"/>
    <mergeCell ref="W81:AA81"/>
    <mergeCell ref="W117:AA117"/>
    <mergeCell ref="W153:AA153"/>
    <mergeCell ref="W16:AA16"/>
    <mergeCell ref="W17:AA17"/>
    <mergeCell ref="W18:AA18"/>
    <mergeCell ref="W19:AA19"/>
    <mergeCell ref="W20:AA20"/>
    <mergeCell ref="W21:AA21"/>
    <mergeCell ref="AC18:AO18"/>
    <mergeCell ref="AC20:AO20"/>
    <mergeCell ref="AC21:AO21"/>
    <mergeCell ref="AC22:AO22"/>
    <mergeCell ref="AC25:AO25"/>
    <mergeCell ref="AL19:AO19"/>
    <mergeCell ref="AB19:AF19"/>
    <mergeCell ref="AG19:AK19"/>
    <mergeCell ref="AG23:AK23"/>
    <mergeCell ref="AE34:AN41"/>
    <mergeCell ref="AC93:AO93"/>
  </mergeCells>
  <conditionalFormatting sqref="Q5:W7 AD6:AJ7 AI5:AJ5">
    <cfRule type="cellIs" dxfId="83" priority="193" operator="equal">
      <formula>0</formula>
    </cfRule>
  </conditionalFormatting>
  <conditionalFormatting sqref="W12:AO14">
    <cfRule type="expression" dxfId="82" priority="143">
      <formula>$AC$12="Nie"</formula>
    </cfRule>
    <cfRule type="expression" dxfId="81" priority="144">
      <formula>$AC$12=0</formula>
    </cfRule>
  </conditionalFormatting>
  <conditionalFormatting sqref="AC17:AO17">
    <cfRule type="expression" dxfId="80" priority="142">
      <formula>$AC$17=0</formula>
    </cfRule>
  </conditionalFormatting>
  <conditionalFormatting sqref="W19:AO19">
    <cfRule type="expression" dxfId="79" priority="141">
      <formula>$AB$19=0</formula>
    </cfRule>
  </conditionalFormatting>
  <conditionalFormatting sqref="W20:AO20">
    <cfRule type="expression" dxfId="78" priority="140">
      <formula>$AC$20=0</formula>
    </cfRule>
  </conditionalFormatting>
  <conditionalFormatting sqref="W21:AO21">
    <cfRule type="expression" dxfId="77" priority="139">
      <formula>$AC$21=0</formula>
    </cfRule>
  </conditionalFormatting>
  <conditionalFormatting sqref="W22:AO23">
    <cfRule type="expression" dxfId="76" priority="138">
      <formula>$AC$22=0</formula>
    </cfRule>
  </conditionalFormatting>
  <conditionalFormatting sqref="W26:AO26">
    <cfRule type="expression" dxfId="75" priority="137">
      <formula>$AC$26=0</formula>
    </cfRule>
  </conditionalFormatting>
  <conditionalFormatting sqref="W48:AO50">
    <cfRule type="expression" dxfId="74" priority="63">
      <formula>$AC$12="Nie"</formula>
    </cfRule>
    <cfRule type="expression" dxfId="73" priority="64">
      <formula>$AC$12=0</formula>
    </cfRule>
  </conditionalFormatting>
  <conditionalFormatting sqref="AC53:AO53">
    <cfRule type="expression" dxfId="72" priority="62">
      <formula>$AC$17=0</formula>
    </cfRule>
  </conditionalFormatting>
  <conditionalFormatting sqref="W55:AO55">
    <cfRule type="expression" dxfId="71" priority="61">
      <formula>$AB$19=0</formula>
    </cfRule>
  </conditionalFormatting>
  <conditionalFormatting sqref="W56:AO56">
    <cfRule type="expression" dxfId="70" priority="60">
      <formula>$AC$20=0</formula>
    </cfRule>
  </conditionalFormatting>
  <conditionalFormatting sqref="W57:AO57">
    <cfRule type="expression" dxfId="69" priority="59">
      <formula>$AC$21=0</formula>
    </cfRule>
  </conditionalFormatting>
  <conditionalFormatting sqref="W58:AO59">
    <cfRule type="expression" dxfId="68" priority="58">
      <formula>$AC$22=0</formula>
    </cfRule>
  </conditionalFormatting>
  <conditionalFormatting sqref="W62:AO62">
    <cfRule type="expression" dxfId="67" priority="57">
      <formula>$AC$26=0</formula>
    </cfRule>
  </conditionalFormatting>
  <conditionalFormatting sqref="W84:AO86">
    <cfRule type="expression" dxfId="66" priority="55">
      <formula>$AC$12="Nie"</formula>
    </cfRule>
    <cfRule type="expression" dxfId="65" priority="56">
      <formula>$AC$12=0</formula>
    </cfRule>
  </conditionalFormatting>
  <conditionalFormatting sqref="AC89:AO89">
    <cfRule type="expression" dxfId="64" priority="54">
      <formula>$AC$17=0</formula>
    </cfRule>
  </conditionalFormatting>
  <conditionalFormatting sqref="W91:AO91">
    <cfRule type="expression" dxfId="63" priority="53">
      <formula>$AB$19=0</formula>
    </cfRule>
  </conditionalFormatting>
  <conditionalFormatting sqref="W92:AO92">
    <cfRule type="expression" dxfId="62" priority="52">
      <formula>$AC$20=0</formula>
    </cfRule>
  </conditionalFormatting>
  <conditionalFormatting sqref="W93:AO93">
    <cfRule type="expression" dxfId="61" priority="51">
      <formula>$AC$21=0</formula>
    </cfRule>
  </conditionalFormatting>
  <conditionalFormatting sqref="W94:AO95">
    <cfRule type="expression" dxfId="60" priority="50">
      <formula>$AC$22=0</formula>
    </cfRule>
  </conditionalFormatting>
  <conditionalFormatting sqref="W98:AO98">
    <cfRule type="expression" dxfId="59" priority="49">
      <formula>$AC$26=0</formula>
    </cfRule>
  </conditionalFormatting>
  <conditionalFormatting sqref="W120:AO122">
    <cfRule type="expression" dxfId="58" priority="47">
      <formula>$AC$12="Nie"</formula>
    </cfRule>
    <cfRule type="expression" dxfId="57" priority="48">
      <formula>$AC$12=0</formula>
    </cfRule>
  </conditionalFormatting>
  <conditionalFormatting sqref="AC125:AO125">
    <cfRule type="expression" dxfId="56" priority="46">
      <formula>$AC$17=0</formula>
    </cfRule>
  </conditionalFormatting>
  <conditionalFormatting sqref="W127:AO127">
    <cfRule type="expression" dxfId="55" priority="45">
      <formula>$AB$19=0</formula>
    </cfRule>
  </conditionalFormatting>
  <conditionalFormatting sqref="W128:AO128">
    <cfRule type="expression" dxfId="54" priority="44">
      <formula>$AC$20=0</formula>
    </cfRule>
  </conditionalFormatting>
  <conditionalFormatting sqref="W129:AO129">
    <cfRule type="expression" dxfId="53" priority="43">
      <formula>$AC$21=0</formula>
    </cfRule>
  </conditionalFormatting>
  <conditionalFormatting sqref="W130:AO131">
    <cfRule type="expression" dxfId="52" priority="42">
      <formula>$AC$22=0</formula>
    </cfRule>
  </conditionalFormatting>
  <conditionalFormatting sqref="W134:AO134">
    <cfRule type="expression" dxfId="51" priority="41">
      <formula>$AC$26=0</formula>
    </cfRule>
  </conditionalFormatting>
  <conditionalFormatting sqref="W156:AO158">
    <cfRule type="expression" dxfId="50" priority="39">
      <formula>$AC$12="Nie"</formula>
    </cfRule>
    <cfRule type="expression" dxfId="49" priority="40">
      <formula>$AC$12=0</formula>
    </cfRule>
  </conditionalFormatting>
  <conditionalFormatting sqref="AC161:AO161">
    <cfRule type="expression" dxfId="48" priority="38">
      <formula>$AC$17=0</formula>
    </cfRule>
  </conditionalFormatting>
  <conditionalFormatting sqref="W163:AO163">
    <cfRule type="expression" dxfId="47" priority="37">
      <formula>$AB$19=0</formula>
    </cfRule>
  </conditionalFormatting>
  <conditionalFormatting sqref="W164:AO164">
    <cfRule type="expression" dxfId="46" priority="36">
      <formula>$AC$20=0</formula>
    </cfRule>
  </conditionalFormatting>
  <conditionalFormatting sqref="W165:AO165">
    <cfRule type="expression" dxfId="45" priority="35">
      <formula>$AC$21=0</formula>
    </cfRule>
  </conditionalFormatting>
  <conditionalFormatting sqref="W166:AO167">
    <cfRule type="expression" dxfId="44" priority="34">
      <formula>$AC$22=0</formula>
    </cfRule>
  </conditionalFormatting>
  <conditionalFormatting sqref="W170:AO170">
    <cfRule type="expression" dxfId="43" priority="33">
      <formula>$AC$26=0</formula>
    </cfRule>
  </conditionalFormatting>
  <conditionalFormatting sqref="W192:AO194">
    <cfRule type="expression" dxfId="42" priority="31">
      <formula>$AC$12="Nie"</formula>
    </cfRule>
    <cfRule type="expression" dxfId="41" priority="32">
      <formula>$AC$12=0</formula>
    </cfRule>
  </conditionalFormatting>
  <conditionalFormatting sqref="AC197:AO197">
    <cfRule type="expression" dxfId="40" priority="30">
      <formula>$AC$17=0</formula>
    </cfRule>
  </conditionalFormatting>
  <conditionalFormatting sqref="W199:AO199">
    <cfRule type="expression" dxfId="39" priority="29">
      <formula>$AB$19=0</formula>
    </cfRule>
  </conditionalFormatting>
  <conditionalFormatting sqref="W200:AO200">
    <cfRule type="expression" dxfId="38" priority="28">
      <formula>$AC$20=0</formula>
    </cfRule>
  </conditionalFormatting>
  <conditionalFormatting sqref="W201:AO201">
    <cfRule type="expression" dxfId="37" priority="27">
      <formula>$AC$21=0</formula>
    </cfRule>
  </conditionalFormatting>
  <conditionalFormatting sqref="W202:AO203">
    <cfRule type="expression" dxfId="36" priority="26">
      <formula>$AC$22=0</formula>
    </cfRule>
  </conditionalFormatting>
  <conditionalFormatting sqref="W206:AO206">
    <cfRule type="expression" dxfId="35" priority="25">
      <formula>$AC$26=0</formula>
    </cfRule>
  </conditionalFormatting>
  <conditionalFormatting sqref="D37:P37">
    <cfRule type="cellIs" dxfId="34" priority="24" operator="equal">
      <formula>0</formula>
    </cfRule>
  </conditionalFormatting>
  <conditionalFormatting sqref="D217:P217">
    <cfRule type="cellIs" dxfId="33" priority="18" operator="equal">
      <formula>0</formula>
    </cfRule>
  </conditionalFormatting>
  <conditionalFormatting sqref="D73:P73">
    <cfRule type="cellIs" dxfId="32" priority="22" operator="equal">
      <formula>0</formula>
    </cfRule>
  </conditionalFormatting>
  <conditionalFormatting sqref="D109:P109">
    <cfRule type="cellIs" dxfId="31" priority="21" operator="equal">
      <formula>0</formula>
    </cfRule>
  </conditionalFormatting>
  <conditionalFormatting sqref="D145:P145">
    <cfRule type="cellIs" dxfId="30" priority="20" operator="equal">
      <formula>0</formula>
    </cfRule>
  </conditionalFormatting>
  <conditionalFormatting sqref="D181:P181">
    <cfRule type="cellIs" dxfId="29" priority="19" operator="equal">
      <formula>0</formula>
    </cfRule>
  </conditionalFormatting>
  <conditionalFormatting sqref="W10:AO30 W9:AB9">
    <cfRule type="cellIs" dxfId="28" priority="17" operator="equal">
      <formula>0</formula>
    </cfRule>
  </conditionalFormatting>
  <conditionalFormatting sqref="W46:AO66 W45:AB45">
    <cfRule type="cellIs" dxfId="27" priority="16" operator="equal">
      <formula>0</formula>
    </cfRule>
  </conditionalFormatting>
  <conditionalFormatting sqref="W82:AO102 W81:AB81">
    <cfRule type="cellIs" dxfId="26" priority="15" operator="equal">
      <formula>0</formula>
    </cfRule>
  </conditionalFormatting>
  <conditionalFormatting sqref="W118:AO138 W117:AB117">
    <cfRule type="cellIs" dxfId="25" priority="14" operator="equal">
      <formula>0</formula>
    </cfRule>
  </conditionalFormatting>
  <conditionalFormatting sqref="W154:AO174 W153:AB153">
    <cfRule type="cellIs" dxfId="24" priority="13" operator="equal">
      <formula>0</formula>
    </cfRule>
  </conditionalFormatting>
  <conditionalFormatting sqref="W190:AO210 W189:AB189">
    <cfRule type="cellIs" dxfId="23" priority="12" operator="equal">
      <formula>0</formula>
    </cfRule>
  </conditionalFormatting>
  <conditionalFormatting sqref="X4">
    <cfRule type="expression" dxfId="22" priority="1">
      <formula>$AJ$4=TRUE</formula>
    </cfRule>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486431" r:id="rId4" name="Check Box 2079">
              <controlPr defaultSize="0" autoFill="0" autoLine="0" autoPict="0">
                <anchor moveWithCells="1">
                  <from>
                    <xdr:col>42</xdr:col>
                    <xdr:colOff>53340</xdr:colOff>
                    <xdr:row>3</xdr:row>
                    <xdr:rowOff>68580</xdr:rowOff>
                  </from>
                  <to>
                    <xdr:col>42</xdr:col>
                    <xdr:colOff>525780</xdr:colOff>
                    <xdr:row>5</xdr:row>
                    <xdr:rowOff>45720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35F7C116-7295-4393-9041-9EDB40FD68D8}">
            <xm:f>kombinace_1!$V$1&lt;3</xm:f>
            <x14:dxf>
              <font>
                <color theme="0"/>
              </font>
              <fill>
                <patternFill>
                  <bgColor theme="0"/>
                </patternFill>
              </fill>
            </x14:dxf>
          </x14:cfRule>
          <xm:sqref>W26:AO26</xm:sqref>
        </x14:conditionalFormatting>
        <x14:conditionalFormatting xmlns:xm="http://schemas.microsoft.com/office/excel/2006/main">
          <x14:cfRule type="expression" priority="10" id="{CE7E0185-E67A-4E52-A506-B62F830CCB1A}">
            <xm:f>kombinace_2!$V$1&lt;3</xm:f>
            <x14:dxf>
              <font>
                <color theme="0"/>
              </font>
              <fill>
                <patternFill>
                  <bgColor theme="0"/>
                </patternFill>
              </fill>
            </x14:dxf>
          </x14:cfRule>
          <xm:sqref>W62:AO62</xm:sqref>
        </x14:conditionalFormatting>
        <x14:conditionalFormatting xmlns:xm="http://schemas.microsoft.com/office/excel/2006/main">
          <x14:cfRule type="expression" priority="9" id="{E03C4038-043D-4580-8A78-03727B3C5ECD}">
            <xm:f>kombinace_3!$V$1&lt;3</xm:f>
            <x14:dxf>
              <font>
                <color theme="0"/>
              </font>
              <fill>
                <patternFill>
                  <bgColor theme="0"/>
                </patternFill>
              </fill>
            </x14:dxf>
          </x14:cfRule>
          <xm:sqref>W98:AO98</xm:sqref>
        </x14:conditionalFormatting>
        <x14:conditionalFormatting xmlns:xm="http://schemas.microsoft.com/office/excel/2006/main">
          <x14:cfRule type="expression" priority="8" id="{A24C81C3-3861-468E-B5ED-039FCF412A4C}">
            <xm:f>kombinace_4!$V$1&lt;3</xm:f>
            <x14:dxf>
              <font>
                <color theme="0"/>
              </font>
              <fill>
                <patternFill>
                  <bgColor theme="0"/>
                </patternFill>
              </fill>
            </x14:dxf>
          </x14:cfRule>
          <xm:sqref>W134:AO134</xm:sqref>
        </x14:conditionalFormatting>
        <x14:conditionalFormatting xmlns:xm="http://schemas.microsoft.com/office/excel/2006/main">
          <x14:cfRule type="expression" priority="7" id="{D4025431-3C0E-4821-B5D4-802A8C79882B}">
            <xm:f>kombinace_5!$V$1&lt;3</xm:f>
            <x14:dxf>
              <font>
                <color theme="0"/>
              </font>
              <fill>
                <patternFill>
                  <bgColor theme="0"/>
                </patternFill>
              </fill>
            </x14:dxf>
          </x14:cfRule>
          <xm:sqref>W170:AO170</xm:sqref>
        </x14:conditionalFormatting>
        <x14:conditionalFormatting xmlns:xm="http://schemas.microsoft.com/office/excel/2006/main">
          <x14:cfRule type="expression" priority="6" id="{C99A158E-CE87-457D-A1F1-0002000F6B0B}">
            <xm:f>kombinace_6!$V$1&lt;3</xm:f>
            <x14:dxf>
              <font>
                <color theme="0"/>
              </font>
              <fill>
                <patternFill>
                  <bgColor theme="0"/>
                </patternFill>
              </fill>
            </x14:dxf>
          </x14:cfRule>
          <xm:sqref>W206:AO206</xm:sqref>
        </x14:conditionalFormatting>
        <x14:conditionalFormatting xmlns:xm="http://schemas.microsoft.com/office/excel/2006/main">
          <x14:cfRule type="expression" priority="2" id="{51C543A2-ACDB-43D6-BA22-59E78A222AFB}">
            <xm:f>'Translate &amp; Prices'!$D$1=4</xm:f>
            <x14:dxf>
              <numFmt numFmtId="173" formatCode="#,##0.00\ [$Ft-40E]"/>
            </x14:dxf>
          </x14:cfRule>
          <x14:cfRule type="expression" priority="3" id="{7BABD562-DDF1-4594-B64D-6E83E2502704}">
            <xm:f>'Translate &amp; Prices'!$D$1=3</xm:f>
            <x14:dxf>
              <numFmt numFmtId="172" formatCode="#,##0.00\ [$zł-415]"/>
            </x14:dxf>
          </x14:cfRule>
          <x14:cfRule type="expression" priority="4" id="{7338966B-3397-4D17-AD74-73CD236F3AB6}">
            <xm:f>'Translate &amp; Prices'!$D$1=2</xm:f>
            <x14:dxf>
              <numFmt numFmtId="171" formatCode="#,##0.00\ [$€-1]"/>
            </x14:dxf>
          </x14:cfRule>
          <x14:cfRule type="expression" priority="5" id="{64F4F76D-4B60-4F8C-936C-D3FB372247DF}">
            <xm:f>'Translate &amp; Prices'!$D$1=1</xm:f>
            <x14:dxf>
              <numFmt numFmtId="170" formatCode="#,##0.00\ &quot;Kč&quot;"/>
            </x14:dxf>
          </x14:cfRule>
          <xm:sqref>X4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0">
    <pageSetUpPr fitToPage="1"/>
  </sheetPr>
  <dimension ref="A1:AC79"/>
  <sheetViews>
    <sheetView showZeros="0" zoomScale="85" zoomScaleNormal="85" workbookViewId="0">
      <selection activeCell="M20" sqref="M20"/>
    </sheetView>
  </sheetViews>
  <sheetFormatPr defaultColWidth="9.109375" defaultRowHeight="14.4" x14ac:dyDescent="0.3"/>
  <cols>
    <col min="1" max="1" width="1.109375" style="1" customWidth="1"/>
    <col min="2" max="2" width="3.109375" style="1" customWidth="1"/>
    <col min="3" max="3" width="5.88671875" style="1" customWidth="1"/>
    <col min="4" max="4" width="10.5546875" style="1" customWidth="1"/>
    <col min="5" max="5" width="8.109375" style="1" customWidth="1"/>
    <col min="6" max="6" width="10.33203125" style="1" customWidth="1"/>
    <col min="7" max="7" width="21.5546875" style="1" customWidth="1"/>
    <col min="8" max="8" width="17" style="1" customWidth="1"/>
    <col min="9" max="9" width="21.44140625" style="1" customWidth="1"/>
    <col min="10" max="10" width="12.5546875" style="1" customWidth="1"/>
    <col min="11" max="11" width="26" style="1" customWidth="1"/>
    <col min="12" max="12" width="32.88671875" style="1" customWidth="1"/>
    <col min="13" max="16" width="18.5546875" style="1" customWidth="1"/>
    <col min="17" max="18" width="13.88671875" style="1" customWidth="1"/>
    <col min="19" max="19" width="16.44140625" style="1" customWidth="1"/>
    <col min="20" max="20" width="17.5546875" style="1" customWidth="1"/>
    <col min="21" max="22" width="26.33203125" style="1" customWidth="1"/>
    <col min="23" max="23" width="33.33203125" style="1" customWidth="1"/>
    <col min="24" max="24" width="18.5546875" style="1" customWidth="1"/>
    <col min="25" max="27" width="26.44140625" style="1" customWidth="1"/>
    <col min="28" max="28" width="31.5546875" style="1" customWidth="1"/>
    <col min="29" max="29" width="17" style="1" customWidth="1"/>
    <col min="30" max="187" width="9.109375" style="1" customWidth="1"/>
    <col min="188" max="16384" width="9.109375" style="1"/>
  </cols>
  <sheetData>
    <row r="1" spans="1:29" ht="4.5" customHeight="1" x14ac:dyDescent="0.3"/>
    <row r="2" spans="1:29" s="43" customFormat="1" ht="13.5" customHeight="1" x14ac:dyDescent="0.3">
      <c r="A2" s="1"/>
      <c r="B2" s="1007" t="str">
        <f>Ceny_n!$B$204</f>
        <v>Ceny jsou platné od 1.02.2020/Verze 20.01</v>
      </c>
      <c r="C2" s="1008"/>
      <c r="D2" s="1008"/>
      <c r="E2" s="1008"/>
      <c r="F2" s="1008"/>
      <c r="G2" s="1008"/>
      <c r="H2" s="1008"/>
      <c r="I2" s="1008"/>
      <c r="J2" s="1008"/>
      <c r="K2" s="1008"/>
      <c r="L2" s="1009"/>
      <c r="M2" s="175"/>
      <c r="N2" s="175"/>
      <c r="O2" s="175"/>
      <c r="P2" s="175"/>
      <c r="Q2" s="175"/>
      <c r="R2" s="175"/>
      <c r="S2" s="175"/>
      <c r="T2" s="175"/>
      <c r="U2" s="175"/>
      <c r="V2" s="175"/>
      <c r="W2" s="175"/>
      <c r="X2" s="175"/>
      <c r="Y2" s="175"/>
      <c r="Z2" s="175"/>
      <c r="AA2" s="175"/>
      <c r="AB2" s="175"/>
      <c r="AC2" s="175"/>
    </row>
    <row r="3" spans="1:29" ht="68.25" customHeight="1" x14ac:dyDescent="0.3">
      <c r="B3" s="1018" t="str">
        <f>Ceny_n!$B$228</f>
        <v>Posuvné rámečky</v>
      </c>
      <c r="C3" s="1019"/>
      <c r="D3" s="1019"/>
      <c r="E3" s="1019"/>
      <c r="F3" s="1019"/>
      <c r="G3" s="1019"/>
      <c r="H3" s="186"/>
      <c r="I3" s="186"/>
      <c r="J3" s="187"/>
      <c r="K3" s="188"/>
      <c r="L3" s="189"/>
    </row>
    <row r="4" spans="1:29" ht="16.5" customHeight="1" x14ac:dyDescent="0.5">
      <c r="B4" s="182"/>
      <c r="C4" s="3"/>
      <c r="D4" s="3"/>
      <c r="E4" s="3"/>
      <c r="F4" s="43"/>
      <c r="G4" s="43"/>
      <c r="H4" s="43"/>
      <c r="I4" s="43"/>
      <c r="J4" s="43"/>
      <c r="K4" s="43"/>
      <c r="L4" s="177"/>
    </row>
    <row r="5" spans="1:29" ht="15.6" x14ac:dyDescent="0.3">
      <c r="B5" s="998" t="str">
        <f>Ceny_n!$B$287</f>
        <v xml:space="preserve">Cena za posuvné rámečky je shodná jako cena za běžné rámečky. </v>
      </c>
      <c r="C5" s="999"/>
      <c r="D5" s="999"/>
      <c r="E5" s="999"/>
      <c r="F5" s="999"/>
      <c r="G5" s="999"/>
      <c r="H5" s="999"/>
      <c r="I5" s="999"/>
      <c r="J5" s="999"/>
      <c r="K5" s="999"/>
      <c r="L5" s="1000"/>
    </row>
    <row r="6" spans="1:29" ht="15.6" x14ac:dyDescent="0.3">
      <c r="B6" s="998" t="str">
        <f>Ceny_n!$B$276</f>
        <v>Výška rámečku je standardně o 6 mm menší, než uvedená vnitřní výška skříňky.</v>
      </c>
      <c r="C6" s="999"/>
      <c r="D6" s="999"/>
      <c r="E6" s="999"/>
      <c r="F6" s="999"/>
      <c r="G6" s="999"/>
      <c r="H6" s="999"/>
      <c r="I6" s="999"/>
      <c r="J6" s="999"/>
      <c r="K6" s="999"/>
      <c r="L6" s="1000"/>
    </row>
    <row r="7" spans="1:29" ht="15.6" x14ac:dyDescent="0.3">
      <c r="B7" s="998" t="str">
        <f>Ceny_n!$B$277</f>
        <v>Standardně jsou rámečky připraveny pro posuvné kování H27AL (nosnost 25 kg na rámeček) a H37AL (nosnost 35 kg na rámeček)</v>
      </c>
      <c r="C7" s="999"/>
      <c r="D7" s="999"/>
      <c r="E7" s="999"/>
      <c r="F7" s="999"/>
      <c r="G7" s="999"/>
      <c r="H7" s="999"/>
      <c r="I7" s="999"/>
      <c r="J7" s="999"/>
      <c r="K7" s="999"/>
      <c r="L7" s="1000"/>
    </row>
    <row r="8" spans="1:29" x14ac:dyDescent="0.3">
      <c r="B8" s="183"/>
      <c r="C8" s="2"/>
      <c r="D8" s="2"/>
      <c r="E8" s="43"/>
      <c r="F8" s="43"/>
      <c r="G8" s="43"/>
      <c r="H8" s="43"/>
      <c r="I8" s="43"/>
      <c r="J8" s="43"/>
      <c r="K8" s="43"/>
      <c r="L8" s="177"/>
    </row>
    <row r="9" spans="1:29" ht="15.75" customHeight="1" x14ac:dyDescent="0.3">
      <c r="J9" s="174"/>
      <c r="K9" s="43"/>
      <c r="L9" s="177"/>
    </row>
    <row r="10" spans="1:29" ht="15.75" customHeight="1" x14ac:dyDescent="0.3">
      <c r="J10" s="174"/>
      <c r="K10" s="179"/>
      <c r="L10" s="184"/>
    </row>
    <row r="11" spans="1:29" ht="15.75" customHeight="1" x14ac:dyDescent="0.3">
      <c r="J11" s="174"/>
      <c r="K11" s="179"/>
      <c r="L11" s="184"/>
    </row>
    <row r="12" spans="1:29" ht="15" customHeight="1" x14ac:dyDescent="0.3">
      <c r="J12" s="174"/>
      <c r="K12" s="179"/>
      <c r="L12" s="184"/>
    </row>
    <row r="13" spans="1:29" ht="15" customHeight="1" x14ac:dyDescent="0.3">
      <c r="J13" s="174"/>
      <c r="K13" s="179"/>
      <c r="L13" s="184"/>
      <c r="AB13" s="1002" t="s">
        <v>683</v>
      </c>
      <c r="AC13" s="1002"/>
    </row>
    <row r="14" spans="1:29" ht="15.75" customHeight="1" x14ac:dyDescent="0.3">
      <c r="J14" s="174"/>
      <c r="K14" s="43"/>
      <c r="L14" s="177"/>
      <c r="AB14" s="1002"/>
      <c r="AC14" s="1002"/>
    </row>
    <row r="15" spans="1:29" x14ac:dyDescent="0.3">
      <c r="B15" s="176"/>
      <c r="C15" s="43"/>
      <c r="D15" s="43"/>
      <c r="E15" s="43"/>
      <c r="F15" s="43"/>
      <c r="G15" s="43"/>
      <c r="H15" s="43"/>
      <c r="I15" s="43"/>
      <c r="J15" s="43"/>
      <c r="K15" s="43"/>
      <c r="L15" s="177"/>
      <c r="AB15" s="1002"/>
      <c r="AC15" s="1002"/>
    </row>
    <row r="16" spans="1:29" ht="15" customHeight="1" x14ac:dyDescent="0.3">
      <c r="B16" s="1022"/>
      <c r="C16" s="1001" t="str">
        <f>Ceny_n!$B$230</f>
        <v xml:space="preserve">Vnitřní rozměr skříňky (mm)  </v>
      </c>
      <c r="D16" s="1001"/>
      <c r="E16" s="1001"/>
      <c r="F16" s="1001"/>
      <c r="W16" s="1" t="str">
        <f>Ceny_n!B6</f>
        <v>BRW (elox.)</v>
      </c>
      <c r="X16" s="4" t="str">
        <f>IF(Posuv!$E$35=0,"",IF((VLOOKUP(Posuv!$E$35,Ceny!$B$6:$R$44,17,0))=2,$AC16,$AB16))</f>
        <v/>
      </c>
      <c r="Y16" s="4" t="str">
        <f>IF(Posuv!$I$35=0,"",IF((VLOOKUP(Posuv!$I$35,Ceny!$B$6:$R$44,17,0))=2,$AC16,$AB16))</f>
        <v/>
      </c>
      <c r="Z16" s="4" t="str">
        <f>IF(Posuv!$M$35=0,"",IF((VLOOKUP(Posuv!$M$35,Ceny!$B$6:$R$44,17,0))=2,$AC16,$AB16))</f>
        <v/>
      </c>
      <c r="AA16" s="4"/>
      <c r="AB16" s="1" t="e">
        <f t="array" ref="AB16:AB79">SKLO_ALL</f>
        <v>#REF!</v>
      </c>
      <c r="AC16" s="1" t="str">
        <f>Ceny_n!B60</f>
        <v>Stopsol bronz</v>
      </c>
    </row>
    <row r="17" spans="2:29" ht="15.75" customHeight="1" x14ac:dyDescent="0.3">
      <c r="B17" s="1023"/>
      <c r="M17" s="1" t="s">
        <v>1379</v>
      </c>
      <c r="N17" s="173" t="s">
        <v>843</v>
      </c>
      <c r="O17" s="173" t="s">
        <v>844</v>
      </c>
      <c r="P17" s="173" t="s">
        <v>845</v>
      </c>
      <c r="Q17" s="1" t="s">
        <v>846</v>
      </c>
      <c r="R17" s="1" t="s">
        <v>847</v>
      </c>
      <c r="S17" s="1" t="s">
        <v>848</v>
      </c>
      <c r="T17" s="1" t="s">
        <v>849</v>
      </c>
      <c r="W17" s="1" t="str">
        <f>Ceny_n!B7</f>
        <v>BRW antracit</v>
      </c>
      <c r="X17" s="4" t="str">
        <f>IF(Posuv!$E$35=0,"",IF((VLOOKUP(Posuv!$E$35,Ceny!$B$6:$R$44,17,0))=2,$AC17,$AB17))</f>
        <v/>
      </c>
      <c r="Y17" s="4" t="str">
        <f>IF(Posuv!$I$35=0,"",IF((VLOOKUP(Posuv!$I$35,Ceny!$B$6:$R$44,17,0))=2,$AC17,$AB17))</f>
        <v/>
      </c>
      <c r="Z17" s="4" t="str">
        <f>IF(Posuv!$M$35=0,"",IF((VLOOKUP(Posuv!$M$35,Ceny!$B$6:$R$44,17,0))=2,$AC17,$AB17))</f>
        <v/>
      </c>
      <c r="AA17" s="4"/>
      <c r="AB17" s="1" t="e">
        <v>#REF!</v>
      </c>
      <c r="AC17" s="1" t="str">
        <f>Ceny_n!B61</f>
        <v>Lakomat</v>
      </c>
    </row>
    <row r="18" spans="2:29" x14ac:dyDescent="0.3">
      <c r="B18" s="192" t="s">
        <v>0</v>
      </c>
      <c r="M18" s="1" t="e">
        <f>IF(ISNA(VLOOKUP(Posuv!E35,#REF!,3,FALSE)),0,VLOOKUP(Posuv!E35,#REF!,3,FALSE))</f>
        <v>#REF!</v>
      </c>
      <c r="N18" s="173">
        <f>IF(Posuv!E35=0,0,VLOOKUP(Posuv!E35,Ceny!$B$6:$Q$70,16,0))</f>
        <v>0</v>
      </c>
      <c r="O18" s="173">
        <f>IF(N18=2,Posuv!E30,0)</f>
        <v>0</v>
      </c>
      <c r="P18" s="173">
        <f>IF(N18=1,Posuv!E30,0)</f>
        <v>0</v>
      </c>
      <c r="Q18" s="1">
        <f>IF(Posuv!E28=0,0,IF((Posuv!E28*2)&lt;=2000,1,0))</f>
        <v>0</v>
      </c>
      <c r="R18" s="1">
        <f>IF(Posuv!E28=0,0,IF((Posuv!E28*2)&lt;=2000,0,IF((Posuv!E28*2)&gt;2000,IF((Posuv!E28*2)&lt;=3000,1,0))))</f>
        <v>0</v>
      </c>
      <c r="S18" s="1">
        <f>2*(IF(Posuv!E28=0,0,IF(Posuv!E28&lt;1501,0,IF(Posuv!E28&gt;2000,0,IF(Posuv!E28&lt;=2000,1,0)))))</f>
        <v>0</v>
      </c>
      <c r="T18" s="1">
        <f>2*(IF(Posuv!E28=0,0,IF(Posuv!E28&lt;2001,0,IF(Posuv!E28&gt;3000,0,IF(Posuv!E28&lt;=3000,1,0)))))</f>
        <v>0</v>
      </c>
      <c r="W18" s="1" t="str">
        <f>Ceny_n!B8</f>
        <v>BRW bílá mat</v>
      </c>
      <c r="X18" s="4" t="str">
        <f>IF(Posuv!$E$35=0,"",IF((VLOOKUP(Posuv!$E$35,Ceny!$B$6:$R$44,17,0))=2,$AC18,$AB18))</f>
        <v/>
      </c>
      <c r="Y18" s="4" t="str">
        <f>IF(Posuv!$I$35=0,"",IF((VLOOKUP(Posuv!$I$35,Ceny!$B$6:$R$44,17,0))=2,$AC18,$AB18))</f>
        <v/>
      </c>
      <c r="Z18" s="4" t="str">
        <f>IF(Posuv!$M$35=0,"",IF((VLOOKUP(Posuv!$M$35,Ceny!$B$6:$R$44,17,0))=2,$AC18,$AB18))</f>
        <v/>
      </c>
      <c r="AA18" s="4"/>
      <c r="AB18" s="1" t="e">
        <v>#REF!</v>
      </c>
      <c r="AC18" s="1" t="str">
        <f>Ceny_n!B72</f>
        <v>Master  Ligne</v>
      </c>
    </row>
    <row r="19" spans="2:29" x14ac:dyDescent="0.3">
      <c r="B19" s="193" t="s">
        <v>1</v>
      </c>
      <c r="M19" s="1" t="e">
        <f>IF(ISNA(VLOOKUP(Posuv!I35,#REF!,3,FALSE)),0,VLOOKUP(Posuv!I35,#REF!,3,FALSE))</f>
        <v>#REF!</v>
      </c>
      <c r="N19" s="173">
        <f>IF(Posuv!I35=0,0,VLOOKUP(Posuv!I35,Ceny!$B$6:$Q$44,16,0))</f>
        <v>0</v>
      </c>
      <c r="O19" s="173">
        <f>IF(N19=2,Posuv!I30,0)</f>
        <v>0</v>
      </c>
      <c r="P19" s="173">
        <f>IF(N19=1,Posuv!I30,0)</f>
        <v>0</v>
      </c>
      <c r="Q19" s="1">
        <f>IF(Posuv!I28=0,0,IF((Posuv!I28*2)&lt;=2000,1,0))</f>
        <v>0</v>
      </c>
      <c r="R19" s="1">
        <f>IF(Posuv!I28=0,0,IF((Posuv!I28*2)&lt;=2000,0,IF((Posuv!I28*2)&gt;2000,IF((Posuv!I28*2)&lt;=3000,1,0))))</f>
        <v>0</v>
      </c>
      <c r="S19" s="1">
        <f>2*(IF(Posuv!I28=0,0,IF(Posuv!I28&lt;1501,0,IF(Posuv!I28&gt;2000,0,IF(Posuv!I28&lt;=2000,1,0)))))</f>
        <v>0</v>
      </c>
      <c r="T19" s="1">
        <f>2*(IF(Posuv!I28=0,0,IF(Posuv!I28&lt;2001,0,IF(Posuv!I28&gt;3000,0,IF(Posuv!I28&lt;=3000,1,0)))))</f>
        <v>0</v>
      </c>
      <c r="W19" s="1" t="str">
        <f>Ceny_n!B10</f>
        <v>BRW hnědá</v>
      </c>
      <c r="X19" s="4" t="str">
        <f>IF(Posuv!$E$35=0,"",IF((VLOOKUP(Posuv!$E$35,Ceny!$B$6:$R$44,17,0))=2,$AC19,$AB19))</f>
        <v/>
      </c>
      <c r="Y19" s="4" t="str">
        <f>IF(Posuv!$I$35=0,"",IF((VLOOKUP(Posuv!$I$35,Ceny!$B$6:$R$44,17,0))=2,$AC19,$AB19))</f>
        <v/>
      </c>
      <c r="Z19" s="4" t="str">
        <f>IF(Posuv!$M$35=0,"",IF((VLOOKUP(Posuv!$M$35,Ceny!$B$6:$R$44,17,0))=2,$AC19,$AB19))</f>
        <v/>
      </c>
      <c r="AA19" s="4"/>
      <c r="AB19" s="1" t="e">
        <v>#REF!</v>
      </c>
      <c r="AC19" s="1" t="str">
        <f>Ceny_n!B73</f>
        <v>Master  Point</v>
      </c>
    </row>
    <row r="20" spans="2:29" x14ac:dyDescent="0.3">
      <c r="B20" s="194" t="s">
        <v>2</v>
      </c>
      <c r="M20" s="1" t="e">
        <f>IF(ISNA(VLOOKUP(Posuv!M35,#REF!,3,FALSE)),0,VLOOKUP(Posuv!M35,#REF!,3,FALSE))</f>
        <v>#REF!</v>
      </c>
      <c r="N20" s="173">
        <f>IF(Posuv!M35=0,0,VLOOKUP(Posuv!M35,Ceny!$B$6:$Q$44,16,0))</f>
        <v>0</v>
      </c>
      <c r="O20" s="173">
        <f>IF(N20=2,Posuv!M30,0)</f>
        <v>0</v>
      </c>
      <c r="P20" s="173">
        <f>IF(N20=1,Posuv!M30,0)</f>
        <v>0</v>
      </c>
      <c r="Q20" s="1">
        <f>IF(Posuv!M28=0,0,IF((Posuv!M28*2)&lt;=2000,1,0))</f>
        <v>0</v>
      </c>
      <c r="R20" s="1">
        <f>IF(Posuv!M28=0,0,IF((Posuv!M28*2)&lt;=2000,0,IF((Posuv!M28*2)&gt;2000,IF((Posuv!M28*2)&lt;=3000,1,0))))</f>
        <v>0</v>
      </c>
      <c r="S20" s="1">
        <f>2*(IF(Posuv!M28=0,0,IF(Posuv!M28&lt;1501,0,IF(Posuv!M28&gt;2000,0,IF(Posuv!M28&lt;=2000,1,0)))))</f>
        <v>0</v>
      </c>
      <c r="T20" s="1">
        <f>2*(IF(Posuv!M28=0,0,IF(Posuv!M28&lt;2001,0,IF(Posuv!M28&gt;3000,0,IF(Posuv!M28&lt;=3000,1,0)))))</f>
        <v>0</v>
      </c>
      <c r="W20" s="1" t="str">
        <f>Ceny_n!B11</f>
        <v>BRW broušené</v>
      </c>
      <c r="X20" s="4" t="str">
        <f>IF(Posuv!$E$35=0,"",IF((VLOOKUP(Posuv!$E$35,Ceny!$B$6:$R$44,17,0))=2,$AC20,$AB20))</f>
        <v/>
      </c>
      <c r="Y20" s="4" t="str">
        <f>IF(Posuv!$I$35=0,"",IF((VLOOKUP(Posuv!$I$35,Ceny!$B$6:$R$44,17,0))=2,$AC20,$AB20))</f>
        <v/>
      </c>
      <c r="Z20" s="4" t="str">
        <f>IF(Posuv!$M$35=0,"",IF((VLOOKUP(Posuv!$M$35,Ceny!$B$6:$R$44,17,0))=2,$AC20,$AB20))</f>
        <v/>
      </c>
      <c r="AA20" s="4"/>
      <c r="AB20" s="1" t="e">
        <v>#REF!</v>
      </c>
      <c r="AC20" s="1" t="str">
        <f>Ceny_n!B74</f>
        <v xml:space="preserve">Master  Ray </v>
      </c>
    </row>
    <row r="21" spans="2:29" ht="21" x14ac:dyDescent="0.4">
      <c r="B21" s="176"/>
      <c r="C21" s="196" t="str">
        <f>IF(Posuv!E26&gt;1500,Ceny!$B$290,IF(Posuv!I26&gt;1500,Ceny!$B$290,IF(Posuv!M26&gt;1500,Ceny!$B$290,IF(Posuv!E28&gt;2800,Ceny!$B$290,IF(Posuv!I28&gt;2800,Ceny!$B$290,IF(Posuv!M28&gt;2800,Ceny!$B$290,""))))))</f>
        <v/>
      </c>
      <c r="D21" s="43"/>
      <c r="E21" s="43"/>
      <c r="F21" s="43"/>
      <c r="G21" s="43"/>
      <c r="H21" s="43"/>
      <c r="I21" s="43"/>
      <c r="J21" s="43"/>
      <c r="K21" s="1020"/>
      <c r="L21" s="1021"/>
      <c r="N21" s="173"/>
      <c r="O21" s="173">
        <f t="shared" ref="O21:T21" si="0">SUM(O18:O20)</f>
        <v>0</v>
      </c>
      <c r="P21" s="173">
        <f t="shared" si="0"/>
        <v>0</v>
      </c>
      <c r="Q21" s="1">
        <f t="shared" si="0"/>
        <v>0</v>
      </c>
      <c r="R21" s="1">
        <f t="shared" si="0"/>
        <v>0</v>
      </c>
      <c r="S21" s="1">
        <f t="shared" si="0"/>
        <v>0</v>
      </c>
      <c r="T21" s="1">
        <f t="shared" si="0"/>
        <v>0</v>
      </c>
      <c r="W21" s="1" t="str">
        <f>Ceny_n!B12</f>
        <v>BRW černá mat</v>
      </c>
      <c r="X21" s="4" t="str">
        <f>IF(Posuv!$E$35=0,"",IF((VLOOKUP(Posuv!$E$35,Ceny!$B$6:$R$44,17,0))=2,$AC21,$AB21))</f>
        <v/>
      </c>
      <c r="Y21" s="4" t="str">
        <f>IF(Posuv!$I$35=0,"",IF((VLOOKUP(Posuv!$I$35,Ceny!$B$6:$R$44,17,0))=2,$AC21,$AB21))</f>
        <v/>
      </c>
      <c r="Z21" s="4" t="str">
        <f>IF(Posuv!$M$35=0,"",IF((VLOOKUP(Posuv!$M$35,Ceny!$B$6:$R$44,17,0))=2,$AC21,$AB21))</f>
        <v/>
      </c>
      <c r="AA21" s="4"/>
      <c r="AB21" s="1" t="e">
        <v>#REF!</v>
      </c>
      <c r="AC21" s="1" t="str">
        <f>Ceny_n!B75</f>
        <v>Master  Shine</v>
      </c>
    </row>
    <row r="22" spans="2:29" x14ac:dyDescent="0.3">
      <c r="B22" s="185"/>
      <c r="C22" s="181"/>
      <c r="D22" s="1020"/>
      <c r="E22" s="1020"/>
      <c r="F22" s="1020"/>
      <c r="G22" s="1020"/>
      <c r="H22" s="1020"/>
      <c r="I22" s="1020"/>
      <c r="J22" s="1020"/>
      <c r="K22" s="1020"/>
      <c r="L22" s="1021"/>
      <c r="W22" s="1" t="str">
        <f>Ceny_n!B14</f>
        <v>BRW černá broušená</v>
      </c>
      <c r="X22" s="4" t="str">
        <f>IF(Posuv!$E$35=0,"",IF((VLOOKUP(Posuv!$E$35,Ceny!$B$6:$R$44,17,0))=2,$AC22,$AB22))</f>
        <v/>
      </c>
      <c r="Y22" s="4" t="str">
        <f>IF(Posuv!$I$35=0,"",IF((VLOOKUP(Posuv!$I$35,Ceny!$B$6:$R$44,17,0))=2,$AC22,$AB22))</f>
        <v/>
      </c>
      <c r="Z22" s="4" t="str">
        <f>IF(Posuv!$M$35=0,"",IF((VLOOKUP(Posuv!$M$35,Ceny!$B$6:$R$44,17,0))=2,$AC22,$AB22))</f>
        <v/>
      </c>
      <c r="AA22" s="4"/>
      <c r="AB22" s="1" t="e">
        <v>#REF!</v>
      </c>
      <c r="AC22" s="1" t="str">
        <f>Ceny_n!B76</f>
        <v>Lacobel RAL 1013</v>
      </c>
    </row>
    <row r="23" spans="2:29" ht="25.5" customHeight="1" x14ac:dyDescent="0.3">
      <c r="B23" s="176"/>
      <c r="J23" s="43"/>
      <c r="M23" s="1">
        <f>IF(N23=TRUE,1,2)</f>
        <v>1</v>
      </c>
      <c r="N23" s="180" t="b">
        <v>1</v>
      </c>
      <c r="W23" s="1" t="str">
        <f>Ceny_n!B15</f>
        <v>BRW světlá nerez (ACIER GRATA)</v>
      </c>
      <c r="X23" s="4" t="str">
        <f>IF(Posuv!$E$35=0,"",IF((VLOOKUP(Posuv!$E$35,Ceny!$B$6:$R$44,17,0))=2,$AC23,$AB23))</f>
        <v/>
      </c>
      <c r="Y23" s="4" t="str">
        <f>IF(Posuv!$I$35=0,"",IF((VLOOKUP(Posuv!$I$35,Ceny!$B$6:$R$44,17,0))=2,$AC23,$AB23))</f>
        <v/>
      </c>
      <c r="Z23" s="4" t="str">
        <f>IF(Posuv!$M$35=0,"",IF((VLOOKUP(Posuv!$M$35,Ceny!$B$6:$R$44,17,0))=2,$AC23,$AB23))</f>
        <v/>
      </c>
      <c r="AA23" s="4"/>
      <c r="AB23" s="1" t="e">
        <v>#REF!</v>
      </c>
      <c r="AC23" s="1" t="str">
        <f>Ceny_n!B77</f>
        <v>Lacobel RAL 1014</v>
      </c>
    </row>
    <row r="24" spans="2:29" x14ac:dyDescent="0.3">
      <c r="B24" s="176"/>
      <c r="J24" s="43"/>
      <c r="M24" s="1">
        <f>P21</f>
        <v>0</v>
      </c>
      <c r="W24" s="1" t="str">
        <f>Ceny_n!B16</f>
        <v>BRW champagne</v>
      </c>
      <c r="X24" s="4" t="str">
        <f>IF(Posuv!$E$35=0,"",IF((VLOOKUP(Posuv!$E$35,Ceny!$B$6:$R$44,17,0))=2,$AC24,$AB24))</f>
        <v/>
      </c>
      <c r="Y24" s="4" t="str">
        <f>IF(Posuv!$I$35=0,"",IF((VLOOKUP(Posuv!$I$35,Ceny!$B$6:$R$44,17,0))=2,$AC24,$AB24))</f>
        <v/>
      </c>
      <c r="Z24" s="4" t="str">
        <f>IF(Posuv!$M$35=0,"",IF((VLOOKUP(Posuv!$M$35,Ceny!$B$6:$R$44,17,0))=2,$AC24,$AB24))</f>
        <v/>
      </c>
      <c r="AA24" s="4"/>
      <c r="AB24" s="1" t="e">
        <v>#REF!</v>
      </c>
      <c r="AC24" s="1" t="str">
        <f>Ceny_n!B78</f>
        <v>Lacobel RAL 1015</v>
      </c>
    </row>
    <row r="25" spans="2:29" x14ac:dyDescent="0.3">
      <c r="B25" s="176"/>
      <c r="J25" s="43"/>
      <c r="M25" s="1">
        <f>O21</f>
        <v>0</v>
      </c>
      <c r="W25" s="1" t="str">
        <f>Ceny_n!B17</f>
        <v>BRW tmavá nerez br. (Inox lija)</v>
      </c>
      <c r="X25" s="4" t="str">
        <f>IF(Posuv!$E$35=0,"",IF((VLOOKUP(Posuv!$E$35,Ceny!$B$6:$R$44,17,0))=2,$AC25,$AB25))</f>
        <v/>
      </c>
      <c r="Y25" s="4" t="str">
        <f>IF(Posuv!$I$35=0,"",IF((VLOOKUP(Posuv!$I$35,Ceny!$B$6:$R$44,17,0))=2,$AC25,$AB25))</f>
        <v/>
      </c>
      <c r="Z25" s="4" t="str">
        <f>IF(Posuv!$M$35=0,"",IF((VLOOKUP(Posuv!$M$35,Ceny!$B$6:$R$44,17,0))=2,$AC25,$AB25))</f>
        <v/>
      </c>
      <c r="AA25" s="4"/>
      <c r="AB25" s="1" t="e">
        <v>#REF!</v>
      </c>
      <c r="AC25" s="1" t="str">
        <f>Ceny_n!B79</f>
        <v>Lacobel RAL 2001</v>
      </c>
    </row>
    <row r="26" spans="2:29" x14ac:dyDescent="0.3">
      <c r="B26" s="176"/>
      <c r="J26" s="43"/>
      <c r="M26" s="1">
        <f>SUM(Q21,S21)</f>
        <v>0</v>
      </c>
      <c r="W26" s="1" t="str">
        <f>Ceny_n!B18</f>
        <v>Corleone (elox.)</v>
      </c>
      <c r="X26" s="4" t="str">
        <f>IF(Posuv!$E$35=0,"",IF((VLOOKUP(Posuv!$E$35,Ceny!$B$6:$R$44,17,0))=2,$AC26,$AB26))</f>
        <v/>
      </c>
      <c r="Y26" s="4" t="str">
        <f>IF(Posuv!$I$35=0,"",IF((VLOOKUP(Posuv!$I$35,Ceny!$B$6:$R$44,17,0))=2,$AC26,$AB26))</f>
        <v/>
      </c>
      <c r="Z26" s="4" t="str">
        <f>IF(Posuv!$M$35=0,"",IF((VLOOKUP(Posuv!$M$35,Ceny!$B$6:$R$44,17,0))=2,$AC26,$AB26))</f>
        <v/>
      </c>
      <c r="AA26" s="4"/>
      <c r="AB26" s="1" t="e">
        <v>#REF!</v>
      </c>
      <c r="AC26" s="1" t="str">
        <f>Ceny_n!B80</f>
        <v>Lacobel RAL 3004</v>
      </c>
    </row>
    <row r="27" spans="2:29" x14ac:dyDescent="0.3">
      <c r="B27" s="176"/>
      <c r="J27" s="43"/>
      <c r="M27" s="1">
        <f>SUM(Q21,S21)</f>
        <v>0</v>
      </c>
      <c r="W27" s="1" t="str">
        <f>Ceny_n!B19</f>
        <v>Corleone černé mat</v>
      </c>
      <c r="X27" s="4" t="str">
        <f>IF(Posuv!$E$35=0,"",IF((VLOOKUP(Posuv!$E$35,Ceny!$B$6:$R$44,17,0))=2,$AC27,$AB27))</f>
        <v/>
      </c>
      <c r="Y27" s="4" t="str">
        <f>IF(Posuv!$I$35=0,"",IF((VLOOKUP(Posuv!$I$35,Ceny!$B$6:$R$44,17,0))=2,$AC27,$AB27))</f>
        <v/>
      </c>
      <c r="Z27" s="4" t="str">
        <f>IF(Posuv!$M$35=0,"",IF((VLOOKUP(Posuv!$M$35,Ceny!$B$6:$R$44,17,0))=2,$AC27,$AB27))</f>
        <v/>
      </c>
      <c r="AA27" s="4"/>
      <c r="AB27" s="1" t="e">
        <v>#REF!</v>
      </c>
      <c r="AC27" s="1" t="str">
        <f>Ceny_n!B81</f>
        <v>Lacobel RAL 4006</v>
      </c>
    </row>
    <row r="28" spans="2:29" x14ac:dyDescent="0.3">
      <c r="B28" s="176"/>
      <c r="J28" s="43"/>
      <c r="M28" s="1">
        <f>SUM(R21,T21)</f>
        <v>0</v>
      </c>
      <c r="W28" s="1" t="str">
        <f>Ceny_n!B20</f>
        <v>Corleone champagne</v>
      </c>
      <c r="X28" s="4" t="str">
        <f>IF(Posuv!$E$35=0,"",IF((VLOOKUP(Posuv!$E$35,Ceny!$B$6:$R$44,17,0))=2,$AC28,$AB28))</f>
        <v/>
      </c>
      <c r="Y28" s="4" t="str">
        <f>IF(Posuv!$I$35=0,"",IF((VLOOKUP(Posuv!$I$35,Ceny!$B$6:$R$44,17,0))=2,$AC28,$AB28))</f>
        <v/>
      </c>
      <c r="Z28" s="4" t="str">
        <f>IF(Posuv!$M$35=0,"",IF((VLOOKUP(Posuv!$M$35,Ceny!$B$6:$R$44,17,0))=2,$AC28,$AB28))</f>
        <v/>
      </c>
      <c r="AA28" s="4"/>
      <c r="AB28" s="1" t="e">
        <v>#REF!</v>
      </c>
      <c r="AC28" s="1" t="str">
        <f>Ceny_n!B82</f>
        <v>Lacobel RAL 5002</v>
      </c>
    </row>
    <row r="29" spans="2:29" x14ac:dyDescent="0.3">
      <c r="B29" s="176"/>
      <c r="J29" s="43"/>
      <c r="M29" s="1">
        <f>SUM(R21,T21)</f>
        <v>0</v>
      </c>
      <c r="W29" s="1" t="str">
        <f>Ceny_n!B21</f>
        <v>Imola (elox.)</v>
      </c>
      <c r="X29" s="4" t="str">
        <f>IF(Posuv!$E$35=0,"",IF((VLOOKUP(Posuv!$E$35,Ceny!$B$6:$R$44,17,0))=2,$AC29,$AB29))</f>
        <v/>
      </c>
      <c r="Y29" s="4" t="str">
        <f>IF(Posuv!$I$35=0,"",IF((VLOOKUP(Posuv!$I$35,Ceny!$B$6:$R$44,17,0))=2,$AC29,$AB29))</f>
        <v/>
      </c>
      <c r="Z29" s="4" t="str">
        <f>IF(Posuv!$M$35=0,"",IF((VLOOKUP(Posuv!$M$35,Ceny!$B$6:$R$44,17,0))=2,$AC29,$AB29))</f>
        <v/>
      </c>
      <c r="AA29" s="4"/>
      <c r="AB29" s="1" t="e">
        <v>#REF!</v>
      </c>
      <c r="AC29" s="1" t="str">
        <f>Ceny_n!B83</f>
        <v>Lacobel RAL 7035</v>
      </c>
    </row>
    <row r="30" spans="2:29" x14ac:dyDescent="0.3">
      <c r="B30" s="176"/>
      <c r="C30" s="43"/>
      <c r="D30" s="181"/>
      <c r="E30" s="43"/>
      <c r="F30" s="172"/>
      <c r="G30" s="172"/>
      <c r="H30" s="172"/>
      <c r="I30" s="172"/>
      <c r="J30" s="43"/>
      <c r="W30" s="1" t="str">
        <f>Ceny_n!B22</f>
        <v>Imola černá mat</v>
      </c>
      <c r="X30" s="4" t="str">
        <f>IF(Posuv!$E$35=0,"",IF((VLOOKUP(Posuv!$E$35,Ceny!$B$6:$R$44,17,0))=2,$AC30,$AB30))</f>
        <v/>
      </c>
      <c r="Y30" s="4" t="str">
        <f>IF(Posuv!$I$35=0,"",IF((VLOOKUP(Posuv!$I$35,Ceny!$B$6:$R$44,17,0))=2,$AC30,$AB30))</f>
        <v/>
      </c>
      <c r="Z30" s="4" t="str">
        <f>IF(Posuv!$M$35=0,"",IF((VLOOKUP(Posuv!$M$35,Ceny!$B$6:$R$44,17,0))=2,$AC30,$AB30))</f>
        <v/>
      </c>
      <c r="AA30" s="4"/>
      <c r="AB30" s="1" t="e">
        <v>#REF!</v>
      </c>
      <c r="AC30" s="1" t="str">
        <f>Ceny_n!B84</f>
        <v>Lacobel RAL 8017</v>
      </c>
    </row>
    <row r="31" spans="2:29" x14ac:dyDescent="0.3">
      <c r="B31" s="176"/>
      <c r="C31" s="43"/>
      <c r="D31" s="181"/>
      <c r="E31" s="43"/>
      <c r="F31" s="172"/>
      <c r="G31" s="172"/>
      <c r="H31" s="172"/>
      <c r="I31" s="172"/>
      <c r="J31" s="43"/>
      <c r="W31" s="1" t="str">
        <f>Ceny_n!B24</f>
        <v>Modena (elox.)</v>
      </c>
      <c r="X31" s="4" t="str">
        <f>IF(Posuv!$E$35=0,"",IF((VLOOKUP(Posuv!$E$35,Ceny!$B$6:$R$44,17,0))=2,$AC31,$AB31))</f>
        <v/>
      </c>
      <c r="Y31" s="4" t="str">
        <f>IF(Posuv!$I$35=0,"",IF((VLOOKUP(Posuv!$I$35,Ceny!$B$6:$R$44,17,0))=2,$AC31,$AB31))</f>
        <v/>
      </c>
      <c r="Z31" s="4" t="str">
        <f>IF(Posuv!$M$35=0,"",IF((VLOOKUP(Posuv!$M$35,Ceny!$B$6:$R$44,17,0))=2,$AC31,$AB31))</f>
        <v/>
      </c>
      <c r="AA31" s="4"/>
      <c r="AB31" s="1" t="e">
        <v>#REF!</v>
      </c>
      <c r="AC31" s="1" t="str">
        <f>Ceny_n!B85</f>
        <v>Lacobel RAL 9003</v>
      </c>
    </row>
    <row r="32" spans="2:29" x14ac:dyDescent="0.3">
      <c r="B32" s="176"/>
      <c r="C32" s="43"/>
      <c r="D32" s="181"/>
      <c r="E32" s="43"/>
      <c r="F32" s="172"/>
      <c r="G32" s="172"/>
      <c r="H32" s="172"/>
      <c r="I32" s="172"/>
      <c r="J32" s="43"/>
      <c r="W32" s="1" t="str">
        <f>Ceny_n!B25</f>
        <v>Modena černá mat</v>
      </c>
      <c r="X32" s="4" t="str">
        <f>IF(Posuv!$E$35=0,"",IF((VLOOKUP(Posuv!$E$35,Ceny!$B$6:$R$44,17,0))=2,$AC32,$AB32))</f>
        <v/>
      </c>
      <c r="Y32" s="4" t="str">
        <f>IF(Posuv!$I$35=0,"",IF((VLOOKUP(Posuv!$I$35,Ceny!$B$6:$R$44,17,0))=2,$AC32,$AB32))</f>
        <v/>
      </c>
      <c r="Z32" s="4" t="str">
        <f>IF(Posuv!$M$35=0,"",IF((VLOOKUP(Posuv!$M$35,Ceny!$B$6:$R$44,17,0))=2,$AC32,$AB32))</f>
        <v/>
      </c>
      <c r="AA32" s="4"/>
      <c r="AB32" s="1" t="e">
        <v>#REF!</v>
      </c>
      <c r="AC32" s="1" t="str">
        <f>Ceny_n!B86</f>
        <v>Lacobel RAL 9005</v>
      </c>
    </row>
    <row r="33" spans="2:29" x14ac:dyDescent="0.3">
      <c r="B33" s="176"/>
      <c r="C33" s="43"/>
      <c r="D33" s="181"/>
      <c r="E33" s="43"/>
      <c r="F33" s="172"/>
      <c r="G33" s="172"/>
      <c r="H33" s="172"/>
      <c r="I33" s="172"/>
      <c r="J33" s="43"/>
      <c r="W33" s="1" t="str">
        <f>Ceny_n!B27</f>
        <v>Modena černá broušená</v>
      </c>
      <c r="X33" s="4" t="str">
        <f>IF(Posuv!$E$35=0,"",IF((VLOOKUP(Posuv!$E$35,Ceny!$B$6:$R$44,17,0))=2,$AC33,$AB33))</f>
        <v/>
      </c>
      <c r="Y33" s="4" t="str">
        <f>IF(Posuv!$I$35=0,"",IF((VLOOKUP(Posuv!$I$35,Ceny!$B$6:$R$44,17,0))=2,$AC33,$AB33))</f>
        <v/>
      </c>
      <c r="Z33" s="4" t="str">
        <f>IF(Posuv!$M$35=0,"",IF((VLOOKUP(Posuv!$M$35,Ceny!$B$6:$R$44,17,0))=2,$AC33,$AB33))</f>
        <v/>
      </c>
      <c r="AA33" s="4"/>
      <c r="AB33" s="1" t="e">
        <v>#REF!</v>
      </c>
      <c r="AC33" s="1" t="str">
        <f>Ceny_n!B87</f>
        <v>Lacobel RAL 9006</v>
      </c>
    </row>
    <row r="34" spans="2:29" x14ac:dyDescent="0.3">
      <c r="B34" s="176"/>
      <c r="C34" s="43"/>
      <c r="D34" s="181"/>
      <c r="E34" s="43"/>
      <c r="F34" s="172"/>
      <c r="G34" s="172"/>
      <c r="H34" s="172"/>
      <c r="I34" s="172"/>
      <c r="J34" s="43"/>
      <c r="W34" s="1" t="str">
        <f>Ceny_n!B28</f>
        <v>Modena tmavá nerez br. (inox lija)</v>
      </c>
      <c r="X34" s="4" t="str">
        <f>IF(Posuv!$E$35=0,"",IF((VLOOKUP(Posuv!$E$35,Ceny!$B$6:$R$44,17,0))=2,$AC34,$AB34))</f>
        <v/>
      </c>
      <c r="Y34" s="4" t="str">
        <f>IF(Posuv!$I$35=0,"",IF((VLOOKUP(Posuv!$I$35,Ceny!$B$6:$R$44,17,0))=2,$AC34,$AB34))</f>
        <v/>
      </c>
      <c r="Z34" s="4" t="str">
        <f>IF(Posuv!$M$35=0,"",IF((VLOOKUP(Posuv!$M$35,Ceny!$B$6:$R$44,17,0))=2,$AC34,$AB34))</f>
        <v/>
      </c>
      <c r="AA34" s="4"/>
      <c r="AB34" s="1" t="e">
        <v>#REF!</v>
      </c>
      <c r="AC34" s="1" t="str">
        <f>Ceny_n!B88</f>
        <v>Lacobel RAL 9007</v>
      </c>
    </row>
    <row r="35" spans="2:29" x14ac:dyDescent="0.3">
      <c r="B35" s="176"/>
      <c r="C35" s="43"/>
      <c r="D35" s="43"/>
      <c r="E35" s="43"/>
      <c r="F35" s="43"/>
      <c r="G35" s="43"/>
      <c r="H35" s="43"/>
      <c r="I35" s="43"/>
      <c r="J35" s="43"/>
      <c r="K35" s="43"/>
      <c r="L35" s="177"/>
      <c r="W35" s="1" t="str">
        <f>Ceny_n!B29</f>
        <v>Palio (elox.)</v>
      </c>
      <c r="X35" s="4" t="str">
        <f>IF(Posuv!$E$35=0,"",IF((VLOOKUP(Posuv!$E$35,Ceny!$B$6:$R$44,17,0))=2,$AC35,$AB35))</f>
        <v/>
      </c>
      <c r="Y35" s="4" t="str">
        <f>IF(Posuv!$I$35=0,"",IF((VLOOKUP(Posuv!$I$35,Ceny!$B$6:$R$44,17,0))=2,$AC35,$AB35))</f>
        <v/>
      </c>
      <c r="Z35" s="4" t="str">
        <f>IF(Posuv!$M$35=0,"",IF((VLOOKUP(Posuv!$M$35,Ceny!$B$6:$R$44,17,0))=2,$AC35,$AB35))</f>
        <v/>
      </c>
      <c r="AA35" s="4"/>
      <c r="AB35" s="1" t="e">
        <v>#REF!</v>
      </c>
      <c r="AC35" s="1" t="str">
        <f>Ceny_n!B89</f>
        <v>Lacobel RAL 9010</v>
      </c>
    </row>
    <row r="36" spans="2:29" ht="39.75" customHeight="1" x14ac:dyDescent="0.3">
      <c r="B36" s="1010" t="str">
        <f>Ceny_n!$B$137</f>
        <v>Poznámky</v>
      </c>
      <c r="C36" s="1011"/>
      <c r="D36" s="1011"/>
      <c r="E36" s="1014"/>
      <c r="F36" s="1014"/>
      <c r="G36" s="1014"/>
      <c r="H36" s="1014"/>
      <c r="I36" s="1014"/>
      <c r="J36" s="1014"/>
      <c r="K36" s="1014"/>
      <c r="L36" s="1015"/>
      <c r="W36" s="1" t="str">
        <f>Ceny_n!B30</f>
        <v>Pisa (elox.)</v>
      </c>
      <c r="X36" s="4" t="str">
        <f>IF(Posuv!$E$35=0,"",IF((VLOOKUP(Posuv!$E$35,Ceny!$B$6:$R$44,17,0))=2,$AC36,$AB36))</f>
        <v/>
      </c>
      <c r="Y36" s="4" t="str">
        <f>IF(Posuv!$I$35=0,"",IF((VLOOKUP(Posuv!$I$35,Ceny!$B$6:$R$44,17,0))=2,$AC36,$AB36))</f>
        <v/>
      </c>
      <c r="Z36" s="4" t="str">
        <f>IF(Posuv!$M$35=0,"",IF((VLOOKUP(Posuv!$M$35,Ceny!$B$6:$R$44,17,0))=2,$AC36,$AB36))</f>
        <v/>
      </c>
      <c r="AA36" s="4"/>
      <c r="AB36" s="1" t="e">
        <v>#REF!</v>
      </c>
      <c r="AC36" s="1" t="str">
        <f>Ceny_n!B90</f>
        <v>Lacobel REF 0128</v>
      </c>
    </row>
    <row r="37" spans="2:29" ht="49.5" customHeight="1" x14ac:dyDescent="0.3">
      <c r="B37" s="1012"/>
      <c r="C37" s="1013"/>
      <c r="D37" s="1013"/>
      <c r="E37" s="1016"/>
      <c r="F37" s="1016"/>
      <c r="G37" s="1016"/>
      <c r="H37" s="1016"/>
      <c r="I37" s="1016"/>
      <c r="J37" s="1016"/>
      <c r="K37" s="1016"/>
      <c r="L37" s="1017"/>
      <c r="W37" s="1" t="str">
        <f>Ceny_n!B31</f>
        <v>Pisa černá mat</v>
      </c>
      <c r="X37" s="4" t="str">
        <f>IF(Posuv!$E$35=0,"",IF((VLOOKUP(Posuv!$E$35,Ceny!$B$6:$R$44,17,0))=2,$AC37,$AB37))</f>
        <v/>
      </c>
      <c r="Y37" s="4" t="str">
        <f>IF(Posuv!$I$35=0,"",IF((VLOOKUP(Posuv!$I$35,Ceny!$B$6:$R$44,17,0))=2,$AC37,$AB37))</f>
        <v/>
      </c>
      <c r="Z37" s="4" t="str">
        <f>IF(Posuv!$M$35=0,"",IF((VLOOKUP(Posuv!$M$35,Ceny!$B$6:$R$44,17,0))=2,$AC37,$AB37))</f>
        <v/>
      </c>
      <c r="AA37" s="4"/>
      <c r="AB37" s="1" t="e">
        <v>#REF!</v>
      </c>
      <c r="AC37" s="1" t="str">
        <f>Ceny_n!B91</f>
        <v>Lacobel REF 0327</v>
      </c>
    </row>
    <row r="38" spans="2:29" ht="15.6" x14ac:dyDescent="0.3">
      <c r="B38" s="1003" t="s">
        <v>826</v>
      </c>
      <c r="C38" s="1004"/>
      <c r="D38" s="1005"/>
      <c r="E38" s="1005"/>
      <c r="F38" s="1005"/>
      <c r="G38" s="1005"/>
      <c r="H38" s="1005"/>
      <c r="I38" s="1005"/>
      <c r="J38" s="1005"/>
      <c r="K38" s="1005"/>
      <c r="L38" s="1006"/>
      <c r="W38" s="1" t="str">
        <f>Ceny_n!B33</f>
        <v>Ravena (elox.)</v>
      </c>
      <c r="X38" s="4" t="str">
        <f>IF(Posuv!$E$35=0,"",IF((VLOOKUP(Posuv!$E$35,Ceny!$B$6:$R$44,17,0))=2,$AC38,$AB38))</f>
        <v/>
      </c>
      <c r="Y38" s="4" t="str">
        <f>IF(Posuv!$I$35=0,"",IF((VLOOKUP(Posuv!$I$35,Ceny!$B$6:$R$44,17,0))=2,$AC38,$AB38))</f>
        <v/>
      </c>
      <c r="Z38" s="4" t="str">
        <f>IF(Posuv!$M$35=0,"",IF((VLOOKUP(Posuv!$M$35,Ceny!$B$6:$R$44,17,0))=2,$AC38,$AB38))</f>
        <v/>
      </c>
      <c r="AA38" s="4"/>
      <c r="AB38" s="1" t="e">
        <v>#REF!</v>
      </c>
      <c r="AC38" s="1" t="str">
        <f>Ceny_n!B92</f>
        <v>Lacobel REF 0337</v>
      </c>
    </row>
    <row r="39" spans="2:29" x14ac:dyDescent="0.3">
      <c r="W39" s="1" t="e">
        <f>Ceny_n!#REF!</f>
        <v>#REF!</v>
      </c>
      <c r="X39" s="4" t="str">
        <f>IF(Posuv!$E$35=0,"",IF((VLOOKUP(Posuv!$E$35,Ceny!$B$6:$R$44,17,0))=2,$AC39,$AB39))</f>
        <v/>
      </c>
      <c r="Y39" s="4" t="str">
        <f>IF(Posuv!$I$35=0,"",IF((VLOOKUP(Posuv!$I$35,Ceny!$B$6:$R$44,17,0))=2,$AC39,$AB39))</f>
        <v/>
      </c>
      <c r="Z39" s="4" t="str">
        <f>IF(Posuv!$M$35=0,"",IF((VLOOKUP(Posuv!$M$35,Ceny!$B$6:$R$44,17,0))=2,$AC39,$AB39))</f>
        <v/>
      </c>
      <c r="AA39" s="4"/>
      <c r="AB39" s="1" t="e">
        <v>#REF!</v>
      </c>
      <c r="AC39" s="1" t="str">
        <f>Ceny_n!B93</f>
        <v>Lacobel REF 0627</v>
      </c>
    </row>
    <row r="40" spans="2:29" x14ac:dyDescent="0.3">
      <c r="W40" s="1" t="e">
        <f>Ceny_n!#REF!</f>
        <v>#REF!</v>
      </c>
      <c r="X40" s="4" t="str">
        <f>IF(Posuv!$E$35=0,"",IF((VLOOKUP(Posuv!$E$35,Ceny!$B$6:$R$44,17,0))=2,$AC40,$AB40))</f>
        <v/>
      </c>
      <c r="Y40" s="4" t="str">
        <f>IF(Posuv!$I$35=0,"",IF((VLOOKUP(Posuv!$I$35,Ceny!$B$6:$R$44,17,0))=2,$AC40,$AB40))</f>
        <v/>
      </c>
      <c r="Z40" s="4" t="str">
        <f>IF(Posuv!$M$35=0,"",IF((VLOOKUP(Posuv!$M$35,Ceny!$B$6:$R$44,17,0))=2,$AC40,$AB40))</f>
        <v/>
      </c>
      <c r="AA40" s="4"/>
      <c r="AB40" s="1" t="e">
        <v>#REF!</v>
      </c>
      <c r="AC40" s="1" t="str">
        <f>Ceny_n!B94</f>
        <v>Lacobel REF 0667</v>
      </c>
    </row>
    <row r="41" spans="2:29" x14ac:dyDescent="0.3">
      <c r="W41" s="1" t="e">
        <f>Ceny_n!#REF!</f>
        <v>#REF!</v>
      </c>
      <c r="X41" s="4" t="str">
        <f>IF(Posuv!$E$35=0,"",IF((VLOOKUP(Posuv!$E$35,Ceny!$B$6:$R$44,17,0))=2,$AC41,$AB41))</f>
        <v/>
      </c>
      <c r="Y41" s="4" t="str">
        <f>IF(Posuv!$I$35=0,"",IF((VLOOKUP(Posuv!$I$35,Ceny!$B$6:$R$44,17,0))=2,$AC41,$AB41))</f>
        <v/>
      </c>
      <c r="Z41" s="4" t="str">
        <f>IF(Posuv!$M$35=0,"",IF((VLOOKUP(Posuv!$M$35,Ceny!$B$6:$R$44,17,0))=2,$AC41,$AB41))</f>
        <v/>
      </c>
      <c r="AA41" s="4"/>
      <c r="AB41" s="1" t="e">
        <v>#REF!</v>
      </c>
      <c r="AC41" s="1" t="str">
        <f>Ceny_n!B95</f>
        <v>Lacobel REF 1164</v>
      </c>
    </row>
    <row r="42" spans="2:29" x14ac:dyDescent="0.3">
      <c r="W42" s="1" t="str">
        <f>Ceny_n!B34</f>
        <v>Siena (elox.)</v>
      </c>
      <c r="X42" s="4" t="str">
        <f>IF(Posuv!$E$35=0,"",IF((VLOOKUP(Posuv!$E$35,Ceny!$B$6:$R$44,17,0))=2,$AC42,$AB42))</f>
        <v/>
      </c>
      <c r="Y42" s="4" t="str">
        <f>IF(Posuv!$I$35=0,"",IF((VLOOKUP(Posuv!$I$35,Ceny!$B$6:$R$44,17,0))=2,$AC42,$AB42))</f>
        <v/>
      </c>
      <c r="Z42" s="4" t="str">
        <f>IF(Posuv!$M$35=0,"",IF((VLOOKUP(Posuv!$M$35,Ceny!$B$6:$R$44,17,0))=2,$AC42,$AB42))</f>
        <v/>
      </c>
      <c r="AA42" s="4"/>
      <c r="AB42" s="1" t="e">
        <v>#REF!</v>
      </c>
      <c r="AC42" s="1" t="str">
        <f>Ceny_n!B96</f>
        <v>Lacobel REF 1236</v>
      </c>
    </row>
    <row r="43" spans="2:29" x14ac:dyDescent="0.3">
      <c r="W43" s="1" t="str">
        <f>Ceny_n!B35</f>
        <v>Verona (elox.)</v>
      </c>
      <c r="X43" s="4" t="str">
        <f>IF(Posuv!$E$35=0,"",IF((VLOOKUP(Posuv!$E$35,Ceny!$B$6:$R$44,17,0))=2,$AC43,$AB43))</f>
        <v/>
      </c>
      <c r="Y43" s="4" t="str">
        <f>IF(Posuv!$I$35=0,"",IF((VLOOKUP(Posuv!$I$35,Ceny!$B$6:$R$44,17,0))=2,$AC43,$AB43))</f>
        <v/>
      </c>
      <c r="Z43" s="4" t="str">
        <f>IF(Posuv!$M$35=0,"",IF((VLOOKUP(Posuv!$M$35,Ceny!$B$6:$R$44,17,0))=2,$AC43,$AB43))</f>
        <v/>
      </c>
      <c r="AA43" s="4"/>
      <c r="AB43" s="1" t="e">
        <v>#REF!</v>
      </c>
      <c r="AC43" s="1" t="str">
        <f>Ceny_n!B97</f>
        <v>Lacobel REF 1435</v>
      </c>
    </row>
    <row r="44" spans="2:29" x14ac:dyDescent="0.3">
      <c r="W44" s="1" t="str">
        <f>Ceny_n!B36</f>
        <v>Verona broušený hliník</v>
      </c>
      <c r="X44" s="4" t="str">
        <f>IF(Posuv!$E$35=0,"",IF((VLOOKUP(Posuv!$E$35,Ceny!$B$6:$R$44,17,0))=2,$AC44,$AB44))</f>
        <v/>
      </c>
      <c r="Y44" s="4" t="str">
        <f>IF(Posuv!$I$35=0,"",IF((VLOOKUP(Posuv!$I$35,Ceny!$B$6:$R$44,17,0))=2,$AC44,$AB44))</f>
        <v/>
      </c>
      <c r="Z44" s="4" t="str">
        <f>IF(Posuv!$M$35=0,"",IF((VLOOKUP(Posuv!$M$35,Ceny!$B$6:$R$44,17,0))=2,$AC44,$AB44))</f>
        <v/>
      </c>
      <c r="AA44" s="4"/>
      <c r="AB44" s="1" t="e">
        <v>#REF!</v>
      </c>
      <c r="AC44" s="1" t="str">
        <f>Ceny_n!B98</f>
        <v>Lacobel REF 1586</v>
      </c>
    </row>
    <row r="45" spans="2:29" x14ac:dyDescent="0.3">
      <c r="W45" s="1" t="str">
        <f>Ceny_n!B37</f>
        <v>Verona černá lesk</v>
      </c>
      <c r="X45" s="4" t="str">
        <f>IF(Posuv!$E$35=0,"",IF((VLOOKUP(Posuv!$E$35,Ceny!$B$6:$R$44,17,0))=2,$AC45,$AB45))</f>
        <v/>
      </c>
      <c r="Y45" s="4" t="str">
        <f>IF(Posuv!$I$35=0,"",IF((VLOOKUP(Posuv!$I$35,Ceny!$B$6:$R$44,17,0))=2,$AC45,$AB45))</f>
        <v/>
      </c>
      <c r="Z45" s="4" t="str">
        <f>IF(Posuv!$M$35=0,"",IF((VLOOKUP(Posuv!$M$35,Ceny!$B$6:$R$44,17,0))=2,$AC45,$AB45))</f>
        <v/>
      </c>
      <c r="AA45" s="4"/>
      <c r="AB45" s="1" t="e">
        <v>#REF!</v>
      </c>
      <c r="AC45" s="1" t="str">
        <f>Ceny_n!B99</f>
        <v>Lacobel REF 1603</v>
      </c>
    </row>
    <row r="46" spans="2:29" x14ac:dyDescent="0.3">
      <c r="W46" s="1" t="str">
        <f>Ceny_n!B39</f>
        <v>Verona hnědá</v>
      </c>
      <c r="X46" s="4" t="str">
        <f>IF(Posuv!$E$35=0,"",IF((VLOOKUP(Posuv!$E$35,Ceny!$B$6:$R$44,17,0))=2,$AC46,$AB46))</f>
        <v/>
      </c>
      <c r="Y46" s="4" t="str">
        <f>IF(Posuv!$I$35=0,"",IF((VLOOKUP(Posuv!$I$35,Ceny!$B$6:$R$44,17,0))=2,$AC46,$AB46))</f>
        <v/>
      </c>
      <c r="Z46" s="4" t="str">
        <f>IF(Posuv!$M$35=0,"",IF((VLOOKUP(Posuv!$M$35,Ceny!$B$6:$R$44,17,0))=2,$AC46,$AB46))</f>
        <v/>
      </c>
      <c r="AA46" s="4"/>
      <c r="AB46" s="1" t="e">
        <v>#REF!</v>
      </c>
      <c r="AC46" s="1" t="str">
        <f>Ceny_n!B100</f>
        <v>Lacobel REF 1604</v>
      </c>
    </row>
    <row r="47" spans="2:29" x14ac:dyDescent="0.3">
      <c r="W47" s="1" t="str">
        <f>Ceny_n!B40</f>
        <v>Verona champagne</v>
      </c>
      <c r="X47" s="4" t="str">
        <f>IF(Posuv!$E$35=0,"",IF((VLOOKUP(Posuv!$E$35,Ceny!$B$6:$R$44,17,0))=2,$AC47,$AB47))</f>
        <v/>
      </c>
      <c r="Y47" s="4" t="str">
        <f>IF(Posuv!$I$35=0,"",IF((VLOOKUP(Posuv!$I$35,Ceny!$B$6:$R$44,17,0))=2,$AC47,$AB47))</f>
        <v/>
      </c>
      <c r="Z47" s="4" t="str">
        <f>IF(Posuv!$M$35=0,"",IF((VLOOKUP(Posuv!$M$35,Ceny!$B$6:$R$44,17,0))=2,$AC47,$AB47))</f>
        <v/>
      </c>
      <c r="AA47" s="4"/>
      <c r="AB47" s="1" t="e">
        <v>#REF!</v>
      </c>
      <c r="AC47" s="1" t="str">
        <f>Ceny_n!B101</f>
        <v>Matelac RAL 2001</v>
      </c>
    </row>
    <row r="48" spans="2:29" x14ac:dyDescent="0.3">
      <c r="W48" s="1" t="str">
        <f>Ceny_n!B41</f>
        <v>Verona tmavá nerez broušená</v>
      </c>
      <c r="X48" s="4" t="str">
        <f>IF(Posuv!$E$35=0,"",IF((VLOOKUP(Posuv!$E$35,Ceny!$B$6:$R$44,17,0))=2,$AC48,$AB48))</f>
        <v/>
      </c>
      <c r="Y48" s="4" t="str">
        <f>IF(Posuv!$I$35=0,"",IF((VLOOKUP(Posuv!$I$35,Ceny!$B$6:$R$44,17,0))=2,$AC48,$AB48))</f>
        <v/>
      </c>
      <c r="Z48" s="4" t="str">
        <f>IF(Posuv!$M$35=0,"",IF((VLOOKUP(Posuv!$M$35,Ceny!$B$6:$R$44,17,0))=2,$AC48,$AB48))</f>
        <v/>
      </c>
      <c r="AA48" s="4"/>
      <c r="AB48" s="1" t="e">
        <v>#REF!</v>
      </c>
      <c r="AC48" s="1" t="str">
        <f>Ceny_n!B102</f>
        <v>Matelac RAL 3004</v>
      </c>
    </row>
    <row r="49" spans="23:29" x14ac:dyDescent="0.3">
      <c r="W49" s="1" t="str">
        <f>Ceny_n!B42</f>
        <v>Verona světlá nerez (Acier grata)</v>
      </c>
      <c r="X49" s="4" t="str">
        <f>IF(Posuv!$E$35=0,"",IF((VLOOKUP(Posuv!$E$35,Ceny!$B$6:$R$44,17,0))=2,$AC49,$AB49))</f>
        <v/>
      </c>
      <c r="Y49" s="4" t="str">
        <f>IF(Posuv!$I$35=0,"",IF((VLOOKUP(Posuv!$I$35,Ceny!$B$6:$R$44,17,0))=2,$AC49,$AB49))</f>
        <v/>
      </c>
      <c r="Z49" s="4" t="str">
        <f>IF(Posuv!$M$35=0,"",IF((VLOOKUP(Posuv!$M$35,Ceny!$B$6:$R$44,17,0))=2,$AC49,$AB49))</f>
        <v/>
      </c>
      <c r="AA49" s="4"/>
      <c r="AB49" s="1" t="e">
        <v>#REF!</v>
      </c>
      <c r="AC49" s="1" t="str">
        <f>Ceny_n!B103</f>
        <v>Matelac RAL 7021</v>
      </c>
    </row>
    <row r="50" spans="23:29" x14ac:dyDescent="0.3">
      <c r="W50" s="1" t="str">
        <f>Ceny_n!B43</f>
        <v>Vivaro (elox.)</v>
      </c>
      <c r="X50" s="4" t="str">
        <f>IF(Posuv!$E$35=0,"",IF((VLOOKUP(Posuv!$E$35,Ceny!$B$6:$R$44,17,0))=2,$AC50,$AB50))</f>
        <v/>
      </c>
      <c r="Y50" s="4" t="str">
        <f>IF(Posuv!$I$35=0,"",IF((VLOOKUP(Posuv!$I$35,Ceny!$B$6:$R$44,17,0))=2,$AC50,$AB50))</f>
        <v/>
      </c>
      <c r="Z50" s="4" t="str">
        <f>IF(Posuv!$M$35=0,"",IF((VLOOKUP(Posuv!$M$35,Ceny!$B$6:$R$44,17,0))=2,$AC50,$AB50))</f>
        <v/>
      </c>
      <c r="AA50" s="4"/>
      <c r="AB50" s="1" t="e">
        <v>#REF!</v>
      </c>
      <c r="AC50" s="1" t="str">
        <f>Ceny_n!B104</f>
        <v>Matelac RAL 9003</v>
      </c>
    </row>
    <row r="51" spans="23:29" x14ac:dyDescent="0.3">
      <c r="W51" s="1" t="str">
        <f>Ceny_n!B44</f>
        <v>Vivaro černá mat</v>
      </c>
      <c r="X51" s="4" t="str">
        <f>IF(Posuv!$E$35=0,"",IF((VLOOKUP(Posuv!$E$35,Ceny!$B$6:$R$44,17,0))=2,$AC51,$AB51))</f>
        <v/>
      </c>
      <c r="Y51" s="4" t="str">
        <f>IF(Posuv!$I$35=0,"",IF((VLOOKUP(Posuv!$I$35,Ceny!$B$6:$R$44,17,0))=2,$AC51,$AB51))</f>
        <v/>
      </c>
      <c r="Z51" s="4" t="str">
        <f>IF(Posuv!$M$35=0,"",IF((VLOOKUP(Posuv!$M$35,Ceny!$B$6:$R$44,17,0))=2,$AC51,$AB51))</f>
        <v/>
      </c>
      <c r="AA51" s="4"/>
      <c r="AB51" s="1" t="e">
        <v>#REF!</v>
      </c>
      <c r="AC51" s="1" t="str">
        <f>Ceny_n!B105</f>
        <v>Matelac RAL 9005</v>
      </c>
    </row>
    <row r="52" spans="23:29" x14ac:dyDescent="0.3">
      <c r="X52" s="4" t="str">
        <f>IF(Posuv!$E$35=0,"",IF((VLOOKUP(Posuv!$E$35,Ceny!$B$6:$R$44,17,0))=2,$AC52,$AB52))</f>
        <v/>
      </c>
      <c r="Y52" s="4" t="str">
        <f>IF(Posuv!$I$35=0,"",IF((VLOOKUP(Posuv!$I$35,Ceny!$B$6:$R$44,17,0))=2,$AC52,$AB52))</f>
        <v/>
      </c>
      <c r="Z52" s="4" t="str">
        <f>IF(Posuv!$M$35=0,"",IF((VLOOKUP(Posuv!$M$35,Ceny!$B$6:$R$44,17,0))=2,$AC52,$AB52))</f>
        <v/>
      </c>
      <c r="AA52" s="4"/>
      <c r="AB52" s="1" t="e">
        <v>#REF!</v>
      </c>
      <c r="AC52" s="1" t="str">
        <f>Ceny_n!B106</f>
        <v>Matelac RAL 9006</v>
      </c>
    </row>
    <row r="53" spans="23:29" x14ac:dyDescent="0.3">
      <c r="X53" s="4" t="str">
        <f>IF(Posuv!$E$35=0,"",IF((VLOOKUP(Posuv!$E$35,Ceny!$B$6:$R$44,17,0))=2,$AC53,$AB53))</f>
        <v/>
      </c>
      <c r="Y53" s="4" t="str">
        <f>IF(Posuv!$I$35=0,"",IF((VLOOKUP(Posuv!$I$35,Ceny!$B$6:$R$44,17,0))=2,$AC53,$AB53))</f>
        <v/>
      </c>
      <c r="Z53" s="4" t="str">
        <f>IF(Posuv!$M$35=0,"",IF((VLOOKUP(Posuv!$M$35,Ceny!$B$6:$R$44,17,0))=2,$AC53,$AB53))</f>
        <v/>
      </c>
      <c r="AA53" s="4"/>
      <c r="AB53" s="1" t="e">
        <v>#REF!</v>
      </c>
      <c r="AC53" s="1" t="str">
        <f>Ceny_n!B107</f>
        <v>Matelac RAL 9010</v>
      </c>
    </row>
    <row r="54" spans="23:29" x14ac:dyDescent="0.3">
      <c r="X54" s="4" t="str">
        <f>IF(Posuv!$E$35=0,"",IF((VLOOKUP(Posuv!$E$35,Ceny!$B$6:$R$44,17,0))=2,$AC54,$AB54))</f>
        <v/>
      </c>
      <c r="Y54" s="4" t="str">
        <f>IF(Posuv!$I$35=0,"",IF((VLOOKUP(Posuv!$I$35,Ceny!$B$6:$R$44,17,0))=2,$AC54,$AB54))</f>
        <v/>
      </c>
      <c r="Z54" s="4" t="str">
        <f>IF(Posuv!$M$35=0,"",IF((VLOOKUP(Posuv!$M$35,Ceny!$B$6:$R$44,17,0))=2,$AC54,$AB54))</f>
        <v/>
      </c>
      <c r="AA54" s="4"/>
      <c r="AB54" s="1" t="e">
        <v>#REF!</v>
      </c>
      <c r="AC54" s="1">
        <f>Ceny_n!B118</f>
        <v>0</v>
      </c>
    </row>
    <row r="55" spans="23:29" x14ac:dyDescent="0.3">
      <c r="X55" s="4" t="str">
        <f>IF(Posuv!$E$35=0,"",IF((VLOOKUP(Posuv!$E$35,Ceny!$B$6:$R$44,17,0))=2,$AC55,$AB55))</f>
        <v/>
      </c>
      <c r="Y55" s="4" t="str">
        <f>IF(Posuv!$I$35=0,"",IF((VLOOKUP(Posuv!$I$35,Ceny!$B$6:$R$44,17,0))=2,$AC55,$AB55))</f>
        <v/>
      </c>
      <c r="Z55" s="4" t="str">
        <f>IF(Posuv!$M$35=0,"",IF((VLOOKUP(Posuv!$M$35,Ceny!$B$6:$R$44,17,0))=2,$AC55,$AB55))</f>
        <v/>
      </c>
      <c r="AA55" s="4"/>
      <c r="AB55" s="1" t="e">
        <v>#REF!</v>
      </c>
      <c r="AC55" s="1" t="s">
        <v>684</v>
      </c>
    </row>
    <row r="56" spans="23:29" x14ac:dyDescent="0.3">
      <c r="X56" s="4" t="str">
        <f>IF(Posuv!$E$35=0,"",IF((VLOOKUP(Posuv!$E$35,Ceny!$B$6:$R$44,17,0))=2,$AC56,$AB56))</f>
        <v/>
      </c>
      <c r="Y56" s="4" t="str">
        <f>IF(Posuv!$I$35=0,"",IF((VLOOKUP(Posuv!$I$35,Ceny!$B$6:$R$44,17,0))=2,$AC56,$AB56))</f>
        <v/>
      </c>
      <c r="Z56" s="4" t="str">
        <f>IF(Posuv!$M$35=0,"",IF((VLOOKUP(Posuv!$M$35,Ceny!$B$6:$R$44,17,0))=2,$AC56,$AB56))</f>
        <v/>
      </c>
      <c r="AA56" s="4"/>
      <c r="AB56" s="1" t="e">
        <v>#REF!</v>
      </c>
      <c r="AC56" s="1" t="s">
        <v>684</v>
      </c>
    </row>
    <row r="57" spans="23:29" x14ac:dyDescent="0.3">
      <c r="X57" s="4" t="str">
        <f>IF(Posuv!$E$35=0,"",IF((VLOOKUP(Posuv!$E$35,Ceny!$B$6:$R$44,17,0))=2,$AC57,$AB57))</f>
        <v/>
      </c>
      <c r="Y57" s="4" t="str">
        <f>IF(Posuv!$I$35=0,"",IF((VLOOKUP(Posuv!$I$35,Ceny!$B$6:$R$44,17,0))=2,$AC57,$AB57))</f>
        <v/>
      </c>
      <c r="Z57" s="4" t="str">
        <f>IF(Posuv!$M$35=0,"",IF((VLOOKUP(Posuv!$M$35,Ceny!$B$6:$R$44,17,0))=2,$AC57,$AB57))</f>
        <v/>
      </c>
      <c r="AA57" s="4"/>
      <c r="AB57" s="1" t="e">
        <v>#REF!</v>
      </c>
      <c r="AC57" s="1" t="s">
        <v>684</v>
      </c>
    </row>
    <row r="58" spans="23:29" x14ac:dyDescent="0.3">
      <c r="X58" s="4" t="str">
        <f>IF(Posuv!$E$35=0,"",IF((VLOOKUP(Posuv!$E$35,Ceny!$B$6:$R$44,17,0))=2,$AC58,$AB58))</f>
        <v/>
      </c>
      <c r="Y58" s="4" t="str">
        <f>IF(Posuv!$I$35=0,"",IF((VLOOKUP(Posuv!$I$35,Ceny!$B$6:$R$44,17,0))=2,$AC58,$AB58))</f>
        <v/>
      </c>
      <c r="Z58" s="4" t="str">
        <f>IF(Posuv!$M$35=0,"",IF((VLOOKUP(Posuv!$M$35,Ceny!$B$6:$R$44,17,0))=2,$AC58,$AB58))</f>
        <v/>
      </c>
      <c r="AA58" s="4"/>
      <c r="AB58" s="1" t="e">
        <v>#REF!</v>
      </c>
      <c r="AC58" s="1" t="s">
        <v>684</v>
      </c>
    </row>
    <row r="59" spans="23:29" x14ac:dyDescent="0.3">
      <c r="X59" s="4" t="str">
        <f>IF(Posuv!$E$35=0,"",IF((VLOOKUP(Posuv!$E$35,Ceny!$B$6:$R$44,17,0))=2,$AC59,$AB59))</f>
        <v/>
      </c>
      <c r="Y59" s="4" t="str">
        <f>IF(Posuv!$I$35=0,"",IF((VLOOKUP(Posuv!$I$35,Ceny!$B$6:$R$44,17,0))=2,$AC59,$AB59))</f>
        <v/>
      </c>
      <c r="Z59" s="4" t="str">
        <f>IF(Posuv!$M$35=0,"",IF((VLOOKUP(Posuv!$M$35,Ceny!$B$6:$R$44,17,0))=2,$AC59,$AB59))</f>
        <v/>
      </c>
      <c r="AA59" s="4"/>
      <c r="AB59" s="1" t="e">
        <v>#REF!</v>
      </c>
      <c r="AC59" s="1" t="s">
        <v>684</v>
      </c>
    </row>
    <row r="60" spans="23:29" x14ac:dyDescent="0.3">
      <c r="X60" s="4" t="str">
        <f>IF(Posuv!$E$35=0,"",IF((VLOOKUP(Posuv!$E$35,Ceny!$B$6:$R$44,17,0))=2,$AC60,$AB60))</f>
        <v/>
      </c>
      <c r="Y60" s="4" t="str">
        <f>IF(Posuv!$I$35=0,"",IF((VLOOKUP(Posuv!$I$35,Ceny!$B$6:$R$44,17,0))=2,$AC60,$AB60))</f>
        <v/>
      </c>
      <c r="Z60" s="4" t="str">
        <f>IF(Posuv!$M$35=0,"",IF((VLOOKUP(Posuv!$M$35,Ceny!$B$6:$R$44,17,0))=2,$AC60,$AB60))</f>
        <v/>
      </c>
      <c r="AA60" s="4"/>
      <c r="AB60" s="1" t="e">
        <v>#REF!</v>
      </c>
      <c r="AC60" s="1" t="s">
        <v>684</v>
      </c>
    </row>
    <row r="61" spans="23:29" x14ac:dyDescent="0.3">
      <c r="X61" s="4" t="str">
        <f>IF(Posuv!$E$35=0,"",IF((VLOOKUP(Posuv!$E$35,Ceny!$B$6:$R$44,17,0))=2,$AC61,$AB61))</f>
        <v/>
      </c>
      <c r="Y61" s="4" t="str">
        <f>IF(Posuv!$I$35=0,"",IF((VLOOKUP(Posuv!$I$35,Ceny!$B$6:$R$44,17,0))=2,$AC61,$AB61))</f>
        <v/>
      </c>
      <c r="Z61" s="4" t="str">
        <f>IF(Posuv!$M$35=0,"",IF((VLOOKUP(Posuv!$M$35,Ceny!$B$6:$R$44,17,0))=2,$AC61,$AB61))</f>
        <v/>
      </c>
      <c r="AA61" s="4"/>
      <c r="AB61" s="1" t="e">
        <v>#REF!</v>
      </c>
      <c r="AC61" s="1" t="s">
        <v>684</v>
      </c>
    </row>
    <row r="62" spans="23:29" x14ac:dyDescent="0.3">
      <c r="X62" s="4" t="str">
        <f>IF(Posuv!$E$35=0,"",IF((VLOOKUP(Posuv!$E$35,Ceny!$B$6:$R$44,17,0))=2,$AC62,$AB62))</f>
        <v/>
      </c>
      <c r="Y62" s="4" t="str">
        <f>IF(Posuv!$I$35=0,"",IF((VLOOKUP(Posuv!$I$35,Ceny!$B$6:$R$44,17,0))=2,$AC62,$AB62))</f>
        <v/>
      </c>
      <c r="Z62" s="4" t="str">
        <f>IF(Posuv!$M$35=0,"",IF((VLOOKUP(Posuv!$M$35,Ceny!$B$6:$R$44,17,0))=2,$AC62,$AB62))</f>
        <v/>
      </c>
      <c r="AA62" s="4"/>
      <c r="AB62" s="1" t="e">
        <v>#REF!</v>
      </c>
      <c r="AC62" s="1" t="s">
        <v>684</v>
      </c>
    </row>
    <row r="63" spans="23:29" x14ac:dyDescent="0.3">
      <c r="X63" s="4" t="str">
        <f>IF(Posuv!$E$35=0,"",IF((VLOOKUP(Posuv!$E$35,Ceny!$B$6:$R$44,17,0))=2,$AC63,$AB63))</f>
        <v/>
      </c>
      <c r="Y63" s="4" t="str">
        <f>IF(Posuv!$I$35=0,"",IF((VLOOKUP(Posuv!$I$35,Ceny!$B$6:$R$44,17,0))=2,$AC63,$AB63))</f>
        <v/>
      </c>
      <c r="Z63" s="4" t="str">
        <f>IF(Posuv!$M$35=0,"",IF((VLOOKUP(Posuv!$M$35,Ceny!$B$6:$R$44,17,0))=2,$AC63,$AB63))</f>
        <v/>
      </c>
      <c r="AA63" s="4"/>
      <c r="AB63" s="1" t="e">
        <v>#REF!</v>
      </c>
      <c r="AC63" s="1" t="s">
        <v>684</v>
      </c>
    </row>
    <row r="64" spans="23:29" x14ac:dyDescent="0.3">
      <c r="X64" s="4" t="str">
        <f>IF(Posuv!$E$35=0,"",IF((VLOOKUP(Posuv!$E$35,Ceny!$B$6:$R$44,17,0))=2,$AC64,$AB64))</f>
        <v/>
      </c>
      <c r="Y64" s="4" t="str">
        <f>IF(Posuv!$I$35=0,"",IF((VLOOKUP(Posuv!$I$35,Ceny!$B$6:$R$44,17,0))=2,$AC64,$AB64))</f>
        <v/>
      </c>
      <c r="Z64" s="4" t="str">
        <f>IF(Posuv!$M$35=0,"",IF((VLOOKUP(Posuv!$M$35,Ceny!$B$6:$R$44,17,0))=2,$AC64,$AB64))</f>
        <v/>
      </c>
      <c r="AA64" s="4"/>
      <c r="AB64" s="1" t="e">
        <v>#REF!</v>
      </c>
      <c r="AC64" s="1" t="s">
        <v>684</v>
      </c>
    </row>
    <row r="65" spans="24:29" x14ac:dyDescent="0.3">
      <c r="X65" s="4" t="str">
        <f>IF(Posuv!$E$35=0,"",IF((VLOOKUP(Posuv!$E$35,Ceny!$B$6:$R$44,17,0))=2,$AC65,$AB65))</f>
        <v/>
      </c>
      <c r="Y65" s="4" t="str">
        <f>IF(Posuv!$I$35=0,"",IF((VLOOKUP(Posuv!$I$35,Ceny!$B$6:$R$44,17,0))=2,$AC65,$AB65))</f>
        <v/>
      </c>
      <c r="Z65" s="4" t="str">
        <f>IF(Posuv!$M$35=0,"",IF((VLOOKUP(Posuv!$M$35,Ceny!$B$6:$R$44,17,0))=2,$AC65,$AB65))</f>
        <v/>
      </c>
      <c r="AA65" s="4"/>
      <c r="AB65" s="1" t="e">
        <v>#REF!</v>
      </c>
      <c r="AC65" s="1" t="s">
        <v>684</v>
      </c>
    </row>
    <row r="66" spans="24:29" x14ac:dyDescent="0.3">
      <c r="X66" s="4" t="str">
        <f>IF(Posuv!$E$35=0,"",IF((VLOOKUP(Posuv!$E$35,Ceny!$B$6:$R$44,17,0))=2,$AC66,$AB66))</f>
        <v/>
      </c>
      <c r="Y66" s="4" t="str">
        <f>IF(Posuv!$I$35=0,"",IF((VLOOKUP(Posuv!$I$35,Ceny!$B$6:$R$44,17,0))=2,$AC66,$AB66))</f>
        <v/>
      </c>
      <c r="Z66" s="4" t="str">
        <f>IF(Posuv!$M$35=0,"",IF((VLOOKUP(Posuv!$M$35,Ceny!$B$6:$R$44,17,0))=2,$AC66,$AB66))</f>
        <v/>
      </c>
      <c r="AA66" s="4"/>
      <c r="AB66" s="1" t="e">
        <v>#REF!</v>
      </c>
      <c r="AC66" s="1" t="s">
        <v>684</v>
      </c>
    </row>
    <row r="67" spans="24:29" x14ac:dyDescent="0.3">
      <c r="X67" s="4" t="str">
        <f>IF(Posuv!$E$35=0,"",IF((VLOOKUP(Posuv!$E$35,Ceny!$B$6:$R$44,17,0))=2,$AC67,$AB67))</f>
        <v/>
      </c>
      <c r="Y67" s="4" t="str">
        <f>IF(Posuv!$I$35=0,"",IF((VLOOKUP(Posuv!$I$35,Ceny!$B$6:$R$44,17,0))=2,$AC67,$AB67))</f>
        <v/>
      </c>
      <c r="Z67" s="4" t="str">
        <f>IF(Posuv!$M$35=0,"",IF((VLOOKUP(Posuv!$M$35,Ceny!$B$6:$R$44,17,0))=2,$AC67,$AB67))</f>
        <v/>
      </c>
      <c r="AA67" s="4"/>
      <c r="AB67" s="1" t="e">
        <v>#REF!</v>
      </c>
      <c r="AC67" s="1" t="s">
        <v>684</v>
      </c>
    </row>
    <row r="68" spans="24:29" x14ac:dyDescent="0.3">
      <c r="X68" s="4" t="str">
        <f>IF(Posuv!$E$35=0,"",IF((VLOOKUP(Posuv!$E$35,Ceny!$B$6:$R$44,17,0))=2,$AC68,$AB68))</f>
        <v/>
      </c>
      <c r="Y68" s="4" t="str">
        <f>IF(Posuv!$I$35=0,"",IF((VLOOKUP(Posuv!$I$35,Ceny!$B$6:$R$44,17,0))=2,$AC68,$AB68))</f>
        <v/>
      </c>
      <c r="Z68" s="4" t="str">
        <f>IF(Posuv!$M$35=0,"",IF((VLOOKUP(Posuv!$M$35,Ceny!$B$6:$R$44,17,0))=2,$AC68,$AB68))</f>
        <v/>
      </c>
      <c r="AA68" s="4"/>
      <c r="AB68" s="1" t="e">
        <v>#REF!</v>
      </c>
      <c r="AC68" s="1" t="s">
        <v>684</v>
      </c>
    </row>
    <row r="69" spans="24:29" x14ac:dyDescent="0.3">
      <c r="X69" s="4" t="str">
        <f>IF(Posuv!$E$35=0,"",IF((VLOOKUP(Posuv!$E$35,Ceny!$B$6:$R$44,17,0))=2,$AC69,$AB69))</f>
        <v/>
      </c>
      <c r="Y69" s="4" t="str">
        <f>IF(Posuv!$I$35=0,"",IF((VLOOKUP(Posuv!$I$35,Ceny!$B$6:$R$44,17,0))=2,$AC69,$AB69))</f>
        <v/>
      </c>
      <c r="Z69" s="4" t="str">
        <f>IF(Posuv!$M$35=0,"",IF((VLOOKUP(Posuv!$M$35,Ceny!$B$6:$R$44,17,0))=2,$AC69,$AB69))</f>
        <v/>
      </c>
      <c r="AB69" s="1" t="e">
        <v>#REF!</v>
      </c>
      <c r="AC69" s="1" t="s">
        <v>684</v>
      </c>
    </row>
    <row r="70" spans="24:29" x14ac:dyDescent="0.3">
      <c r="AB70" s="1" t="e">
        <v>#REF!</v>
      </c>
    </row>
    <row r="71" spans="24:29" x14ac:dyDescent="0.3">
      <c r="AB71" s="1" t="e">
        <v>#REF!</v>
      </c>
    </row>
    <row r="72" spans="24:29" x14ac:dyDescent="0.3">
      <c r="AB72" s="1" t="e">
        <v>#REF!</v>
      </c>
    </row>
    <row r="73" spans="24:29" x14ac:dyDescent="0.3">
      <c r="AB73" s="1" t="e">
        <v>#REF!</v>
      </c>
    </row>
    <row r="74" spans="24:29" x14ac:dyDescent="0.3">
      <c r="AB74" s="1" t="e">
        <v>#REF!</v>
      </c>
    </row>
    <row r="75" spans="24:29" x14ac:dyDescent="0.3">
      <c r="AB75" s="1" t="e">
        <v>#REF!</v>
      </c>
    </row>
    <row r="76" spans="24:29" x14ac:dyDescent="0.3">
      <c r="AB76" s="1" t="e">
        <v>#REF!</v>
      </c>
    </row>
    <row r="77" spans="24:29" x14ac:dyDescent="0.3">
      <c r="AB77" s="1" t="e">
        <v>#REF!</v>
      </c>
    </row>
    <row r="78" spans="24:29" x14ac:dyDescent="0.3">
      <c r="AB78" s="1" t="e">
        <v>#REF!</v>
      </c>
    </row>
    <row r="79" spans="24:29" x14ac:dyDescent="0.3">
      <c r="AB79" s="1" t="e">
        <v>#REF!</v>
      </c>
    </row>
  </sheetData>
  <mergeCells count="13">
    <mergeCell ref="B6:L6"/>
    <mergeCell ref="C16:F16"/>
    <mergeCell ref="AB13:AC15"/>
    <mergeCell ref="B38:L38"/>
    <mergeCell ref="B2:L2"/>
    <mergeCell ref="B5:L5"/>
    <mergeCell ref="B7:L7"/>
    <mergeCell ref="B36:D37"/>
    <mergeCell ref="E36:L37"/>
    <mergeCell ref="B3:G3"/>
    <mergeCell ref="K21:L21"/>
    <mergeCell ref="B16:B17"/>
    <mergeCell ref="D22:L22"/>
  </mergeCells>
  <phoneticPr fontId="4" type="noConversion"/>
  <hyperlinks>
    <hyperlink ref="B38" r:id="rId1" xr:uid="{00000000-0004-0000-0700-000000000000}"/>
  </hyperlinks>
  <pageMargins left="0.70866141732283472" right="0.70866141732283472" top="0.78740157480314965" bottom="0.78740157480314965" header="0.31496062992125984" footer="0.31496062992125984"/>
  <pageSetup paperSize="9" scale="51"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2DED9-92B0-446F-9F8E-C0F14267BA13}">
  <sheetPr codeName="List6"/>
  <dimension ref="A1:AJ60"/>
  <sheetViews>
    <sheetView topLeftCell="A22" workbookViewId="0">
      <selection activeCell="E37" sqref="E37"/>
    </sheetView>
  </sheetViews>
  <sheetFormatPr defaultColWidth="9.109375" defaultRowHeight="14.4" x14ac:dyDescent="0.3"/>
  <cols>
    <col min="1" max="1" width="32.44140625" style="137" customWidth="1"/>
    <col min="2" max="2" width="9.109375" style="137"/>
    <col min="3" max="3" width="7" style="137" bestFit="1" customWidth="1"/>
    <col min="4" max="4" width="70.5546875" style="17" bestFit="1" customWidth="1"/>
    <col min="5" max="5" width="70.5546875" style="17" customWidth="1"/>
    <col min="6" max="6" width="10.5546875" style="137" bestFit="1" customWidth="1"/>
    <col min="7" max="7" width="5" style="137" bestFit="1" customWidth="1"/>
    <col min="8" max="8" width="8" style="137" bestFit="1" customWidth="1"/>
    <col min="9" max="9" width="8.88671875" style="137" bestFit="1" customWidth="1"/>
    <col min="10" max="10" width="9.109375" style="137"/>
    <col min="11" max="11" width="10.44140625" style="137" bestFit="1" customWidth="1"/>
    <col min="12" max="12" width="46" style="137" bestFit="1" customWidth="1"/>
    <col min="13" max="13" width="5.6640625" style="137" bestFit="1" customWidth="1"/>
    <col min="14" max="14" width="10.44140625" style="137" bestFit="1" customWidth="1"/>
    <col min="15" max="15" width="31" style="137" bestFit="1" customWidth="1"/>
    <col min="16" max="16" width="5.6640625" style="137" bestFit="1" customWidth="1"/>
    <col min="17" max="17" width="10.44140625" style="137" bestFit="1" customWidth="1"/>
    <col min="18" max="18" width="40.33203125" style="137" bestFit="1" customWidth="1"/>
    <col min="19" max="19" width="18.5546875" style="137" bestFit="1" customWidth="1"/>
    <col min="20" max="20" width="10.44140625" style="137" bestFit="1" customWidth="1"/>
    <col min="21" max="21" width="46" style="137" bestFit="1" customWidth="1"/>
    <col min="22" max="22" width="18.5546875" style="137" bestFit="1" customWidth="1"/>
    <col min="23" max="23" width="10.44140625" style="137" bestFit="1" customWidth="1"/>
    <col min="24" max="24" width="20.88671875" style="137" bestFit="1" customWidth="1"/>
    <col min="25" max="25" width="18.5546875" style="137" bestFit="1" customWidth="1"/>
    <col min="26" max="26" width="10.44140625" style="137" bestFit="1" customWidth="1"/>
    <col min="27" max="27" width="26.6640625" style="137" bestFit="1" customWidth="1"/>
    <col min="28" max="28" width="18.5546875" style="137" bestFit="1" customWidth="1"/>
    <col min="29" max="29" width="3" style="137" bestFit="1" customWidth="1"/>
    <col min="30" max="16384" width="9.109375" style="137"/>
  </cols>
  <sheetData>
    <row r="1" spans="1:36" s="197" customFormat="1" x14ac:dyDescent="0.3">
      <c r="A1" s="197" t="s">
        <v>1440</v>
      </c>
      <c r="B1" s="197" t="s">
        <v>1441</v>
      </c>
      <c r="C1" s="198" t="s">
        <v>131</v>
      </c>
      <c r="D1" s="297" t="s">
        <v>33</v>
      </c>
      <c r="E1" s="297"/>
      <c r="F1" s="198" t="s">
        <v>1442</v>
      </c>
      <c r="G1" s="298" t="s">
        <v>1443</v>
      </c>
      <c r="H1" s="198" t="s">
        <v>1444</v>
      </c>
      <c r="I1" s="198" t="s">
        <v>1445</v>
      </c>
      <c r="J1" s="198" t="s">
        <v>1446</v>
      </c>
      <c r="K1" s="197" t="s">
        <v>1447</v>
      </c>
      <c r="L1" s="197" t="s">
        <v>1448</v>
      </c>
      <c r="M1" s="298" t="s">
        <v>1449</v>
      </c>
      <c r="N1" s="197" t="s">
        <v>1447</v>
      </c>
      <c r="O1" s="197" t="s">
        <v>1448</v>
      </c>
      <c r="P1" s="298" t="s">
        <v>1449</v>
      </c>
      <c r="Q1" s="197" t="s">
        <v>1447</v>
      </c>
      <c r="R1" s="197" t="s">
        <v>1448</v>
      </c>
      <c r="S1" s="298" t="s">
        <v>1449</v>
      </c>
      <c r="T1" s="197" t="s">
        <v>1447</v>
      </c>
      <c r="U1" s="197" t="s">
        <v>1448</v>
      </c>
      <c r="V1" s="298" t="s">
        <v>1449</v>
      </c>
      <c r="W1" s="197" t="s">
        <v>1447</v>
      </c>
      <c r="X1" s="197" t="s">
        <v>1448</v>
      </c>
      <c r="Y1" s="298" t="s">
        <v>1449</v>
      </c>
      <c r="Z1" s="197" t="s">
        <v>1447</v>
      </c>
      <c r="AA1" s="197" t="s">
        <v>1448</v>
      </c>
      <c r="AB1" s="298" t="s">
        <v>1449</v>
      </c>
      <c r="AC1" s="197">
        <v>16</v>
      </c>
    </row>
    <row r="2" spans="1:36" s="80" customFormat="1" x14ac:dyDescent="0.3">
      <c r="B2" s="80" t="s">
        <v>110</v>
      </c>
      <c r="C2" s="249">
        <v>92584</v>
      </c>
      <c r="D2" s="299" t="s">
        <v>1450</v>
      </c>
      <c r="E2" s="299" t="e">
        <f>VLOOKUP(C:C,#REF!,1,FALSE)</f>
        <v>#REF!</v>
      </c>
      <c r="F2" s="249" t="s">
        <v>1436</v>
      </c>
      <c r="G2" s="249"/>
      <c r="H2" s="249"/>
      <c r="I2" s="249"/>
      <c r="J2" s="249"/>
      <c r="K2" s="80">
        <v>92598</v>
      </c>
      <c r="L2" s="80" t="s">
        <v>1024</v>
      </c>
      <c r="M2" s="80" t="s">
        <v>1438</v>
      </c>
      <c r="N2" s="80">
        <v>92597</v>
      </c>
      <c r="O2" s="80" t="s">
        <v>1025</v>
      </c>
      <c r="P2" s="80" t="s">
        <v>1438</v>
      </c>
      <c r="Q2" s="80">
        <v>92598</v>
      </c>
      <c r="R2" s="80" t="s">
        <v>1026</v>
      </c>
      <c r="S2" s="80" t="s">
        <v>1438</v>
      </c>
      <c r="T2" s="80">
        <v>92599</v>
      </c>
      <c r="U2" s="80" t="s">
        <v>1027</v>
      </c>
      <c r="V2" s="80" t="s">
        <v>1438</v>
      </c>
      <c r="W2" s="80">
        <v>0</v>
      </c>
      <c r="X2" s="80">
        <v>0</v>
      </c>
      <c r="Y2" s="80" t="e">
        <v>#N/A</v>
      </c>
      <c r="Z2" s="80">
        <v>0</v>
      </c>
      <c r="AA2" s="80">
        <v>0</v>
      </c>
      <c r="AB2" s="80" t="e">
        <v>#N/A</v>
      </c>
      <c r="AC2" s="80" t="s">
        <v>1222</v>
      </c>
      <c r="AE2" s="80">
        <f>K:K</f>
        <v>92598</v>
      </c>
      <c r="AF2" s="80">
        <f>N:N</f>
        <v>92597</v>
      </c>
      <c r="AG2" s="80">
        <f>Q:Q</f>
        <v>92598</v>
      </c>
      <c r="AH2" s="80">
        <f>T:T</f>
        <v>92599</v>
      </c>
      <c r="AI2" s="80">
        <f>W:W</f>
        <v>0</v>
      </c>
      <c r="AJ2" s="80">
        <f>Z:Z</f>
        <v>0</v>
      </c>
    </row>
    <row r="3" spans="1:36" s="80" customFormat="1" x14ac:dyDescent="0.3">
      <c r="B3" s="80" t="s">
        <v>110</v>
      </c>
      <c r="C3" s="249">
        <v>92585</v>
      </c>
      <c r="D3" s="299" t="s">
        <v>1451</v>
      </c>
      <c r="E3" s="299" t="e">
        <f>VLOOKUP(C:C,#REF!,1,FALSE)</f>
        <v>#REF!</v>
      </c>
      <c r="F3" s="249" t="s">
        <v>1436</v>
      </c>
      <c r="G3" s="249"/>
      <c r="H3" s="249"/>
      <c r="I3" s="249"/>
      <c r="J3" s="249"/>
      <c r="K3" s="80">
        <v>92596</v>
      </c>
      <c r="L3" s="80" t="s">
        <v>1024</v>
      </c>
      <c r="M3" s="80" t="s">
        <v>1438</v>
      </c>
      <c r="N3" s="80">
        <v>92597</v>
      </c>
      <c r="O3" s="80" t="s">
        <v>1025</v>
      </c>
      <c r="P3" s="80" t="s">
        <v>1438</v>
      </c>
      <c r="Q3" s="80">
        <v>92598</v>
      </c>
      <c r="R3" s="80" t="s">
        <v>1026</v>
      </c>
      <c r="S3" s="80" t="s">
        <v>1438</v>
      </c>
      <c r="T3" s="80">
        <v>92599</v>
      </c>
      <c r="U3" s="80" t="s">
        <v>1027</v>
      </c>
      <c r="V3" s="80" t="s">
        <v>1438</v>
      </c>
      <c r="W3" s="80">
        <v>0</v>
      </c>
      <c r="X3" s="80">
        <v>0</v>
      </c>
      <c r="Y3" s="80" t="e">
        <v>#N/A</v>
      </c>
      <c r="Z3" s="80">
        <v>0</v>
      </c>
      <c r="AA3" s="80">
        <v>0</v>
      </c>
      <c r="AB3" s="80" t="e">
        <v>#N/A</v>
      </c>
      <c r="AC3" s="80" t="s">
        <v>1223</v>
      </c>
      <c r="AE3" s="80">
        <f t="shared" ref="AE3:AE55" si="0">K:K</f>
        <v>92596</v>
      </c>
      <c r="AF3" s="80">
        <f t="shared" ref="AF3:AF55" si="1">N:N</f>
        <v>92597</v>
      </c>
      <c r="AG3" s="80">
        <f t="shared" ref="AG3:AG55" si="2">Q:Q</f>
        <v>92598</v>
      </c>
      <c r="AH3" s="80">
        <f t="shared" ref="AH3:AH55" si="3">T:T</f>
        <v>92599</v>
      </c>
      <c r="AI3" s="80">
        <f t="shared" ref="AI3:AI55" si="4">W:W</f>
        <v>0</v>
      </c>
      <c r="AJ3" s="80">
        <f t="shared" ref="AJ3:AJ55" si="5">Z:Z</f>
        <v>0</v>
      </c>
    </row>
    <row r="4" spans="1:36" s="80" customFormat="1" x14ac:dyDescent="0.3">
      <c r="B4" s="80" t="s">
        <v>110</v>
      </c>
      <c r="C4" s="249">
        <v>92586</v>
      </c>
      <c r="D4" s="299" t="s">
        <v>1452</v>
      </c>
      <c r="E4" s="299" t="e">
        <f>VLOOKUP(C:C,#REF!,1,FALSE)</f>
        <v>#REF!</v>
      </c>
      <c r="F4" s="249" t="s">
        <v>1436</v>
      </c>
      <c r="G4" s="249"/>
      <c r="H4" s="249"/>
      <c r="I4" s="249"/>
      <c r="J4" s="249"/>
      <c r="K4" s="80">
        <v>92596</v>
      </c>
      <c r="L4" s="80" t="s">
        <v>1024</v>
      </c>
      <c r="M4" s="80" t="s">
        <v>1438</v>
      </c>
      <c r="N4" s="80">
        <v>92597</v>
      </c>
      <c r="O4" s="80" t="s">
        <v>1025</v>
      </c>
      <c r="P4" s="80" t="s">
        <v>1438</v>
      </c>
      <c r="Q4" s="80">
        <v>92598</v>
      </c>
      <c r="R4" s="80" t="s">
        <v>1026</v>
      </c>
      <c r="S4" s="80" t="s">
        <v>1438</v>
      </c>
      <c r="T4" s="80">
        <v>92599</v>
      </c>
      <c r="U4" s="80" t="s">
        <v>1027</v>
      </c>
      <c r="V4" s="80" t="s">
        <v>1438</v>
      </c>
      <c r="W4" s="80">
        <v>0</v>
      </c>
      <c r="X4" s="80">
        <v>0</v>
      </c>
      <c r="Y4" s="80" t="e">
        <v>#N/A</v>
      </c>
      <c r="Z4" s="80">
        <v>0</v>
      </c>
      <c r="AA4" s="80">
        <v>0</v>
      </c>
      <c r="AB4" s="80" t="e">
        <v>#N/A</v>
      </c>
      <c r="AC4" s="80" t="s">
        <v>1224</v>
      </c>
      <c r="AE4" s="80">
        <f t="shared" si="0"/>
        <v>92596</v>
      </c>
      <c r="AF4" s="80">
        <f t="shared" si="1"/>
        <v>92597</v>
      </c>
      <c r="AG4" s="80">
        <f t="shared" si="2"/>
        <v>92598</v>
      </c>
      <c r="AH4" s="80">
        <f t="shared" si="3"/>
        <v>92599</v>
      </c>
      <c r="AI4" s="80">
        <f t="shared" si="4"/>
        <v>0</v>
      </c>
      <c r="AJ4" s="80">
        <f t="shared" si="5"/>
        <v>0</v>
      </c>
    </row>
    <row r="5" spans="1:36" s="80" customFormat="1" x14ac:dyDescent="0.3">
      <c r="B5" s="80" t="s">
        <v>110</v>
      </c>
      <c r="C5" s="249">
        <v>92588</v>
      </c>
      <c r="D5" s="299" t="s">
        <v>1453</v>
      </c>
      <c r="E5" s="299" t="e">
        <f>VLOOKUP(C:C,#REF!,1,FALSE)</f>
        <v>#REF!</v>
      </c>
      <c r="F5" s="249" t="s">
        <v>1436</v>
      </c>
      <c r="G5" s="249"/>
      <c r="H5" s="249"/>
      <c r="I5" s="249"/>
      <c r="J5" s="249"/>
      <c r="K5" s="80">
        <v>92596</v>
      </c>
      <c r="L5" s="80" t="s">
        <v>1024</v>
      </c>
      <c r="M5" s="80" t="s">
        <v>1438</v>
      </c>
      <c r="N5" s="80">
        <v>92597</v>
      </c>
      <c r="O5" s="80" t="s">
        <v>1025</v>
      </c>
      <c r="P5" s="80" t="s">
        <v>1438</v>
      </c>
      <c r="Q5" s="80">
        <v>92598</v>
      </c>
      <c r="R5" s="80" t="s">
        <v>1026</v>
      </c>
      <c r="S5" s="80" t="s">
        <v>1438</v>
      </c>
      <c r="T5" s="80">
        <v>92599</v>
      </c>
      <c r="U5" s="80" t="s">
        <v>1027</v>
      </c>
      <c r="V5" s="80" t="s">
        <v>1438</v>
      </c>
      <c r="W5" s="80">
        <v>0</v>
      </c>
      <c r="X5" s="80">
        <v>0</v>
      </c>
      <c r="Y5" s="80" t="e">
        <v>#N/A</v>
      </c>
      <c r="Z5" s="80">
        <v>0</v>
      </c>
      <c r="AA5" s="80">
        <v>0</v>
      </c>
      <c r="AB5" s="80" t="e">
        <v>#N/A</v>
      </c>
      <c r="AC5" s="80" t="s">
        <v>1225</v>
      </c>
      <c r="AE5" s="80">
        <f t="shared" si="0"/>
        <v>92596</v>
      </c>
      <c r="AF5" s="80">
        <f t="shared" si="1"/>
        <v>92597</v>
      </c>
      <c r="AG5" s="80">
        <f t="shared" si="2"/>
        <v>92598</v>
      </c>
      <c r="AH5" s="80">
        <f t="shared" si="3"/>
        <v>92599</v>
      </c>
      <c r="AI5" s="80">
        <f t="shared" si="4"/>
        <v>0</v>
      </c>
      <c r="AJ5" s="80">
        <f t="shared" si="5"/>
        <v>0</v>
      </c>
    </row>
    <row r="6" spans="1:36" s="80" customFormat="1" x14ac:dyDescent="0.3">
      <c r="B6" s="80" t="s">
        <v>110</v>
      </c>
      <c r="C6" s="249">
        <v>92580</v>
      </c>
      <c r="D6" s="299" t="s">
        <v>1454</v>
      </c>
      <c r="E6" s="299" t="e">
        <f>VLOOKUP(C:C,#REF!,1,FALSE)</f>
        <v>#REF!</v>
      </c>
      <c r="F6" s="249" t="s">
        <v>1436</v>
      </c>
      <c r="G6" s="249"/>
      <c r="H6" s="249"/>
      <c r="I6" s="249"/>
      <c r="J6" s="249"/>
      <c r="K6" s="80">
        <v>92613</v>
      </c>
      <c r="L6" s="80" t="s">
        <v>1455</v>
      </c>
      <c r="M6" s="80" t="s">
        <v>1436</v>
      </c>
      <c r="N6" s="80">
        <v>92614</v>
      </c>
      <c r="O6" s="80" t="s">
        <v>1456</v>
      </c>
      <c r="P6" s="80" t="s">
        <v>1436</v>
      </c>
      <c r="Q6" s="80">
        <v>92592</v>
      </c>
      <c r="R6" s="80" t="s">
        <v>1457</v>
      </c>
      <c r="S6" s="80" t="s">
        <v>1436</v>
      </c>
      <c r="T6" s="80">
        <v>92593</v>
      </c>
      <c r="U6" s="80" t="s">
        <v>1458</v>
      </c>
      <c r="V6" s="80" t="s">
        <v>1436</v>
      </c>
      <c r="W6" s="80">
        <v>0</v>
      </c>
      <c r="X6" s="80">
        <v>0</v>
      </c>
      <c r="Y6" s="80" t="e">
        <v>#N/A</v>
      </c>
      <c r="Z6" s="80">
        <v>0</v>
      </c>
      <c r="AA6" s="80">
        <v>0</v>
      </c>
      <c r="AB6" s="80" t="e">
        <v>#N/A</v>
      </c>
      <c r="AC6" s="80" t="s">
        <v>1222</v>
      </c>
      <c r="AE6" s="80">
        <f t="shared" si="0"/>
        <v>92613</v>
      </c>
      <c r="AF6" s="80">
        <f t="shared" si="1"/>
        <v>92614</v>
      </c>
      <c r="AG6" s="80">
        <f t="shared" si="2"/>
        <v>92592</v>
      </c>
      <c r="AH6" s="80">
        <f t="shared" si="3"/>
        <v>92593</v>
      </c>
      <c r="AI6" s="80">
        <f t="shared" si="4"/>
        <v>0</v>
      </c>
      <c r="AJ6" s="80">
        <f t="shared" si="5"/>
        <v>0</v>
      </c>
    </row>
    <row r="7" spans="1:36" s="80" customFormat="1" x14ac:dyDescent="0.3">
      <c r="B7" s="80" t="s">
        <v>110</v>
      </c>
      <c r="C7" s="249">
        <v>92582</v>
      </c>
      <c r="D7" s="299" t="s">
        <v>1459</v>
      </c>
      <c r="E7" s="299" t="e">
        <f>VLOOKUP(C:C,#REF!,1,FALSE)</f>
        <v>#REF!</v>
      </c>
      <c r="F7" s="249" t="s">
        <v>1436</v>
      </c>
      <c r="G7" s="249"/>
      <c r="H7" s="249"/>
      <c r="I7" s="249"/>
      <c r="J7" s="249"/>
      <c r="K7" s="80">
        <v>92613</v>
      </c>
      <c r="L7" s="80" t="s">
        <v>1455</v>
      </c>
      <c r="M7" s="80" t="s">
        <v>1436</v>
      </c>
      <c r="N7" s="80">
        <v>92614</v>
      </c>
      <c r="O7" s="80" t="s">
        <v>1456</v>
      </c>
      <c r="P7" s="80" t="s">
        <v>1436</v>
      </c>
      <c r="Q7" s="80">
        <v>92592</v>
      </c>
      <c r="R7" s="80" t="s">
        <v>1457</v>
      </c>
      <c r="S7" s="80" t="s">
        <v>1436</v>
      </c>
      <c r="T7" s="80">
        <v>92593</v>
      </c>
      <c r="U7" s="80" t="s">
        <v>1458</v>
      </c>
      <c r="V7" s="80" t="s">
        <v>1436</v>
      </c>
      <c r="W7" s="80">
        <v>0</v>
      </c>
      <c r="X7" s="80">
        <v>0</v>
      </c>
      <c r="Y7" s="80" t="e">
        <v>#N/A</v>
      </c>
      <c r="Z7" s="80">
        <v>0</v>
      </c>
      <c r="AA7" s="80">
        <v>0</v>
      </c>
      <c r="AB7" s="80" t="e">
        <v>#N/A</v>
      </c>
      <c r="AC7" s="80" t="s">
        <v>1223</v>
      </c>
      <c r="AE7" s="80">
        <f t="shared" si="0"/>
        <v>92613</v>
      </c>
      <c r="AF7" s="80">
        <f t="shared" si="1"/>
        <v>92614</v>
      </c>
      <c r="AG7" s="80">
        <f t="shared" si="2"/>
        <v>92592</v>
      </c>
      <c r="AH7" s="80">
        <f t="shared" si="3"/>
        <v>92593</v>
      </c>
      <c r="AI7" s="80">
        <f t="shared" si="4"/>
        <v>0</v>
      </c>
      <c r="AJ7" s="80">
        <f t="shared" si="5"/>
        <v>0</v>
      </c>
    </row>
    <row r="8" spans="1:36" s="80" customFormat="1" x14ac:dyDescent="0.3">
      <c r="B8" s="80" t="s">
        <v>110</v>
      </c>
      <c r="C8" s="249">
        <v>92583</v>
      </c>
      <c r="D8" s="299" t="s">
        <v>1460</v>
      </c>
      <c r="E8" s="299" t="e">
        <f>VLOOKUP(C:C,#REF!,1,FALSE)</f>
        <v>#REF!</v>
      </c>
      <c r="F8" s="249" t="s">
        <v>1436</v>
      </c>
      <c r="G8" s="249"/>
      <c r="H8" s="249"/>
      <c r="I8" s="249"/>
      <c r="J8" s="249"/>
      <c r="K8" s="80">
        <v>92613</v>
      </c>
      <c r="L8" s="80" t="s">
        <v>1455</v>
      </c>
      <c r="M8" s="80" t="s">
        <v>1436</v>
      </c>
      <c r="N8" s="80">
        <v>92614</v>
      </c>
      <c r="O8" s="80" t="s">
        <v>1456</v>
      </c>
      <c r="P8" s="80" t="s">
        <v>1436</v>
      </c>
      <c r="Q8" s="80">
        <v>92592</v>
      </c>
      <c r="R8" s="80" t="s">
        <v>1457</v>
      </c>
      <c r="S8" s="80" t="s">
        <v>1436</v>
      </c>
      <c r="T8" s="80">
        <v>92593</v>
      </c>
      <c r="U8" s="80" t="s">
        <v>1458</v>
      </c>
      <c r="V8" s="80" t="s">
        <v>1436</v>
      </c>
      <c r="W8" s="80">
        <v>0</v>
      </c>
      <c r="X8" s="80">
        <v>0</v>
      </c>
      <c r="Y8" s="80" t="e">
        <v>#N/A</v>
      </c>
      <c r="Z8" s="80">
        <v>0</v>
      </c>
      <c r="AA8" s="80">
        <v>0</v>
      </c>
      <c r="AB8" s="80" t="e">
        <v>#N/A</v>
      </c>
      <c r="AC8" s="80" t="s">
        <v>1224</v>
      </c>
      <c r="AE8" s="80">
        <f t="shared" si="0"/>
        <v>92613</v>
      </c>
      <c r="AF8" s="80">
        <f t="shared" si="1"/>
        <v>92614</v>
      </c>
      <c r="AG8" s="80">
        <f t="shared" si="2"/>
        <v>92592</v>
      </c>
      <c r="AH8" s="80">
        <f t="shared" si="3"/>
        <v>92593</v>
      </c>
      <c r="AI8" s="80">
        <f t="shared" si="4"/>
        <v>0</v>
      </c>
      <c r="AJ8" s="80">
        <f t="shared" si="5"/>
        <v>0</v>
      </c>
    </row>
    <row r="9" spans="1:36" s="80" customFormat="1" x14ac:dyDescent="0.3">
      <c r="A9" s="80" t="s">
        <v>1461</v>
      </c>
      <c r="B9" s="80" t="s">
        <v>110</v>
      </c>
      <c r="C9" s="249" t="s">
        <v>810</v>
      </c>
      <c r="D9" s="299" t="s">
        <v>1462</v>
      </c>
      <c r="E9" s="299" t="e">
        <f>VLOOKUP(C:C,#REF!,1,FALSE)</f>
        <v>#REF!</v>
      </c>
      <c r="F9" s="249" t="s">
        <v>1437</v>
      </c>
      <c r="G9" s="249">
        <v>1</v>
      </c>
      <c r="H9" s="249">
        <v>1</v>
      </c>
      <c r="I9" s="249" t="s">
        <v>1222</v>
      </c>
      <c r="J9" s="249">
        <v>0</v>
      </c>
      <c r="K9" s="80" t="s">
        <v>113</v>
      </c>
      <c r="L9" s="80" t="s">
        <v>1028</v>
      </c>
      <c r="M9" s="80" t="s">
        <v>1438</v>
      </c>
      <c r="N9" s="80" t="s">
        <v>119</v>
      </c>
      <c r="O9" s="80" t="s">
        <v>1029</v>
      </c>
      <c r="P9" s="80" t="s">
        <v>1438</v>
      </c>
      <c r="Q9" s="80">
        <v>0</v>
      </c>
      <c r="R9" s="80">
        <v>0</v>
      </c>
      <c r="S9" s="80" t="e">
        <v>#N/A</v>
      </c>
      <c r="T9" s="80">
        <v>0</v>
      </c>
      <c r="U9" s="80">
        <v>0</v>
      </c>
      <c r="V9" s="80" t="e">
        <v>#N/A</v>
      </c>
      <c r="W9" s="80">
        <v>0</v>
      </c>
      <c r="X9" s="80">
        <v>0</v>
      </c>
      <c r="Y9" s="80" t="e">
        <v>#N/A</v>
      </c>
      <c r="Z9" s="80">
        <v>0</v>
      </c>
      <c r="AA9" s="80">
        <v>0</v>
      </c>
      <c r="AB9" s="80" t="e">
        <v>#N/A</v>
      </c>
      <c r="AC9" s="80" t="s">
        <v>1222</v>
      </c>
      <c r="AE9" s="80" t="str">
        <f t="shared" si="0"/>
        <v>92590T</v>
      </c>
      <c r="AF9" s="80" t="str">
        <f t="shared" si="1"/>
        <v>92591T</v>
      </c>
      <c r="AG9" s="80">
        <f t="shared" si="2"/>
        <v>0</v>
      </c>
      <c r="AH9" s="80">
        <f t="shared" si="3"/>
        <v>0</v>
      </c>
      <c r="AI9" s="80">
        <f t="shared" si="4"/>
        <v>0</v>
      </c>
      <c r="AJ9" s="80">
        <f t="shared" si="5"/>
        <v>0</v>
      </c>
    </row>
    <row r="10" spans="1:36" s="80" customFormat="1" x14ac:dyDescent="0.3">
      <c r="A10" s="80" t="s">
        <v>1461</v>
      </c>
      <c r="B10" s="80" t="s">
        <v>110</v>
      </c>
      <c r="C10" s="249">
        <v>350863</v>
      </c>
      <c r="D10" s="299" t="s">
        <v>1463</v>
      </c>
      <c r="E10" s="299" t="e">
        <f>VLOOKUP(C:C,#REF!,1,FALSE)</f>
        <v>#REF!</v>
      </c>
      <c r="F10" s="249" t="s">
        <v>1438</v>
      </c>
      <c r="G10" s="249">
        <v>1</v>
      </c>
      <c r="H10" s="249">
        <v>1</v>
      </c>
      <c r="I10" s="249" t="s">
        <v>1222</v>
      </c>
      <c r="J10" s="249">
        <v>0</v>
      </c>
      <c r="K10" s="80">
        <v>315856</v>
      </c>
      <c r="L10" s="80" t="s">
        <v>1464</v>
      </c>
      <c r="M10" s="80" t="s">
        <v>1438</v>
      </c>
      <c r="N10" s="80">
        <v>92596</v>
      </c>
      <c r="O10" s="80" t="s">
        <v>1024</v>
      </c>
      <c r="P10" s="80" t="s">
        <v>1438</v>
      </c>
      <c r="Q10" s="80">
        <v>92597</v>
      </c>
      <c r="R10" s="80" t="s">
        <v>1025</v>
      </c>
      <c r="S10" s="80" t="s">
        <v>1438</v>
      </c>
      <c r="T10" s="80">
        <v>350868</v>
      </c>
      <c r="U10" s="80" t="s">
        <v>1465</v>
      </c>
      <c r="V10" s="80" t="s">
        <v>1437</v>
      </c>
      <c r="W10" s="80">
        <v>92598</v>
      </c>
      <c r="X10" s="80" t="s">
        <v>1026</v>
      </c>
      <c r="Y10" s="80" t="s">
        <v>1438</v>
      </c>
      <c r="Z10" s="80">
        <v>92599</v>
      </c>
      <c r="AA10" s="80" t="s">
        <v>1027</v>
      </c>
      <c r="AB10" s="80" t="s">
        <v>1438</v>
      </c>
      <c r="AC10" s="80" t="s">
        <v>1222</v>
      </c>
      <c r="AE10" s="80">
        <f t="shared" si="0"/>
        <v>315856</v>
      </c>
      <c r="AF10" s="80">
        <f t="shared" si="1"/>
        <v>92596</v>
      </c>
      <c r="AG10" s="80">
        <f t="shared" si="2"/>
        <v>92597</v>
      </c>
      <c r="AH10" s="80">
        <f t="shared" si="3"/>
        <v>350868</v>
      </c>
      <c r="AI10" s="80">
        <f t="shared" si="4"/>
        <v>92598</v>
      </c>
      <c r="AJ10" s="80">
        <f t="shared" si="5"/>
        <v>92599</v>
      </c>
    </row>
    <row r="11" spans="1:36" s="80" customFormat="1" x14ac:dyDescent="0.3">
      <c r="A11" s="80" t="s">
        <v>1466</v>
      </c>
      <c r="B11" s="80" t="s">
        <v>110</v>
      </c>
      <c r="C11" s="249">
        <v>350864</v>
      </c>
      <c r="D11" s="299" t="s">
        <v>1467</v>
      </c>
      <c r="E11" s="299" t="e">
        <f>VLOOKUP(C:C,#REF!,1,FALSE)</f>
        <v>#REF!</v>
      </c>
      <c r="F11" s="249" t="s">
        <v>1438</v>
      </c>
      <c r="G11" s="249">
        <v>1</v>
      </c>
      <c r="H11" s="249">
        <v>0</v>
      </c>
      <c r="I11" s="249" t="s">
        <v>1222</v>
      </c>
      <c r="J11" s="249">
        <v>1</v>
      </c>
      <c r="K11" s="80">
        <v>315856</v>
      </c>
      <c r="L11" s="80" t="s">
        <v>1464</v>
      </c>
      <c r="M11" s="80" t="s">
        <v>1438</v>
      </c>
      <c r="N11" s="80">
        <v>92596</v>
      </c>
      <c r="O11" s="80" t="s">
        <v>1024</v>
      </c>
      <c r="P11" s="80" t="s">
        <v>1438</v>
      </c>
      <c r="Q11" s="80">
        <v>92597</v>
      </c>
      <c r="R11" s="80" t="s">
        <v>1025</v>
      </c>
      <c r="S11" s="80" t="s">
        <v>1438</v>
      </c>
      <c r="T11" s="80">
        <v>350868</v>
      </c>
      <c r="U11" s="80" t="s">
        <v>1465</v>
      </c>
      <c r="V11" s="80" t="s">
        <v>1437</v>
      </c>
      <c r="W11" s="80">
        <v>92598</v>
      </c>
      <c r="X11" s="80" t="s">
        <v>1026</v>
      </c>
      <c r="Y11" s="80" t="s">
        <v>1438</v>
      </c>
      <c r="Z11" s="80">
        <v>92599</v>
      </c>
      <c r="AA11" s="80" t="s">
        <v>1027</v>
      </c>
      <c r="AB11" s="80" t="s">
        <v>1438</v>
      </c>
      <c r="AC11" s="80" t="s">
        <v>1222</v>
      </c>
      <c r="AE11" s="80">
        <f t="shared" si="0"/>
        <v>315856</v>
      </c>
      <c r="AF11" s="80">
        <f t="shared" si="1"/>
        <v>92596</v>
      </c>
      <c r="AG11" s="80">
        <f t="shared" si="2"/>
        <v>92597</v>
      </c>
      <c r="AH11" s="80">
        <f t="shared" si="3"/>
        <v>350868</v>
      </c>
      <c r="AI11" s="80">
        <f t="shared" si="4"/>
        <v>92598</v>
      </c>
      <c r="AJ11" s="80">
        <f t="shared" si="5"/>
        <v>92599</v>
      </c>
    </row>
    <row r="12" spans="1:36" s="80" customFormat="1" x14ac:dyDescent="0.3">
      <c r="A12" s="80" t="s">
        <v>1461</v>
      </c>
      <c r="B12" s="80" t="s">
        <v>110</v>
      </c>
      <c r="C12" s="249" t="s">
        <v>114</v>
      </c>
      <c r="D12" s="299" t="s">
        <v>1468</v>
      </c>
      <c r="E12" s="299" t="e">
        <f>VLOOKUP(C:C,#REF!,1,FALSE)</f>
        <v>#REF!</v>
      </c>
      <c r="F12" s="249" t="s">
        <v>1438</v>
      </c>
      <c r="G12" s="249">
        <v>0</v>
      </c>
      <c r="H12" s="249">
        <v>1</v>
      </c>
      <c r="I12" s="249" t="s">
        <v>1222</v>
      </c>
      <c r="J12" s="300">
        <v>0</v>
      </c>
      <c r="K12" s="80" t="s">
        <v>113</v>
      </c>
      <c r="L12" s="80" t="s">
        <v>1028</v>
      </c>
      <c r="M12" s="80" t="s">
        <v>1438</v>
      </c>
      <c r="N12" s="80" t="s">
        <v>148</v>
      </c>
      <c r="O12" s="80" t="s">
        <v>1469</v>
      </c>
      <c r="P12" s="80" t="s">
        <v>1437</v>
      </c>
      <c r="Q12" s="80" t="s">
        <v>117</v>
      </c>
      <c r="R12" s="80" t="s">
        <v>1470</v>
      </c>
      <c r="S12" s="80" t="s">
        <v>1438</v>
      </c>
      <c r="T12" s="80" t="s">
        <v>119</v>
      </c>
      <c r="U12" s="80">
        <v>0</v>
      </c>
      <c r="V12" s="80" t="s">
        <v>1438</v>
      </c>
      <c r="W12" s="80" t="s">
        <v>146</v>
      </c>
      <c r="X12" s="80">
        <v>0</v>
      </c>
      <c r="Y12" s="80" t="s">
        <v>1438</v>
      </c>
      <c r="Z12" s="80">
        <v>0</v>
      </c>
      <c r="AA12" s="80">
        <v>0</v>
      </c>
      <c r="AB12" s="80" t="e">
        <v>#N/A</v>
      </c>
      <c r="AC12" s="80" t="s">
        <v>1222</v>
      </c>
      <c r="AE12" s="80" t="str">
        <f t="shared" si="0"/>
        <v>92590T</v>
      </c>
      <c r="AF12" s="80" t="str">
        <f t="shared" si="1"/>
        <v>92592T</v>
      </c>
      <c r="AG12" s="80" t="str">
        <f t="shared" si="2"/>
        <v>92594T</v>
      </c>
      <c r="AH12" s="80" t="str">
        <f t="shared" si="3"/>
        <v>92591T</v>
      </c>
      <c r="AI12" s="80" t="str">
        <f t="shared" si="4"/>
        <v>92593T</v>
      </c>
      <c r="AJ12" s="80">
        <f t="shared" si="5"/>
        <v>0</v>
      </c>
    </row>
    <row r="13" spans="1:36" s="80" customFormat="1" x14ac:dyDescent="0.3">
      <c r="A13" s="80" t="s">
        <v>1461</v>
      </c>
      <c r="B13" s="80" t="s">
        <v>110</v>
      </c>
      <c r="C13" s="249" t="s">
        <v>115</v>
      </c>
      <c r="D13" s="299" t="s">
        <v>1471</v>
      </c>
      <c r="E13" s="299" t="e">
        <f>VLOOKUP(C:C,#REF!,1,FALSE)</f>
        <v>#REF!</v>
      </c>
      <c r="F13" s="249" t="s">
        <v>1438</v>
      </c>
      <c r="G13" s="249">
        <v>0</v>
      </c>
      <c r="H13" s="249">
        <v>1</v>
      </c>
      <c r="I13" s="249" t="s">
        <v>1223</v>
      </c>
      <c r="J13" s="300">
        <v>0</v>
      </c>
      <c r="K13" s="80" t="s">
        <v>113</v>
      </c>
      <c r="L13" s="80" t="s">
        <v>1028</v>
      </c>
      <c r="M13" s="80" t="s">
        <v>1438</v>
      </c>
      <c r="N13" s="80" t="s">
        <v>148</v>
      </c>
      <c r="O13" s="80" t="s">
        <v>1469</v>
      </c>
      <c r="P13" s="80" t="s">
        <v>1437</v>
      </c>
      <c r="Q13" s="80" t="s">
        <v>117</v>
      </c>
      <c r="R13" s="80" t="s">
        <v>1470</v>
      </c>
      <c r="S13" s="80" t="s">
        <v>1438</v>
      </c>
      <c r="T13" s="80" t="s">
        <v>119</v>
      </c>
      <c r="U13" s="80">
        <v>0</v>
      </c>
      <c r="V13" s="80" t="s">
        <v>1438</v>
      </c>
      <c r="W13" s="80" t="s">
        <v>146</v>
      </c>
      <c r="X13" s="80">
        <v>0</v>
      </c>
      <c r="Y13" s="80" t="s">
        <v>1438</v>
      </c>
      <c r="Z13" s="80">
        <v>0</v>
      </c>
      <c r="AA13" s="80">
        <v>0</v>
      </c>
      <c r="AB13" s="80" t="e">
        <v>#N/A</v>
      </c>
      <c r="AC13" s="80" t="s">
        <v>1223</v>
      </c>
      <c r="AE13" s="80" t="str">
        <f t="shared" si="0"/>
        <v>92590T</v>
      </c>
      <c r="AF13" s="80" t="str">
        <f t="shared" si="1"/>
        <v>92592T</v>
      </c>
      <c r="AG13" s="80" t="str">
        <f t="shared" si="2"/>
        <v>92594T</v>
      </c>
      <c r="AH13" s="80" t="str">
        <f t="shared" si="3"/>
        <v>92591T</v>
      </c>
      <c r="AI13" s="80" t="str">
        <f t="shared" si="4"/>
        <v>92593T</v>
      </c>
      <c r="AJ13" s="80">
        <f t="shared" si="5"/>
        <v>0</v>
      </c>
    </row>
    <row r="14" spans="1:36" s="80" customFormat="1" x14ac:dyDescent="0.3">
      <c r="A14" s="80" t="s">
        <v>1461</v>
      </c>
      <c r="B14" s="80" t="s">
        <v>110</v>
      </c>
      <c r="C14" s="249" t="s">
        <v>116</v>
      </c>
      <c r="D14" s="299" t="s">
        <v>1472</v>
      </c>
      <c r="E14" s="299" t="e">
        <f>VLOOKUP(C:C,#REF!,1,FALSE)</f>
        <v>#REF!</v>
      </c>
      <c r="F14" s="249" t="s">
        <v>1437</v>
      </c>
      <c r="G14" s="249">
        <v>0</v>
      </c>
      <c r="H14" s="249">
        <v>1</v>
      </c>
      <c r="I14" s="249" t="s">
        <v>1224</v>
      </c>
      <c r="J14" s="300">
        <v>0</v>
      </c>
      <c r="K14" s="80" t="s">
        <v>113</v>
      </c>
      <c r="L14" s="80" t="s">
        <v>1028</v>
      </c>
      <c r="M14" s="80" t="s">
        <v>1438</v>
      </c>
      <c r="N14" s="80" t="s">
        <v>148</v>
      </c>
      <c r="O14" s="80" t="s">
        <v>1469</v>
      </c>
      <c r="P14" s="80" t="s">
        <v>1437</v>
      </c>
      <c r="Q14" s="80" t="s">
        <v>117</v>
      </c>
      <c r="R14" s="80" t="s">
        <v>1470</v>
      </c>
      <c r="S14" s="80" t="s">
        <v>1438</v>
      </c>
      <c r="T14" s="80" t="s">
        <v>119</v>
      </c>
      <c r="U14" s="80">
        <v>0</v>
      </c>
      <c r="V14" s="80" t="s">
        <v>1438</v>
      </c>
      <c r="W14" s="80" t="s">
        <v>146</v>
      </c>
      <c r="X14" s="80">
        <v>0</v>
      </c>
      <c r="Y14" s="80" t="s">
        <v>1438</v>
      </c>
      <c r="Z14" s="80">
        <v>0</v>
      </c>
      <c r="AA14" s="80">
        <v>0</v>
      </c>
      <c r="AB14" s="80" t="e">
        <v>#N/A</v>
      </c>
      <c r="AC14" s="80" t="s">
        <v>1224</v>
      </c>
      <c r="AE14" s="80" t="str">
        <f t="shared" si="0"/>
        <v>92590T</v>
      </c>
      <c r="AF14" s="80" t="str">
        <f t="shared" si="1"/>
        <v>92592T</v>
      </c>
      <c r="AG14" s="80" t="str">
        <f t="shared" si="2"/>
        <v>92594T</v>
      </c>
      <c r="AH14" s="80" t="str">
        <f t="shared" si="3"/>
        <v>92591T</v>
      </c>
      <c r="AI14" s="80" t="str">
        <f t="shared" si="4"/>
        <v>92593T</v>
      </c>
      <c r="AJ14" s="80">
        <f t="shared" si="5"/>
        <v>0</v>
      </c>
    </row>
    <row r="15" spans="1:36" s="80" customFormat="1" x14ac:dyDescent="0.3">
      <c r="A15" s="80" t="s">
        <v>1461</v>
      </c>
      <c r="B15" s="80" t="s">
        <v>110</v>
      </c>
      <c r="C15" s="249" t="s">
        <v>118</v>
      </c>
      <c r="D15" s="299" t="s">
        <v>1473</v>
      </c>
      <c r="E15" s="299" t="e">
        <f>VLOOKUP(C:C,#REF!,1,FALSE)</f>
        <v>#REF!</v>
      </c>
      <c r="F15" s="249" t="s">
        <v>1438</v>
      </c>
      <c r="G15" s="249">
        <v>0</v>
      </c>
      <c r="H15" s="249">
        <v>1</v>
      </c>
      <c r="I15" s="249" t="s">
        <v>1225</v>
      </c>
      <c r="J15" s="300">
        <v>0</v>
      </c>
      <c r="K15" s="80" t="s">
        <v>113</v>
      </c>
      <c r="L15" s="80" t="s">
        <v>1028</v>
      </c>
      <c r="M15" s="80" t="s">
        <v>1438</v>
      </c>
      <c r="N15" s="80" t="s">
        <v>148</v>
      </c>
      <c r="O15" s="80" t="s">
        <v>1469</v>
      </c>
      <c r="P15" s="80" t="s">
        <v>1437</v>
      </c>
      <c r="Q15" s="80" t="s">
        <v>117</v>
      </c>
      <c r="R15" s="80" t="s">
        <v>1470</v>
      </c>
      <c r="S15" s="80" t="s">
        <v>1438</v>
      </c>
      <c r="T15" s="80" t="s">
        <v>119</v>
      </c>
      <c r="U15" s="80">
        <v>0</v>
      </c>
      <c r="V15" s="80" t="s">
        <v>1438</v>
      </c>
      <c r="W15" s="80" t="s">
        <v>146</v>
      </c>
      <c r="X15" s="80">
        <v>0</v>
      </c>
      <c r="Y15" s="80" t="s">
        <v>1438</v>
      </c>
      <c r="Z15" s="80">
        <v>0</v>
      </c>
      <c r="AA15" s="80">
        <v>0</v>
      </c>
      <c r="AB15" s="80" t="e">
        <v>#N/A</v>
      </c>
      <c r="AC15" s="80" t="s">
        <v>1225</v>
      </c>
      <c r="AE15" s="80" t="str">
        <f t="shared" si="0"/>
        <v>92590T</v>
      </c>
      <c r="AF15" s="80" t="str">
        <f t="shared" si="1"/>
        <v>92592T</v>
      </c>
      <c r="AG15" s="80" t="str">
        <f t="shared" si="2"/>
        <v>92594T</v>
      </c>
      <c r="AH15" s="80" t="str">
        <f t="shared" si="3"/>
        <v>92591T</v>
      </c>
      <c r="AI15" s="80" t="str">
        <f t="shared" si="4"/>
        <v>92593T</v>
      </c>
      <c r="AJ15" s="80">
        <f t="shared" si="5"/>
        <v>0</v>
      </c>
    </row>
    <row r="16" spans="1:36" s="80" customFormat="1" x14ac:dyDescent="0.3">
      <c r="A16" s="80" t="s">
        <v>1461</v>
      </c>
      <c r="B16" s="80" t="s">
        <v>110</v>
      </c>
      <c r="C16" s="249">
        <v>350827</v>
      </c>
      <c r="D16" s="301" t="s">
        <v>1474</v>
      </c>
      <c r="E16" s="299" t="e">
        <f>VLOOKUP(C:C,#REF!,1,FALSE)</f>
        <v>#REF!</v>
      </c>
      <c r="F16" s="249" t="s">
        <v>1438</v>
      </c>
      <c r="G16" s="249">
        <v>0</v>
      </c>
      <c r="H16" s="249">
        <v>1</v>
      </c>
      <c r="I16" s="249" t="s">
        <v>1222</v>
      </c>
      <c r="J16" s="300">
        <v>0</v>
      </c>
      <c r="K16" s="80">
        <v>315856</v>
      </c>
      <c r="L16" s="80" t="s">
        <v>1464</v>
      </c>
      <c r="M16" s="80" t="s">
        <v>1438</v>
      </c>
      <c r="N16" s="80">
        <v>92596</v>
      </c>
      <c r="O16" s="80" t="s">
        <v>1024</v>
      </c>
      <c r="P16" s="80" t="s">
        <v>1438</v>
      </c>
      <c r="Q16" s="80">
        <v>92597</v>
      </c>
      <c r="R16" s="80" t="s">
        <v>1025</v>
      </c>
      <c r="S16" s="80" t="s">
        <v>1438</v>
      </c>
      <c r="T16" s="80">
        <v>350868</v>
      </c>
      <c r="U16" s="80" t="s">
        <v>1465</v>
      </c>
      <c r="V16" s="80" t="s">
        <v>1437</v>
      </c>
      <c r="W16" s="80">
        <v>92598</v>
      </c>
      <c r="X16" s="80" t="s">
        <v>1026</v>
      </c>
      <c r="Y16" s="80" t="s">
        <v>1438</v>
      </c>
      <c r="Z16" s="80">
        <v>92599</v>
      </c>
      <c r="AA16" s="80" t="s">
        <v>1027</v>
      </c>
      <c r="AB16" s="80" t="s">
        <v>1438</v>
      </c>
      <c r="AC16" s="80" t="s">
        <v>1222</v>
      </c>
      <c r="AE16" s="80">
        <f t="shared" si="0"/>
        <v>315856</v>
      </c>
      <c r="AF16" s="80">
        <f t="shared" si="1"/>
        <v>92596</v>
      </c>
      <c r="AG16" s="80">
        <f t="shared" si="2"/>
        <v>92597</v>
      </c>
      <c r="AH16" s="80">
        <f t="shared" si="3"/>
        <v>350868</v>
      </c>
      <c r="AI16" s="80">
        <f t="shared" si="4"/>
        <v>92598</v>
      </c>
      <c r="AJ16" s="80">
        <f t="shared" si="5"/>
        <v>92599</v>
      </c>
    </row>
    <row r="17" spans="1:36" s="80" customFormat="1" x14ac:dyDescent="0.3">
      <c r="A17" s="80" t="s">
        <v>1517</v>
      </c>
      <c r="B17" s="80" t="s">
        <v>110</v>
      </c>
      <c r="C17" s="249">
        <v>350837</v>
      </c>
      <c r="D17" s="301" t="s">
        <v>1475</v>
      </c>
      <c r="E17" s="299" t="e">
        <f>VLOOKUP(C:C,#REF!,1,FALSE)</f>
        <v>#REF!</v>
      </c>
      <c r="F17" s="249" t="s">
        <v>1438</v>
      </c>
      <c r="G17" s="249">
        <v>0</v>
      </c>
      <c r="H17" s="249">
        <v>0</v>
      </c>
      <c r="I17" s="249" t="s">
        <v>1222</v>
      </c>
      <c r="J17" s="300">
        <v>1</v>
      </c>
      <c r="K17" s="80">
        <v>315856</v>
      </c>
      <c r="L17" s="80" t="s">
        <v>1464</v>
      </c>
      <c r="M17" s="80" t="s">
        <v>1438</v>
      </c>
      <c r="N17" s="80">
        <v>92596</v>
      </c>
      <c r="O17" s="80" t="s">
        <v>1024</v>
      </c>
      <c r="P17" s="80" t="s">
        <v>1438</v>
      </c>
      <c r="Q17" s="80">
        <v>92597</v>
      </c>
      <c r="R17" s="80" t="s">
        <v>1025</v>
      </c>
      <c r="S17" s="80" t="s">
        <v>1438</v>
      </c>
      <c r="T17" s="80">
        <v>350868</v>
      </c>
      <c r="U17" s="80" t="s">
        <v>1465</v>
      </c>
      <c r="V17" s="80" t="s">
        <v>1437</v>
      </c>
      <c r="W17" s="80">
        <v>92598</v>
      </c>
      <c r="X17" s="80" t="s">
        <v>1026</v>
      </c>
      <c r="Y17" s="80" t="s">
        <v>1438</v>
      </c>
      <c r="Z17" s="80">
        <v>92599</v>
      </c>
      <c r="AA17" s="80" t="s">
        <v>1027</v>
      </c>
      <c r="AB17" s="80" t="s">
        <v>1438</v>
      </c>
      <c r="AC17" s="80" t="s">
        <v>1222</v>
      </c>
      <c r="AE17" s="80">
        <f t="shared" si="0"/>
        <v>315856</v>
      </c>
      <c r="AF17" s="80">
        <f t="shared" si="1"/>
        <v>92596</v>
      </c>
      <c r="AG17" s="80">
        <f t="shared" si="2"/>
        <v>92597</v>
      </c>
      <c r="AH17" s="80">
        <f t="shared" si="3"/>
        <v>350868</v>
      </c>
      <c r="AI17" s="80">
        <f t="shared" si="4"/>
        <v>92598</v>
      </c>
      <c r="AJ17" s="80">
        <f t="shared" si="5"/>
        <v>92599</v>
      </c>
    </row>
    <row r="18" spans="1:36" s="80" customFormat="1" x14ac:dyDescent="0.3">
      <c r="A18" s="80" t="s">
        <v>1461</v>
      </c>
      <c r="B18" s="80" t="s">
        <v>110</v>
      </c>
      <c r="C18" s="249">
        <v>350828</v>
      </c>
      <c r="D18" s="301" t="s">
        <v>1476</v>
      </c>
      <c r="E18" s="299" t="e">
        <f>VLOOKUP(C:C,#REF!,1,FALSE)</f>
        <v>#REF!</v>
      </c>
      <c r="F18" s="249" t="s">
        <v>1438</v>
      </c>
      <c r="G18" s="249">
        <v>0</v>
      </c>
      <c r="H18" s="249">
        <v>1</v>
      </c>
      <c r="I18" s="249" t="s">
        <v>1223</v>
      </c>
      <c r="J18" s="300">
        <v>0</v>
      </c>
      <c r="K18" s="80">
        <v>315856</v>
      </c>
      <c r="L18" s="80" t="s">
        <v>1464</v>
      </c>
      <c r="M18" s="80" t="s">
        <v>1438</v>
      </c>
      <c r="N18" s="80">
        <v>92596</v>
      </c>
      <c r="O18" s="80" t="s">
        <v>1024</v>
      </c>
      <c r="P18" s="80" t="s">
        <v>1438</v>
      </c>
      <c r="Q18" s="80">
        <v>92597</v>
      </c>
      <c r="R18" s="80" t="s">
        <v>1025</v>
      </c>
      <c r="S18" s="80" t="s">
        <v>1438</v>
      </c>
      <c r="T18" s="80">
        <v>350868</v>
      </c>
      <c r="U18" s="80" t="s">
        <v>1465</v>
      </c>
      <c r="V18" s="80" t="s">
        <v>1437</v>
      </c>
      <c r="W18" s="80">
        <v>92598</v>
      </c>
      <c r="X18" s="80" t="s">
        <v>1026</v>
      </c>
      <c r="Y18" s="80" t="s">
        <v>1438</v>
      </c>
      <c r="Z18" s="80">
        <v>92599</v>
      </c>
      <c r="AA18" s="80" t="s">
        <v>1027</v>
      </c>
      <c r="AB18" s="80" t="s">
        <v>1438</v>
      </c>
      <c r="AC18" s="80" t="s">
        <v>1223</v>
      </c>
      <c r="AE18" s="80">
        <f t="shared" si="0"/>
        <v>315856</v>
      </c>
      <c r="AF18" s="80">
        <f t="shared" si="1"/>
        <v>92596</v>
      </c>
      <c r="AG18" s="80">
        <f t="shared" si="2"/>
        <v>92597</v>
      </c>
      <c r="AH18" s="80">
        <f t="shared" si="3"/>
        <v>350868</v>
      </c>
      <c r="AI18" s="80">
        <f t="shared" si="4"/>
        <v>92598</v>
      </c>
      <c r="AJ18" s="80">
        <f t="shared" si="5"/>
        <v>92599</v>
      </c>
    </row>
    <row r="19" spans="1:36" s="80" customFormat="1" x14ac:dyDescent="0.3">
      <c r="A19" s="80" t="s">
        <v>1517</v>
      </c>
      <c r="B19" s="80" t="s">
        <v>110</v>
      </c>
      <c r="C19" s="249">
        <v>350838</v>
      </c>
      <c r="D19" s="301" t="s">
        <v>1477</v>
      </c>
      <c r="E19" s="299" t="e">
        <f>VLOOKUP(C:C,#REF!,1,FALSE)</f>
        <v>#REF!</v>
      </c>
      <c r="F19" s="249" t="s">
        <v>1438</v>
      </c>
      <c r="G19" s="249">
        <v>0</v>
      </c>
      <c r="H19" s="249">
        <v>0</v>
      </c>
      <c r="I19" s="249" t="s">
        <v>1223</v>
      </c>
      <c r="J19" s="300">
        <v>1</v>
      </c>
      <c r="K19" s="80">
        <v>315856</v>
      </c>
      <c r="L19" s="80" t="s">
        <v>1464</v>
      </c>
      <c r="M19" s="80" t="s">
        <v>1438</v>
      </c>
      <c r="N19" s="80">
        <v>92596</v>
      </c>
      <c r="O19" s="80" t="s">
        <v>1024</v>
      </c>
      <c r="P19" s="80" t="s">
        <v>1438</v>
      </c>
      <c r="Q19" s="80">
        <v>92597</v>
      </c>
      <c r="R19" s="80" t="s">
        <v>1025</v>
      </c>
      <c r="S19" s="80" t="s">
        <v>1438</v>
      </c>
      <c r="T19" s="80">
        <v>350868</v>
      </c>
      <c r="U19" s="80" t="s">
        <v>1465</v>
      </c>
      <c r="V19" s="80" t="s">
        <v>1437</v>
      </c>
      <c r="W19" s="80">
        <v>92598</v>
      </c>
      <c r="X19" s="80" t="s">
        <v>1026</v>
      </c>
      <c r="Y19" s="80" t="s">
        <v>1438</v>
      </c>
      <c r="Z19" s="80">
        <v>92599</v>
      </c>
      <c r="AA19" s="80" t="s">
        <v>1027</v>
      </c>
      <c r="AB19" s="80" t="s">
        <v>1438</v>
      </c>
      <c r="AC19" s="80" t="s">
        <v>1223</v>
      </c>
      <c r="AE19" s="80">
        <f t="shared" si="0"/>
        <v>315856</v>
      </c>
      <c r="AF19" s="80">
        <f t="shared" si="1"/>
        <v>92596</v>
      </c>
      <c r="AG19" s="80">
        <f t="shared" si="2"/>
        <v>92597</v>
      </c>
      <c r="AH19" s="80">
        <f t="shared" si="3"/>
        <v>350868</v>
      </c>
      <c r="AI19" s="80">
        <f t="shared" si="4"/>
        <v>92598</v>
      </c>
      <c r="AJ19" s="80">
        <f t="shared" si="5"/>
        <v>92599</v>
      </c>
    </row>
    <row r="20" spans="1:36" s="80" customFormat="1" x14ac:dyDescent="0.3">
      <c r="A20" s="80" t="s">
        <v>1461</v>
      </c>
      <c r="B20" s="80" t="s">
        <v>110</v>
      </c>
      <c r="C20" s="249">
        <v>350829</v>
      </c>
      <c r="D20" s="301" t="s">
        <v>1478</v>
      </c>
      <c r="E20" s="299" t="e">
        <f>VLOOKUP(C:C,#REF!,1,FALSE)</f>
        <v>#REF!</v>
      </c>
      <c r="F20" s="249" t="s">
        <v>1438</v>
      </c>
      <c r="G20" s="249">
        <v>0</v>
      </c>
      <c r="H20" s="249">
        <v>1</v>
      </c>
      <c r="I20" s="249" t="s">
        <v>1224</v>
      </c>
      <c r="J20" s="300">
        <v>0</v>
      </c>
      <c r="K20" s="80">
        <v>315856</v>
      </c>
      <c r="L20" s="80" t="s">
        <v>1464</v>
      </c>
      <c r="M20" s="80" t="s">
        <v>1438</v>
      </c>
      <c r="N20" s="80">
        <v>92596</v>
      </c>
      <c r="O20" s="80" t="s">
        <v>1024</v>
      </c>
      <c r="P20" s="80" t="s">
        <v>1438</v>
      </c>
      <c r="Q20" s="80">
        <v>92597</v>
      </c>
      <c r="R20" s="80" t="s">
        <v>1025</v>
      </c>
      <c r="S20" s="80" t="s">
        <v>1438</v>
      </c>
      <c r="T20" s="80">
        <v>350868</v>
      </c>
      <c r="U20" s="80" t="s">
        <v>1465</v>
      </c>
      <c r="V20" s="80" t="s">
        <v>1437</v>
      </c>
      <c r="W20" s="80">
        <v>92598</v>
      </c>
      <c r="X20" s="80" t="s">
        <v>1026</v>
      </c>
      <c r="Y20" s="80" t="s">
        <v>1438</v>
      </c>
      <c r="Z20" s="80">
        <v>92599</v>
      </c>
      <c r="AA20" s="80" t="s">
        <v>1027</v>
      </c>
      <c r="AB20" s="80" t="s">
        <v>1438</v>
      </c>
      <c r="AC20" s="80" t="s">
        <v>1224</v>
      </c>
      <c r="AE20" s="80">
        <f t="shared" si="0"/>
        <v>315856</v>
      </c>
      <c r="AF20" s="80">
        <f t="shared" si="1"/>
        <v>92596</v>
      </c>
      <c r="AG20" s="80">
        <f t="shared" si="2"/>
        <v>92597</v>
      </c>
      <c r="AH20" s="80">
        <f t="shared" si="3"/>
        <v>350868</v>
      </c>
      <c r="AI20" s="80">
        <f t="shared" si="4"/>
        <v>92598</v>
      </c>
      <c r="AJ20" s="80">
        <f t="shared" si="5"/>
        <v>92599</v>
      </c>
    </row>
    <row r="21" spans="1:36" s="80" customFormat="1" x14ac:dyDescent="0.3">
      <c r="A21" s="80" t="s">
        <v>1517</v>
      </c>
      <c r="B21" s="80" t="s">
        <v>110</v>
      </c>
      <c r="C21" s="249">
        <v>350839</v>
      </c>
      <c r="D21" s="301" t="s">
        <v>1479</v>
      </c>
      <c r="E21" s="299" t="e">
        <f>VLOOKUP(C:C,#REF!,1,FALSE)</f>
        <v>#REF!</v>
      </c>
      <c r="F21" s="249" t="s">
        <v>1438</v>
      </c>
      <c r="G21" s="249">
        <v>0</v>
      </c>
      <c r="H21" s="249">
        <v>0</v>
      </c>
      <c r="I21" s="249" t="s">
        <v>1224</v>
      </c>
      <c r="J21" s="300">
        <v>1</v>
      </c>
      <c r="K21" s="80">
        <v>315856</v>
      </c>
      <c r="L21" s="80" t="s">
        <v>1464</v>
      </c>
      <c r="M21" s="80" t="s">
        <v>1438</v>
      </c>
      <c r="N21" s="80">
        <v>92596</v>
      </c>
      <c r="O21" s="80" t="s">
        <v>1024</v>
      </c>
      <c r="P21" s="80" t="s">
        <v>1438</v>
      </c>
      <c r="Q21" s="80">
        <v>92597</v>
      </c>
      <c r="R21" s="80" t="s">
        <v>1025</v>
      </c>
      <c r="S21" s="80" t="s">
        <v>1438</v>
      </c>
      <c r="T21" s="80">
        <v>350868</v>
      </c>
      <c r="U21" s="80" t="s">
        <v>1465</v>
      </c>
      <c r="V21" s="80" t="s">
        <v>1437</v>
      </c>
      <c r="W21" s="80">
        <v>92598</v>
      </c>
      <c r="X21" s="80" t="s">
        <v>1026</v>
      </c>
      <c r="Y21" s="80" t="s">
        <v>1438</v>
      </c>
      <c r="Z21" s="80">
        <v>92599</v>
      </c>
      <c r="AA21" s="80" t="s">
        <v>1027</v>
      </c>
      <c r="AB21" s="80" t="s">
        <v>1438</v>
      </c>
      <c r="AC21" s="80" t="s">
        <v>1224</v>
      </c>
      <c r="AE21" s="80">
        <f t="shared" si="0"/>
        <v>315856</v>
      </c>
      <c r="AF21" s="80">
        <f t="shared" si="1"/>
        <v>92596</v>
      </c>
      <c r="AG21" s="80">
        <f t="shared" si="2"/>
        <v>92597</v>
      </c>
      <c r="AH21" s="80">
        <f t="shared" si="3"/>
        <v>350868</v>
      </c>
      <c r="AI21" s="80">
        <f t="shared" si="4"/>
        <v>92598</v>
      </c>
      <c r="AJ21" s="80">
        <f t="shared" si="5"/>
        <v>92599</v>
      </c>
    </row>
    <row r="22" spans="1:36" s="80" customFormat="1" x14ac:dyDescent="0.3">
      <c r="A22" s="80" t="s">
        <v>1461</v>
      </c>
      <c r="B22" s="80" t="s">
        <v>110</v>
      </c>
      <c r="C22" s="249">
        <v>350854</v>
      </c>
      <c r="D22" s="301" t="s">
        <v>1480</v>
      </c>
      <c r="E22" s="299" t="e">
        <f>VLOOKUP(C:C,#REF!,1,FALSE)</f>
        <v>#REF!</v>
      </c>
      <c r="F22" s="249" t="s">
        <v>1439</v>
      </c>
      <c r="G22" s="249">
        <v>0</v>
      </c>
      <c r="H22" s="249">
        <v>1</v>
      </c>
      <c r="I22" s="249" t="s">
        <v>1225</v>
      </c>
      <c r="J22" s="300">
        <v>0</v>
      </c>
      <c r="K22" s="80">
        <v>315856</v>
      </c>
      <c r="L22" s="80" t="s">
        <v>1464</v>
      </c>
      <c r="M22" s="80" t="s">
        <v>1438</v>
      </c>
      <c r="N22" s="80">
        <v>92596</v>
      </c>
      <c r="O22" s="80" t="s">
        <v>1024</v>
      </c>
      <c r="P22" s="80" t="s">
        <v>1438</v>
      </c>
      <c r="Q22" s="80">
        <v>92597</v>
      </c>
      <c r="R22" s="80" t="s">
        <v>1025</v>
      </c>
      <c r="S22" s="80" t="s">
        <v>1438</v>
      </c>
      <c r="T22" s="80">
        <v>350868</v>
      </c>
      <c r="U22" s="80" t="s">
        <v>1465</v>
      </c>
      <c r="V22" s="80" t="s">
        <v>1437</v>
      </c>
      <c r="W22" s="80">
        <v>92598</v>
      </c>
      <c r="X22" s="80" t="s">
        <v>1026</v>
      </c>
      <c r="Y22" s="80" t="s">
        <v>1438</v>
      </c>
      <c r="Z22" s="80">
        <v>92599</v>
      </c>
      <c r="AA22" s="80" t="s">
        <v>1027</v>
      </c>
      <c r="AB22" s="80" t="s">
        <v>1438</v>
      </c>
      <c r="AC22" s="80" t="s">
        <v>1225</v>
      </c>
      <c r="AE22" s="80">
        <f t="shared" si="0"/>
        <v>315856</v>
      </c>
      <c r="AF22" s="80">
        <f t="shared" si="1"/>
        <v>92596</v>
      </c>
      <c r="AG22" s="80">
        <f t="shared" si="2"/>
        <v>92597</v>
      </c>
      <c r="AH22" s="80">
        <f t="shared" si="3"/>
        <v>350868</v>
      </c>
      <c r="AI22" s="80">
        <f t="shared" si="4"/>
        <v>92598</v>
      </c>
      <c r="AJ22" s="80">
        <f t="shared" si="5"/>
        <v>92599</v>
      </c>
    </row>
    <row r="23" spans="1:36" s="80" customFormat="1" x14ac:dyDescent="0.3">
      <c r="A23" s="80" t="s">
        <v>1517</v>
      </c>
      <c r="B23" s="80" t="s">
        <v>110</v>
      </c>
      <c r="C23" s="249">
        <v>350856</v>
      </c>
      <c r="D23" s="301" t="s">
        <v>1481</v>
      </c>
      <c r="E23" s="299" t="e">
        <f>VLOOKUP(C:C,#REF!,1,FALSE)</f>
        <v>#REF!</v>
      </c>
      <c r="F23" s="249" t="s">
        <v>1439</v>
      </c>
      <c r="G23" s="249">
        <v>0</v>
      </c>
      <c r="H23" s="249">
        <v>0</v>
      </c>
      <c r="I23" s="249" t="s">
        <v>1225</v>
      </c>
      <c r="J23" s="300">
        <v>1</v>
      </c>
      <c r="K23" s="80">
        <v>315856</v>
      </c>
      <c r="L23" s="80" t="s">
        <v>1464</v>
      </c>
      <c r="M23" s="80" t="s">
        <v>1438</v>
      </c>
      <c r="N23" s="80">
        <v>92596</v>
      </c>
      <c r="O23" s="80" t="s">
        <v>1024</v>
      </c>
      <c r="P23" s="80" t="s">
        <v>1438</v>
      </c>
      <c r="Q23" s="80">
        <v>92597</v>
      </c>
      <c r="R23" s="80" t="s">
        <v>1025</v>
      </c>
      <c r="S23" s="80" t="s">
        <v>1438</v>
      </c>
      <c r="T23" s="80">
        <v>350868</v>
      </c>
      <c r="U23" s="80" t="s">
        <v>1465</v>
      </c>
      <c r="V23" s="80" t="s">
        <v>1437</v>
      </c>
      <c r="W23" s="80">
        <v>92598</v>
      </c>
      <c r="X23" s="80" t="s">
        <v>1026</v>
      </c>
      <c r="Y23" s="80" t="s">
        <v>1438</v>
      </c>
      <c r="Z23" s="80">
        <v>92599</v>
      </c>
      <c r="AA23" s="80" t="s">
        <v>1027</v>
      </c>
      <c r="AB23" s="80" t="s">
        <v>1438</v>
      </c>
      <c r="AC23" s="80" t="s">
        <v>1225</v>
      </c>
      <c r="AE23" s="80">
        <f t="shared" si="0"/>
        <v>315856</v>
      </c>
      <c r="AF23" s="80">
        <f t="shared" si="1"/>
        <v>92596</v>
      </c>
      <c r="AG23" s="80">
        <f t="shared" si="2"/>
        <v>92597</v>
      </c>
      <c r="AH23" s="80">
        <f t="shared" si="3"/>
        <v>350868</v>
      </c>
      <c r="AI23" s="80">
        <f t="shared" si="4"/>
        <v>92598</v>
      </c>
      <c r="AJ23" s="80">
        <f t="shared" si="5"/>
        <v>92599</v>
      </c>
    </row>
    <row r="24" spans="1:36" s="80" customFormat="1" x14ac:dyDescent="0.3">
      <c r="A24" s="80" t="s">
        <v>1033</v>
      </c>
      <c r="B24" s="80" t="s">
        <v>1033</v>
      </c>
      <c r="C24" s="249">
        <v>308058</v>
      </c>
      <c r="D24" s="299" t="s">
        <v>1482</v>
      </c>
      <c r="E24" s="299" t="e">
        <f>VLOOKUP(C:C,#REF!,1,FALSE)</f>
        <v>#REF!</v>
      </c>
      <c r="F24" s="249" t="s">
        <v>1437</v>
      </c>
      <c r="G24" s="249">
        <v>0</v>
      </c>
      <c r="H24" s="249">
        <v>1</v>
      </c>
      <c r="I24" s="249" t="s">
        <v>1222</v>
      </c>
      <c r="J24" s="300">
        <v>0</v>
      </c>
      <c r="K24" s="80">
        <v>106403</v>
      </c>
      <c r="L24" s="80" t="s">
        <v>1483</v>
      </c>
      <c r="M24" s="80" t="s">
        <v>1437</v>
      </c>
      <c r="N24" s="80">
        <v>119240</v>
      </c>
      <c r="O24" s="80" t="s">
        <v>1484</v>
      </c>
      <c r="P24" s="80" t="s">
        <v>1437</v>
      </c>
      <c r="Q24" s="80">
        <v>136276</v>
      </c>
      <c r="R24" s="80" t="s">
        <v>1485</v>
      </c>
      <c r="S24" s="80" t="s">
        <v>1437</v>
      </c>
      <c r="T24" s="80">
        <v>0</v>
      </c>
      <c r="U24" s="80">
        <v>0</v>
      </c>
      <c r="V24" s="80" t="e">
        <v>#N/A</v>
      </c>
      <c r="W24" s="80">
        <v>0</v>
      </c>
      <c r="X24" s="80">
        <v>0</v>
      </c>
      <c r="Y24" s="80" t="e">
        <v>#N/A</v>
      </c>
      <c r="Z24" s="80">
        <v>0</v>
      </c>
      <c r="AA24" s="80">
        <v>0</v>
      </c>
      <c r="AB24" s="80" t="e">
        <v>#N/A</v>
      </c>
      <c r="AC24" s="80" t="s">
        <v>1222</v>
      </c>
      <c r="AE24" s="80">
        <f t="shared" si="0"/>
        <v>106403</v>
      </c>
      <c r="AF24" s="80">
        <f t="shared" si="1"/>
        <v>119240</v>
      </c>
      <c r="AG24" s="80">
        <f t="shared" si="2"/>
        <v>136276</v>
      </c>
      <c r="AH24" s="80">
        <f t="shared" si="3"/>
        <v>0</v>
      </c>
      <c r="AI24" s="80">
        <f t="shared" si="4"/>
        <v>0</v>
      </c>
      <c r="AJ24" s="80">
        <f t="shared" si="5"/>
        <v>0</v>
      </c>
    </row>
    <row r="25" spans="1:36" s="80" customFormat="1" x14ac:dyDescent="0.3">
      <c r="A25" s="80" t="s">
        <v>1033</v>
      </c>
      <c r="B25" s="80" t="s">
        <v>1033</v>
      </c>
      <c r="C25" s="249">
        <v>308454</v>
      </c>
      <c r="D25" s="299" t="s">
        <v>1486</v>
      </c>
      <c r="E25" s="299" t="e">
        <f>VLOOKUP(C:C,#REF!,1,FALSE)</f>
        <v>#REF!</v>
      </c>
      <c r="F25" s="249" t="s">
        <v>1437</v>
      </c>
      <c r="G25" s="249">
        <v>0</v>
      </c>
      <c r="H25" s="249">
        <v>1</v>
      </c>
      <c r="I25" s="249" t="s">
        <v>1223</v>
      </c>
      <c r="J25" s="300">
        <v>0</v>
      </c>
      <c r="K25" s="80">
        <v>106403</v>
      </c>
      <c r="L25" s="80" t="s">
        <v>1483</v>
      </c>
      <c r="M25" s="80" t="s">
        <v>1437</v>
      </c>
      <c r="N25" s="80">
        <v>119240</v>
      </c>
      <c r="O25" s="80" t="s">
        <v>1484</v>
      </c>
      <c r="P25" s="80" t="s">
        <v>1437</v>
      </c>
      <c r="Q25" s="80">
        <v>136276</v>
      </c>
      <c r="R25" s="80" t="s">
        <v>1485</v>
      </c>
      <c r="S25" s="80" t="s">
        <v>1437</v>
      </c>
      <c r="T25" s="80">
        <v>0</v>
      </c>
      <c r="U25" s="80">
        <v>0</v>
      </c>
      <c r="V25" s="80" t="e">
        <v>#N/A</v>
      </c>
      <c r="W25" s="80">
        <v>0</v>
      </c>
      <c r="X25" s="80">
        <v>0</v>
      </c>
      <c r="Y25" s="80" t="e">
        <v>#N/A</v>
      </c>
      <c r="Z25" s="80">
        <v>0</v>
      </c>
      <c r="AA25" s="80">
        <v>0</v>
      </c>
      <c r="AB25" s="80" t="e">
        <v>#N/A</v>
      </c>
      <c r="AC25" s="80" t="s">
        <v>1223</v>
      </c>
      <c r="AE25" s="80">
        <f t="shared" si="0"/>
        <v>106403</v>
      </c>
      <c r="AF25" s="80">
        <f t="shared" si="1"/>
        <v>119240</v>
      </c>
      <c r="AG25" s="80">
        <f t="shared" si="2"/>
        <v>136276</v>
      </c>
      <c r="AH25" s="80">
        <f t="shared" si="3"/>
        <v>0</v>
      </c>
      <c r="AI25" s="80">
        <f t="shared" si="4"/>
        <v>0</v>
      </c>
      <c r="AJ25" s="80">
        <f t="shared" si="5"/>
        <v>0</v>
      </c>
    </row>
    <row r="26" spans="1:36" s="80" customFormat="1" x14ac:dyDescent="0.3">
      <c r="A26" s="80" t="s">
        <v>1033</v>
      </c>
      <c r="B26" s="80" t="s">
        <v>1033</v>
      </c>
      <c r="C26" s="249">
        <v>308455</v>
      </c>
      <c r="D26" s="299" t="s">
        <v>1487</v>
      </c>
      <c r="E26" s="299" t="e">
        <f>VLOOKUP(C:C,#REF!,1,FALSE)</f>
        <v>#REF!</v>
      </c>
      <c r="F26" s="249" t="s">
        <v>1437</v>
      </c>
      <c r="G26" s="249">
        <v>0</v>
      </c>
      <c r="H26" s="249">
        <v>1</v>
      </c>
      <c r="I26" s="249" t="s">
        <v>1224</v>
      </c>
      <c r="J26" s="300">
        <v>0</v>
      </c>
      <c r="K26" s="80">
        <v>106403</v>
      </c>
      <c r="L26" s="80" t="s">
        <v>1483</v>
      </c>
      <c r="M26" s="80" t="s">
        <v>1437</v>
      </c>
      <c r="N26" s="80">
        <v>119240</v>
      </c>
      <c r="O26" s="80" t="s">
        <v>1484</v>
      </c>
      <c r="P26" s="80" t="s">
        <v>1437</v>
      </c>
      <c r="Q26" s="80">
        <v>136276</v>
      </c>
      <c r="R26" s="80" t="s">
        <v>1485</v>
      </c>
      <c r="S26" s="80" t="s">
        <v>1437</v>
      </c>
      <c r="T26" s="80">
        <v>0</v>
      </c>
      <c r="U26" s="80">
        <v>0</v>
      </c>
      <c r="V26" s="80" t="e">
        <v>#N/A</v>
      </c>
      <c r="W26" s="80">
        <v>0</v>
      </c>
      <c r="X26" s="80">
        <v>0</v>
      </c>
      <c r="Y26" s="80" t="e">
        <v>#N/A</v>
      </c>
      <c r="Z26" s="80">
        <v>0</v>
      </c>
      <c r="AA26" s="80">
        <v>0</v>
      </c>
      <c r="AB26" s="80" t="e">
        <v>#N/A</v>
      </c>
      <c r="AC26" s="80" t="s">
        <v>1224</v>
      </c>
      <c r="AE26" s="80">
        <f t="shared" si="0"/>
        <v>106403</v>
      </c>
      <c r="AF26" s="80">
        <f t="shared" si="1"/>
        <v>119240</v>
      </c>
      <c r="AG26" s="80">
        <f t="shared" si="2"/>
        <v>136276</v>
      </c>
      <c r="AH26" s="80">
        <f t="shared" si="3"/>
        <v>0</v>
      </c>
      <c r="AI26" s="80">
        <f t="shared" si="4"/>
        <v>0</v>
      </c>
      <c r="AJ26" s="80">
        <f t="shared" si="5"/>
        <v>0</v>
      </c>
    </row>
    <row r="27" spans="1:36" s="80" customFormat="1" x14ac:dyDescent="0.3">
      <c r="A27" s="80" t="s">
        <v>1033</v>
      </c>
      <c r="B27" s="80" t="s">
        <v>1033</v>
      </c>
      <c r="C27" s="249">
        <v>336503</v>
      </c>
      <c r="D27" s="299" t="s">
        <v>1488</v>
      </c>
      <c r="E27" s="299" t="e">
        <f>VLOOKUP(C:C,#REF!,1,FALSE)</f>
        <v>#REF!</v>
      </c>
      <c r="F27" s="249" t="s">
        <v>1437</v>
      </c>
      <c r="G27" s="249">
        <v>0</v>
      </c>
      <c r="H27" s="249">
        <v>1</v>
      </c>
      <c r="I27" s="249" t="s">
        <v>1222</v>
      </c>
      <c r="J27" s="300">
        <v>0</v>
      </c>
      <c r="K27" s="80">
        <v>106403</v>
      </c>
      <c r="L27" s="80" t="s">
        <v>1483</v>
      </c>
      <c r="M27" s="80" t="s">
        <v>1437</v>
      </c>
      <c r="N27" s="80">
        <v>119240</v>
      </c>
      <c r="O27" s="80" t="s">
        <v>1484</v>
      </c>
      <c r="P27" s="80" t="s">
        <v>1437</v>
      </c>
      <c r="Q27" s="80">
        <v>136276</v>
      </c>
      <c r="R27" s="80" t="s">
        <v>1485</v>
      </c>
      <c r="S27" s="80" t="s">
        <v>1437</v>
      </c>
      <c r="T27" s="80">
        <v>0</v>
      </c>
      <c r="U27" s="80">
        <v>0</v>
      </c>
      <c r="V27" s="80" t="e">
        <v>#N/A</v>
      </c>
      <c r="W27" s="80">
        <v>0</v>
      </c>
      <c r="X27" s="80">
        <v>0</v>
      </c>
      <c r="Y27" s="80" t="e">
        <v>#N/A</v>
      </c>
      <c r="Z27" s="80">
        <v>0</v>
      </c>
      <c r="AA27" s="80">
        <v>0</v>
      </c>
      <c r="AB27" s="80" t="e">
        <v>#N/A</v>
      </c>
      <c r="AC27" s="80" t="s">
        <v>1226</v>
      </c>
      <c r="AE27" s="80">
        <f t="shared" si="0"/>
        <v>106403</v>
      </c>
      <c r="AF27" s="80">
        <f t="shared" si="1"/>
        <v>119240</v>
      </c>
      <c r="AG27" s="80">
        <f t="shared" si="2"/>
        <v>136276</v>
      </c>
      <c r="AH27" s="80">
        <f t="shared" si="3"/>
        <v>0</v>
      </c>
      <c r="AI27" s="80">
        <f t="shared" si="4"/>
        <v>0</v>
      </c>
      <c r="AJ27" s="80">
        <f t="shared" si="5"/>
        <v>0</v>
      </c>
    </row>
    <row r="28" spans="1:36" s="80" customFormat="1" x14ac:dyDescent="0.3">
      <c r="A28" s="80" t="s">
        <v>1033</v>
      </c>
      <c r="B28" s="80" t="s">
        <v>1033</v>
      </c>
      <c r="C28" s="249">
        <v>336506</v>
      </c>
      <c r="D28" s="302" t="s">
        <v>1489</v>
      </c>
      <c r="E28" s="299" t="e">
        <f>VLOOKUP(C:C,#REF!,1,FALSE)</f>
        <v>#REF!</v>
      </c>
      <c r="F28" s="249" t="s">
        <v>1437</v>
      </c>
      <c r="G28" s="249">
        <v>0</v>
      </c>
      <c r="H28" s="249">
        <v>1</v>
      </c>
      <c r="I28" s="249" t="s">
        <v>1223</v>
      </c>
      <c r="J28" s="300">
        <v>0</v>
      </c>
      <c r="K28" s="80">
        <v>106403</v>
      </c>
      <c r="L28" s="80" t="s">
        <v>1483</v>
      </c>
      <c r="M28" s="80" t="s">
        <v>1437</v>
      </c>
      <c r="N28" s="80">
        <v>119240</v>
      </c>
      <c r="O28" s="80" t="s">
        <v>1484</v>
      </c>
      <c r="P28" s="80" t="s">
        <v>1437</v>
      </c>
      <c r="Q28" s="80">
        <v>136276</v>
      </c>
      <c r="R28" s="80" t="s">
        <v>1485</v>
      </c>
      <c r="S28" s="80" t="s">
        <v>1437</v>
      </c>
      <c r="T28" s="80">
        <v>0</v>
      </c>
      <c r="U28" s="80">
        <v>0</v>
      </c>
      <c r="V28" s="80" t="e">
        <v>#N/A</v>
      </c>
      <c r="W28" s="80">
        <v>0</v>
      </c>
      <c r="X28" s="80">
        <v>0</v>
      </c>
      <c r="Y28" s="80" t="e">
        <v>#N/A</v>
      </c>
      <c r="Z28" s="80">
        <v>0</v>
      </c>
      <c r="AA28" s="80">
        <v>0</v>
      </c>
      <c r="AB28" s="80" t="e">
        <v>#N/A</v>
      </c>
      <c r="AC28" s="80" t="s">
        <v>1222</v>
      </c>
      <c r="AE28" s="80">
        <f t="shared" si="0"/>
        <v>106403</v>
      </c>
      <c r="AF28" s="80">
        <f t="shared" si="1"/>
        <v>119240</v>
      </c>
      <c r="AG28" s="80">
        <f t="shared" si="2"/>
        <v>136276</v>
      </c>
      <c r="AH28" s="80">
        <f t="shared" si="3"/>
        <v>0</v>
      </c>
      <c r="AI28" s="80">
        <f t="shared" si="4"/>
        <v>0</v>
      </c>
      <c r="AJ28" s="80">
        <f t="shared" si="5"/>
        <v>0</v>
      </c>
    </row>
    <row r="29" spans="1:36" s="80" customFormat="1" x14ac:dyDescent="0.3">
      <c r="A29" s="80" t="s">
        <v>1033</v>
      </c>
      <c r="B29" s="80" t="s">
        <v>1033</v>
      </c>
      <c r="C29" s="249">
        <v>346823</v>
      </c>
      <c r="D29" s="302" t="s">
        <v>1490</v>
      </c>
      <c r="E29" s="299" t="e">
        <f>VLOOKUP(C:C,#REF!,1,FALSE)</f>
        <v>#REF!</v>
      </c>
      <c r="F29" s="249" t="s">
        <v>1437</v>
      </c>
      <c r="G29" s="249">
        <v>0</v>
      </c>
      <c r="H29" s="249">
        <v>0</v>
      </c>
      <c r="I29" s="249" t="s">
        <v>1224</v>
      </c>
      <c r="J29" s="300">
        <v>1</v>
      </c>
      <c r="K29" s="80">
        <v>106403</v>
      </c>
      <c r="L29" s="80" t="s">
        <v>1483</v>
      </c>
      <c r="M29" s="80" t="s">
        <v>1437</v>
      </c>
      <c r="N29" s="80">
        <v>119240</v>
      </c>
      <c r="O29" s="80" t="s">
        <v>1484</v>
      </c>
      <c r="P29" s="80" t="s">
        <v>1437</v>
      </c>
      <c r="Q29" s="80">
        <v>136276</v>
      </c>
      <c r="R29" s="80" t="s">
        <v>1485</v>
      </c>
      <c r="S29" s="80" t="s">
        <v>1437</v>
      </c>
      <c r="T29" s="80">
        <v>0</v>
      </c>
      <c r="U29" s="80">
        <v>0</v>
      </c>
      <c r="V29" s="80" t="e">
        <v>#N/A</v>
      </c>
      <c r="W29" s="80">
        <v>0</v>
      </c>
      <c r="X29" s="80">
        <v>0</v>
      </c>
      <c r="Y29" s="80" t="e">
        <v>#N/A</v>
      </c>
      <c r="Z29" s="80">
        <v>0</v>
      </c>
      <c r="AA29" s="80">
        <v>0</v>
      </c>
      <c r="AB29" s="80" t="e">
        <v>#N/A</v>
      </c>
      <c r="AC29" s="80" t="s">
        <v>1222</v>
      </c>
      <c r="AE29" s="80">
        <f t="shared" si="0"/>
        <v>106403</v>
      </c>
      <c r="AF29" s="80">
        <f t="shared" si="1"/>
        <v>119240</v>
      </c>
      <c r="AG29" s="80">
        <f t="shared" si="2"/>
        <v>136276</v>
      </c>
      <c r="AH29" s="80">
        <f t="shared" si="3"/>
        <v>0</v>
      </c>
      <c r="AI29" s="80">
        <f t="shared" si="4"/>
        <v>0</v>
      </c>
      <c r="AJ29" s="80">
        <f t="shared" si="5"/>
        <v>0</v>
      </c>
    </row>
    <row r="30" spans="1:36" s="80" customFormat="1" x14ac:dyDescent="0.3">
      <c r="A30" s="80" t="s">
        <v>1033</v>
      </c>
      <c r="B30" s="80" t="s">
        <v>1033</v>
      </c>
      <c r="C30" s="249">
        <v>300279</v>
      </c>
      <c r="D30" s="302" t="s">
        <v>1491</v>
      </c>
      <c r="E30" s="299" t="e">
        <f>VLOOKUP(C:C,#REF!,1,FALSE)</f>
        <v>#REF!</v>
      </c>
      <c r="F30" s="249" t="s">
        <v>1437</v>
      </c>
      <c r="G30" s="249">
        <v>0</v>
      </c>
      <c r="H30" s="249">
        <v>1</v>
      </c>
      <c r="I30" s="249" t="s">
        <v>1222</v>
      </c>
      <c r="J30" s="300">
        <v>0</v>
      </c>
      <c r="K30" s="80">
        <v>106403</v>
      </c>
      <c r="L30" s="80" t="s">
        <v>1483</v>
      </c>
      <c r="M30" s="80" t="s">
        <v>1437</v>
      </c>
      <c r="N30" s="80">
        <v>119240</v>
      </c>
      <c r="O30" s="80" t="s">
        <v>1484</v>
      </c>
      <c r="P30" s="80" t="s">
        <v>1437</v>
      </c>
      <c r="Q30" s="80">
        <v>136276</v>
      </c>
      <c r="R30" s="80" t="s">
        <v>1485</v>
      </c>
      <c r="S30" s="80" t="s">
        <v>1437</v>
      </c>
      <c r="T30" s="80">
        <v>0</v>
      </c>
      <c r="U30" s="80">
        <v>0</v>
      </c>
      <c r="V30" s="80" t="e">
        <v>#N/A</v>
      </c>
      <c r="W30" s="80">
        <v>0</v>
      </c>
      <c r="X30" s="80">
        <v>0</v>
      </c>
      <c r="Y30" s="80" t="e">
        <v>#N/A</v>
      </c>
      <c r="Z30" s="80">
        <v>0</v>
      </c>
      <c r="AA30" s="80">
        <v>0</v>
      </c>
      <c r="AB30" s="80" t="e">
        <v>#N/A</v>
      </c>
      <c r="AC30" s="80" t="s">
        <v>1222</v>
      </c>
      <c r="AE30" s="80">
        <f t="shared" si="0"/>
        <v>106403</v>
      </c>
      <c r="AF30" s="80">
        <f t="shared" si="1"/>
        <v>119240</v>
      </c>
      <c r="AG30" s="80">
        <f t="shared" si="2"/>
        <v>136276</v>
      </c>
      <c r="AH30" s="80">
        <f t="shared" si="3"/>
        <v>0</v>
      </c>
      <c r="AI30" s="80">
        <f t="shared" si="4"/>
        <v>0</v>
      </c>
      <c r="AJ30" s="80">
        <f t="shared" si="5"/>
        <v>0</v>
      </c>
    </row>
    <row r="31" spans="1:36" s="80" customFormat="1" x14ac:dyDescent="0.3">
      <c r="A31" s="80" t="s">
        <v>1033</v>
      </c>
      <c r="B31" s="80" t="s">
        <v>1033</v>
      </c>
      <c r="C31" s="249">
        <v>300285</v>
      </c>
      <c r="D31" s="302" t="s">
        <v>1492</v>
      </c>
      <c r="E31" s="299" t="e">
        <f>VLOOKUP(C:C,#REF!,1,FALSE)</f>
        <v>#REF!</v>
      </c>
      <c r="F31" s="249" t="s">
        <v>1437</v>
      </c>
      <c r="G31" s="249">
        <v>1</v>
      </c>
      <c r="H31" s="249">
        <v>0</v>
      </c>
      <c r="I31" s="300" t="s">
        <v>1222</v>
      </c>
      <c r="J31" s="300">
        <v>1</v>
      </c>
      <c r="K31" s="80">
        <v>106403</v>
      </c>
      <c r="L31" s="80" t="s">
        <v>1483</v>
      </c>
      <c r="M31" s="80" t="s">
        <v>1437</v>
      </c>
      <c r="N31" s="80">
        <v>119240</v>
      </c>
      <c r="O31" s="80" t="s">
        <v>1484</v>
      </c>
      <c r="P31" s="80" t="s">
        <v>1437</v>
      </c>
      <c r="Q31" s="80">
        <v>136276</v>
      </c>
      <c r="R31" s="80" t="s">
        <v>1485</v>
      </c>
      <c r="S31" s="80" t="s">
        <v>1437</v>
      </c>
      <c r="T31" s="80">
        <v>0</v>
      </c>
      <c r="U31" s="80">
        <v>0</v>
      </c>
      <c r="V31" s="80" t="e">
        <v>#N/A</v>
      </c>
      <c r="W31" s="80">
        <v>0</v>
      </c>
      <c r="X31" s="80">
        <v>0</v>
      </c>
      <c r="Y31" s="80" t="e">
        <v>#N/A</v>
      </c>
      <c r="Z31" s="80">
        <v>0</v>
      </c>
      <c r="AA31" s="80">
        <v>0</v>
      </c>
      <c r="AB31" s="80" t="e">
        <v>#N/A</v>
      </c>
      <c r="AC31" s="80" t="s">
        <v>1224</v>
      </c>
      <c r="AE31" s="80">
        <f t="shared" si="0"/>
        <v>106403</v>
      </c>
      <c r="AF31" s="80">
        <f t="shared" si="1"/>
        <v>119240</v>
      </c>
      <c r="AG31" s="80">
        <f t="shared" si="2"/>
        <v>136276</v>
      </c>
      <c r="AH31" s="80">
        <f t="shared" si="3"/>
        <v>0</v>
      </c>
      <c r="AI31" s="80">
        <f t="shared" si="4"/>
        <v>0</v>
      </c>
      <c r="AJ31" s="80">
        <f t="shared" si="5"/>
        <v>0</v>
      </c>
    </row>
    <row r="32" spans="1:36" s="80" customFormat="1" x14ac:dyDescent="0.3">
      <c r="A32" s="80" t="s">
        <v>14</v>
      </c>
      <c r="B32" s="80" t="s">
        <v>14</v>
      </c>
      <c r="C32" s="249">
        <v>12002</v>
      </c>
      <c r="D32" s="302" t="s">
        <v>1493</v>
      </c>
      <c r="E32" s="299" t="e">
        <f>VLOOKUP(C:C,#REF!,1,FALSE)</f>
        <v>#REF!</v>
      </c>
      <c r="F32" s="249" t="s">
        <v>1438</v>
      </c>
      <c r="G32" s="249">
        <v>0</v>
      </c>
      <c r="H32" s="249">
        <v>0</v>
      </c>
      <c r="I32" s="249" t="s">
        <v>1222</v>
      </c>
      <c r="J32" s="300">
        <v>0</v>
      </c>
      <c r="K32" s="80">
        <v>12306</v>
      </c>
      <c r="L32" s="80" t="s">
        <v>1022</v>
      </c>
      <c r="M32" s="80" t="s">
        <v>1438</v>
      </c>
      <c r="N32" s="80">
        <v>12318</v>
      </c>
      <c r="O32" s="80" t="s">
        <v>1023</v>
      </c>
      <c r="P32" s="80" t="s">
        <v>1438</v>
      </c>
      <c r="Q32" s="80">
        <v>0</v>
      </c>
      <c r="R32" s="80" t="e">
        <v>#N/A</v>
      </c>
      <c r="S32" s="80" t="e">
        <v>#N/A</v>
      </c>
      <c r="T32" s="80">
        <v>0</v>
      </c>
      <c r="U32" s="80">
        <v>0</v>
      </c>
      <c r="V32" s="80" t="e">
        <v>#N/A</v>
      </c>
      <c r="W32" s="80">
        <v>0</v>
      </c>
      <c r="X32" s="80">
        <v>0</v>
      </c>
      <c r="Y32" s="80" t="e">
        <v>#N/A</v>
      </c>
      <c r="Z32" s="80">
        <v>0</v>
      </c>
      <c r="AA32" s="80">
        <v>0</v>
      </c>
      <c r="AB32" s="80" t="e">
        <v>#N/A</v>
      </c>
      <c r="AC32" s="80" t="s">
        <v>1222</v>
      </c>
      <c r="AE32" s="80">
        <f t="shared" si="0"/>
        <v>12306</v>
      </c>
      <c r="AF32" s="80">
        <f t="shared" si="1"/>
        <v>12318</v>
      </c>
      <c r="AG32" s="80">
        <f t="shared" si="2"/>
        <v>0</v>
      </c>
      <c r="AH32" s="80">
        <f t="shared" si="3"/>
        <v>0</v>
      </c>
      <c r="AI32" s="80">
        <f t="shared" si="4"/>
        <v>0</v>
      </c>
      <c r="AJ32" s="80">
        <f t="shared" si="5"/>
        <v>0</v>
      </c>
    </row>
    <row r="33" spans="1:36" s="80" customFormat="1" x14ac:dyDescent="0.3">
      <c r="A33" s="80" t="s">
        <v>14</v>
      </c>
      <c r="B33" s="80" t="s">
        <v>14</v>
      </c>
      <c r="C33" s="249">
        <v>12005</v>
      </c>
      <c r="D33" s="302" t="s">
        <v>1494</v>
      </c>
      <c r="E33" s="299" t="e">
        <f>VLOOKUP(C:C,#REF!,1,FALSE)</f>
        <v>#REF!</v>
      </c>
      <c r="F33" s="249" t="s">
        <v>1438</v>
      </c>
      <c r="G33" s="249">
        <v>0</v>
      </c>
      <c r="H33" s="249">
        <v>0</v>
      </c>
      <c r="I33" s="249" t="s">
        <v>1222</v>
      </c>
      <c r="J33" s="300">
        <v>0</v>
      </c>
      <c r="K33" s="80">
        <v>12306</v>
      </c>
      <c r="L33" s="80" t="s">
        <v>1022</v>
      </c>
      <c r="M33" s="80" t="s">
        <v>1438</v>
      </c>
      <c r="N33" s="80">
        <v>12318</v>
      </c>
      <c r="O33" s="80" t="s">
        <v>1023</v>
      </c>
      <c r="P33" s="80" t="s">
        <v>1438</v>
      </c>
      <c r="Q33" s="80">
        <v>0</v>
      </c>
      <c r="R33" s="80" t="e">
        <v>#N/A</v>
      </c>
      <c r="S33" s="80" t="e">
        <v>#N/A</v>
      </c>
      <c r="T33" s="80">
        <v>0</v>
      </c>
      <c r="U33" s="80">
        <v>0</v>
      </c>
      <c r="V33" s="80" t="e">
        <v>#N/A</v>
      </c>
      <c r="W33" s="80">
        <v>0</v>
      </c>
      <c r="X33" s="80">
        <v>0</v>
      </c>
      <c r="Y33" s="80" t="e">
        <v>#N/A</v>
      </c>
      <c r="Z33" s="80">
        <v>0</v>
      </c>
      <c r="AA33" s="80">
        <v>0</v>
      </c>
      <c r="AB33" s="80" t="e">
        <v>#N/A</v>
      </c>
      <c r="AC33" s="80" t="s">
        <v>1223</v>
      </c>
      <c r="AE33" s="80">
        <f t="shared" si="0"/>
        <v>12306</v>
      </c>
      <c r="AF33" s="80">
        <f t="shared" si="1"/>
        <v>12318</v>
      </c>
      <c r="AG33" s="80">
        <f t="shared" si="2"/>
        <v>0</v>
      </c>
      <c r="AH33" s="80">
        <f t="shared" si="3"/>
        <v>0</v>
      </c>
      <c r="AI33" s="80">
        <f t="shared" si="4"/>
        <v>0</v>
      </c>
      <c r="AJ33" s="80">
        <f t="shared" si="5"/>
        <v>0</v>
      </c>
    </row>
    <row r="34" spans="1:36" s="80" customFormat="1" x14ac:dyDescent="0.3">
      <c r="A34" s="80" t="s">
        <v>14</v>
      </c>
      <c r="B34" s="80" t="s">
        <v>14</v>
      </c>
      <c r="C34" s="249">
        <v>12008</v>
      </c>
      <c r="D34" s="303" t="s">
        <v>1495</v>
      </c>
      <c r="E34" s="299" t="e">
        <f>VLOOKUP(C:C,#REF!,1,FALSE)</f>
        <v>#REF!</v>
      </c>
      <c r="F34" s="249" t="s">
        <v>1438</v>
      </c>
      <c r="G34" s="249">
        <v>0</v>
      </c>
      <c r="H34" s="249">
        <v>0</v>
      </c>
      <c r="I34" s="249" t="s">
        <v>1224</v>
      </c>
      <c r="J34" s="300">
        <v>0</v>
      </c>
      <c r="K34" s="80">
        <v>12306</v>
      </c>
      <c r="L34" s="80" t="s">
        <v>1022</v>
      </c>
      <c r="M34" s="80" t="s">
        <v>1438</v>
      </c>
      <c r="N34" s="80">
        <v>12318</v>
      </c>
      <c r="O34" s="80" t="s">
        <v>1023</v>
      </c>
      <c r="P34" s="80" t="s">
        <v>1438</v>
      </c>
      <c r="Q34" s="80">
        <v>0</v>
      </c>
      <c r="R34" s="80" t="e">
        <v>#N/A</v>
      </c>
      <c r="S34" s="80" t="e">
        <v>#N/A</v>
      </c>
      <c r="T34" s="80">
        <v>0</v>
      </c>
      <c r="U34" s="80">
        <v>0</v>
      </c>
      <c r="V34" s="80" t="e">
        <v>#N/A</v>
      </c>
      <c r="W34" s="80">
        <v>0</v>
      </c>
      <c r="X34" s="80">
        <v>0</v>
      </c>
      <c r="Y34" s="80" t="e">
        <v>#N/A</v>
      </c>
      <c r="Z34" s="80">
        <v>0</v>
      </c>
      <c r="AA34" s="80">
        <v>0</v>
      </c>
      <c r="AB34" s="80" t="e">
        <v>#N/A</v>
      </c>
      <c r="AC34" s="80" t="s">
        <v>1224</v>
      </c>
      <c r="AE34" s="80">
        <f t="shared" si="0"/>
        <v>12306</v>
      </c>
      <c r="AF34" s="80">
        <f t="shared" si="1"/>
        <v>12318</v>
      </c>
      <c r="AG34" s="80">
        <f t="shared" si="2"/>
        <v>0</v>
      </c>
      <c r="AH34" s="80">
        <f t="shared" si="3"/>
        <v>0</v>
      </c>
      <c r="AI34" s="80">
        <f t="shared" si="4"/>
        <v>0</v>
      </c>
      <c r="AJ34" s="80">
        <f t="shared" si="5"/>
        <v>0</v>
      </c>
    </row>
    <row r="35" spans="1:36" s="80" customFormat="1" x14ac:dyDescent="0.3">
      <c r="A35" s="80" t="s">
        <v>14</v>
      </c>
      <c r="B35" s="80" t="s">
        <v>14</v>
      </c>
      <c r="C35" s="249">
        <v>12047</v>
      </c>
      <c r="D35" s="303" t="s">
        <v>1496</v>
      </c>
      <c r="E35" s="299" t="e">
        <f>VLOOKUP(C:C,#REF!,1,FALSE)</f>
        <v>#REF!</v>
      </c>
      <c r="F35" s="249" t="s">
        <v>1438</v>
      </c>
      <c r="G35" s="249">
        <v>0</v>
      </c>
      <c r="H35" s="249">
        <v>1</v>
      </c>
      <c r="I35" s="249" t="s">
        <v>1222</v>
      </c>
      <c r="J35" s="300">
        <v>0</v>
      </c>
      <c r="K35" s="80">
        <v>12306</v>
      </c>
      <c r="L35" s="80" t="s">
        <v>1022</v>
      </c>
      <c r="M35" s="80" t="s">
        <v>1438</v>
      </c>
      <c r="N35" s="80">
        <v>12318</v>
      </c>
      <c r="O35" s="80" t="s">
        <v>1023</v>
      </c>
      <c r="P35" s="80" t="s">
        <v>1438</v>
      </c>
      <c r="Q35" s="80">
        <v>0</v>
      </c>
      <c r="R35" s="80" t="e">
        <v>#N/A</v>
      </c>
      <c r="S35" s="80" t="e">
        <v>#N/A</v>
      </c>
      <c r="T35" s="80">
        <v>0</v>
      </c>
      <c r="U35" s="80">
        <v>0</v>
      </c>
      <c r="V35" s="80" t="e">
        <v>#N/A</v>
      </c>
      <c r="W35" s="80">
        <v>0</v>
      </c>
      <c r="X35" s="80">
        <v>0</v>
      </c>
      <c r="Y35" s="80" t="e">
        <v>#N/A</v>
      </c>
      <c r="Z35" s="80">
        <v>0</v>
      </c>
      <c r="AA35" s="80">
        <v>0</v>
      </c>
      <c r="AB35" s="80" t="e">
        <v>#N/A</v>
      </c>
      <c r="AC35" s="80" t="s">
        <v>1222</v>
      </c>
      <c r="AE35" s="80">
        <f t="shared" si="0"/>
        <v>12306</v>
      </c>
      <c r="AF35" s="80">
        <f t="shared" si="1"/>
        <v>12318</v>
      </c>
      <c r="AG35" s="80">
        <f t="shared" si="2"/>
        <v>0</v>
      </c>
      <c r="AH35" s="80">
        <f t="shared" si="3"/>
        <v>0</v>
      </c>
      <c r="AI35" s="80">
        <f t="shared" si="4"/>
        <v>0</v>
      </c>
      <c r="AJ35" s="80">
        <f t="shared" si="5"/>
        <v>0</v>
      </c>
    </row>
    <row r="36" spans="1:36" s="80" customFormat="1" x14ac:dyDescent="0.3">
      <c r="A36" s="80" t="s">
        <v>14</v>
      </c>
      <c r="B36" s="80" t="s">
        <v>14</v>
      </c>
      <c r="C36" s="249">
        <v>12048</v>
      </c>
      <c r="D36" s="302" t="s">
        <v>1497</v>
      </c>
      <c r="E36" s="299" t="e">
        <f>VLOOKUP(C:C,#REF!,1,FALSE)</f>
        <v>#REF!</v>
      </c>
      <c r="F36" s="249" t="s">
        <v>1438</v>
      </c>
      <c r="G36" s="249">
        <v>0</v>
      </c>
      <c r="H36" s="249">
        <v>1</v>
      </c>
      <c r="I36" s="249" t="s">
        <v>1223</v>
      </c>
      <c r="J36" s="300">
        <v>0</v>
      </c>
      <c r="K36" s="80">
        <v>12306</v>
      </c>
      <c r="L36" s="80" t="s">
        <v>1022</v>
      </c>
      <c r="M36" s="80" t="s">
        <v>1438</v>
      </c>
      <c r="N36" s="80">
        <v>12318</v>
      </c>
      <c r="O36" s="80" t="s">
        <v>1023</v>
      </c>
      <c r="P36" s="80" t="s">
        <v>1438</v>
      </c>
      <c r="Q36" s="80">
        <v>0</v>
      </c>
      <c r="R36" s="80" t="e">
        <v>#N/A</v>
      </c>
      <c r="S36" s="80" t="e">
        <v>#N/A</v>
      </c>
      <c r="T36" s="80">
        <v>0</v>
      </c>
      <c r="U36" s="80">
        <v>0</v>
      </c>
      <c r="V36" s="80" t="e">
        <v>#N/A</v>
      </c>
      <c r="W36" s="80">
        <v>0</v>
      </c>
      <c r="X36" s="80">
        <v>0</v>
      </c>
      <c r="Y36" s="80" t="e">
        <v>#N/A</v>
      </c>
      <c r="Z36" s="80">
        <v>0</v>
      </c>
      <c r="AA36" s="80">
        <v>0</v>
      </c>
      <c r="AB36" s="80" t="e">
        <v>#N/A</v>
      </c>
      <c r="AC36" s="80" t="s">
        <v>1223</v>
      </c>
      <c r="AE36" s="80">
        <f t="shared" si="0"/>
        <v>12306</v>
      </c>
      <c r="AF36" s="80">
        <f t="shared" si="1"/>
        <v>12318</v>
      </c>
      <c r="AG36" s="80">
        <f t="shared" si="2"/>
        <v>0</v>
      </c>
      <c r="AH36" s="80">
        <f t="shared" si="3"/>
        <v>0</v>
      </c>
      <c r="AI36" s="80">
        <f t="shared" si="4"/>
        <v>0</v>
      </c>
      <c r="AJ36" s="80">
        <f t="shared" si="5"/>
        <v>0</v>
      </c>
    </row>
    <row r="37" spans="1:36" s="80" customFormat="1" x14ac:dyDescent="0.3">
      <c r="A37" s="80" t="s">
        <v>14</v>
      </c>
      <c r="B37" s="80" t="s">
        <v>14</v>
      </c>
      <c r="C37" s="249">
        <v>12049</v>
      </c>
      <c r="D37" s="302" t="s">
        <v>1498</v>
      </c>
      <c r="E37" s="299" t="e">
        <f>VLOOKUP(C:C,#REF!,1,FALSE)</f>
        <v>#REF!</v>
      </c>
      <c r="F37" s="249" t="s">
        <v>1438</v>
      </c>
      <c r="G37" s="249">
        <v>0</v>
      </c>
      <c r="H37" s="249">
        <v>1</v>
      </c>
      <c r="I37" s="249" t="s">
        <v>1224</v>
      </c>
      <c r="J37" s="300">
        <v>0</v>
      </c>
      <c r="K37" s="80">
        <v>12306</v>
      </c>
      <c r="L37" s="80" t="s">
        <v>1022</v>
      </c>
      <c r="M37" s="80" t="s">
        <v>1438</v>
      </c>
      <c r="N37" s="80">
        <v>12318</v>
      </c>
      <c r="O37" s="80" t="s">
        <v>1023</v>
      </c>
      <c r="P37" s="80" t="s">
        <v>1438</v>
      </c>
      <c r="Q37" s="80">
        <v>0</v>
      </c>
      <c r="R37" s="80" t="e">
        <v>#N/A</v>
      </c>
      <c r="S37" s="80" t="e">
        <v>#N/A</v>
      </c>
      <c r="T37" s="80">
        <v>0</v>
      </c>
      <c r="U37" s="80">
        <v>0</v>
      </c>
      <c r="V37" s="80" t="e">
        <v>#N/A</v>
      </c>
      <c r="W37" s="80">
        <v>0</v>
      </c>
      <c r="X37" s="80">
        <v>0</v>
      </c>
      <c r="Y37" s="80" t="e">
        <v>#N/A</v>
      </c>
      <c r="Z37" s="80">
        <v>0</v>
      </c>
      <c r="AA37" s="80">
        <v>0</v>
      </c>
      <c r="AB37" s="80" t="e">
        <v>#N/A</v>
      </c>
      <c r="AC37" s="80" t="s">
        <v>1224</v>
      </c>
      <c r="AE37" s="80">
        <f t="shared" si="0"/>
        <v>12306</v>
      </c>
      <c r="AF37" s="80">
        <f t="shared" si="1"/>
        <v>12318</v>
      </c>
      <c r="AG37" s="80">
        <f t="shared" si="2"/>
        <v>0</v>
      </c>
      <c r="AH37" s="80">
        <f t="shared" si="3"/>
        <v>0</v>
      </c>
      <c r="AI37" s="80">
        <f t="shared" si="4"/>
        <v>0</v>
      </c>
      <c r="AJ37" s="80">
        <f t="shared" si="5"/>
        <v>0</v>
      </c>
    </row>
    <row r="38" spans="1:36" s="80" customFormat="1" x14ac:dyDescent="0.3">
      <c r="A38" s="80" t="s">
        <v>14</v>
      </c>
      <c r="B38" s="80" t="s">
        <v>14</v>
      </c>
      <c r="C38" s="249">
        <v>12052</v>
      </c>
      <c r="D38" s="302" t="s">
        <v>1499</v>
      </c>
      <c r="E38" s="299" t="e">
        <f>VLOOKUP(C:C,#REF!,1,FALSE)</f>
        <v>#REF!</v>
      </c>
      <c r="F38" s="249" t="s">
        <v>1438</v>
      </c>
      <c r="G38" s="249">
        <v>0</v>
      </c>
      <c r="H38" s="249">
        <v>0</v>
      </c>
      <c r="I38" s="249" t="s">
        <v>1222</v>
      </c>
      <c r="J38" s="300">
        <v>0</v>
      </c>
      <c r="K38" s="80">
        <v>12306</v>
      </c>
      <c r="L38" s="80" t="s">
        <v>1022</v>
      </c>
      <c r="M38" s="80" t="s">
        <v>1438</v>
      </c>
      <c r="N38" s="80">
        <v>12318</v>
      </c>
      <c r="O38" s="80" t="s">
        <v>1023</v>
      </c>
      <c r="P38" s="80" t="s">
        <v>1438</v>
      </c>
      <c r="Q38" s="80">
        <v>0</v>
      </c>
      <c r="R38" s="80" t="e">
        <v>#N/A</v>
      </c>
      <c r="S38" s="80" t="e">
        <v>#N/A</v>
      </c>
      <c r="T38" s="80">
        <v>0</v>
      </c>
      <c r="U38" s="80">
        <v>0</v>
      </c>
      <c r="V38" s="80" t="e">
        <v>#N/A</v>
      </c>
      <c r="W38" s="80">
        <v>0</v>
      </c>
      <c r="X38" s="80">
        <v>0</v>
      </c>
      <c r="Y38" s="80" t="e">
        <v>#N/A</v>
      </c>
      <c r="Z38" s="80">
        <v>0</v>
      </c>
      <c r="AA38" s="80">
        <v>0</v>
      </c>
      <c r="AB38" s="80" t="e">
        <v>#N/A</v>
      </c>
      <c r="AC38" s="80" t="s">
        <v>1222</v>
      </c>
      <c r="AE38" s="80">
        <f t="shared" si="0"/>
        <v>12306</v>
      </c>
      <c r="AF38" s="80">
        <f t="shared" si="1"/>
        <v>12318</v>
      </c>
      <c r="AG38" s="80">
        <f t="shared" si="2"/>
        <v>0</v>
      </c>
      <c r="AH38" s="80">
        <f t="shared" si="3"/>
        <v>0</v>
      </c>
      <c r="AI38" s="80">
        <f t="shared" si="4"/>
        <v>0</v>
      </c>
      <c r="AJ38" s="80">
        <f t="shared" si="5"/>
        <v>0</v>
      </c>
    </row>
    <row r="39" spans="1:36" s="80" customFormat="1" x14ac:dyDescent="0.3">
      <c r="A39" s="80" t="s">
        <v>14</v>
      </c>
      <c r="B39" s="80" t="s">
        <v>14</v>
      </c>
      <c r="C39" s="249">
        <v>12053</v>
      </c>
      <c r="D39" s="302" t="s">
        <v>1500</v>
      </c>
      <c r="E39" s="299" t="e">
        <f>VLOOKUP(C:C,#REF!,1,FALSE)</f>
        <v>#REF!</v>
      </c>
      <c r="F39" s="249" t="s">
        <v>1438</v>
      </c>
      <c r="G39" s="249">
        <v>0</v>
      </c>
      <c r="H39" s="249">
        <v>0</v>
      </c>
      <c r="I39" s="249" t="s">
        <v>1223</v>
      </c>
      <c r="J39" s="300">
        <v>0</v>
      </c>
      <c r="K39" s="80">
        <v>12306</v>
      </c>
      <c r="L39" s="80" t="s">
        <v>1022</v>
      </c>
      <c r="M39" s="80" t="s">
        <v>1438</v>
      </c>
      <c r="N39" s="80">
        <v>12318</v>
      </c>
      <c r="O39" s="80" t="s">
        <v>1023</v>
      </c>
      <c r="P39" s="80" t="s">
        <v>1438</v>
      </c>
      <c r="Q39" s="80">
        <v>0</v>
      </c>
      <c r="R39" s="80" t="e">
        <v>#N/A</v>
      </c>
      <c r="S39" s="80" t="e">
        <v>#N/A</v>
      </c>
      <c r="T39" s="80">
        <v>0</v>
      </c>
      <c r="U39" s="80">
        <v>0</v>
      </c>
      <c r="V39" s="80" t="e">
        <v>#N/A</v>
      </c>
      <c r="W39" s="80">
        <v>0</v>
      </c>
      <c r="X39" s="80">
        <v>0</v>
      </c>
      <c r="Y39" s="80" t="e">
        <v>#N/A</v>
      </c>
      <c r="Z39" s="80">
        <v>0</v>
      </c>
      <c r="AA39" s="80">
        <v>0</v>
      </c>
      <c r="AB39" s="80" t="e">
        <v>#N/A</v>
      </c>
      <c r="AC39" s="80" t="s">
        <v>1223</v>
      </c>
      <c r="AE39" s="80">
        <f t="shared" si="0"/>
        <v>12306</v>
      </c>
      <c r="AF39" s="80">
        <f t="shared" si="1"/>
        <v>12318</v>
      </c>
      <c r="AG39" s="80">
        <f t="shared" si="2"/>
        <v>0</v>
      </c>
      <c r="AH39" s="80">
        <f t="shared" si="3"/>
        <v>0</v>
      </c>
      <c r="AI39" s="80">
        <f t="shared" si="4"/>
        <v>0</v>
      </c>
      <c r="AJ39" s="80">
        <f t="shared" si="5"/>
        <v>0</v>
      </c>
    </row>
    <row r="40" spans="1:36" s="80" customFormat="1" x14ac:dyDescent="0.3">
      <c r="A40" s="80" t="s">
        <v>14</v>
      </c>
      <c r="B40" s="80" t="s">
        <v>14</v>
      </c>
      <c r="C40" s="249">
        <v>12059</v>
      </c>
      <c r="D40" s="302" t="s">
        <v>1501</v>
      </c>
      <c r="E40" s="299" t="e">
        <f>VLOOKUP(C:C,#REF!,1,FALSE)</f>
        <v>#REF!</v>
      </c>
      <c r="F40" s="249" t="s">
        <v>1438</v>
      </c>
      <c r="G40" s="249">
        <v>0</v>
      </c>
      <c r="H40" s="249">
        <v>0</v>
      </c>
      <c r="I40" s="249" t="s">
        <v>1224</v>
      </c>
      <c r="J40" s="300">
        <v>0</v>
      </c>
      <c r="K40" s="80">
        <v>12306</v>
      </c>
      <c r="L40" s="80" t="s">
        <v>1022</v>
      </c>
      <c r="M40" s="80" t="s">
        <v>1438</v>
      </c>
      <c r="N40" s="80">
        <v>12318</v>
      </c>
      <c r="O40" s="80" t="s">
        <v>1023</v>
      </c>
      <c r="P40" s="80" t="s">
        <v>1438</v>
      </c>
      <c r="Q40" s="80">
        <v>0</v>
      </c>
      <c r="R40" s="80" t="e">
        <v>#N/A</v>
      </c>
      <c r="S40" s="80" t="e">
        <v>#N/A</v>
      </c>
      <c r="T40" s="80">
        <v>0</v>
      </c>
      <c r="U40" s="80">
        <v>0</v>
      </c>
      <c r="V40" s="80" t="e">
        <v>#N/A</v>
      </c>
      <c r="W40" s="80">
        <v>0</v>
      </c>
      <c r="X40" s="80">
        <v>0</v>
      </c>
      <c r="Y40" s="80" t="e">
        <v>#N/A</v>
      </c>
      <c r="Z40" s="80">
        <v>0</v>
      </c>
      <c r="AA40" s="80">
        <v>0</v>
      </c>
      <c r="AB40" s="80" t="e">
        <v>#N/A</v>
      </c>
      <c r="AC40" s="80" t="s">
        <v>1224</v>
      </c>
      <c r="AE40" s="80">
        <f t="shared" si="0"/>
        <v>12306</v>
      </c>
      <c r="AF40" s="80">
        <f t="shared" si="1"/>
        <v>12318</v>
      </c>
      <c r="AG40" s="80">
        <f t="shared" si="2"/>
        <v>0</v>
      </c>
      <c r="AH40" s="80">
        <f t="shared" si="3"/>
        <v>0</v>
      </c>
      <c r="AI40" s="80">
        <f t="shared" si="4"/>
        <v>0</v>
      </c>
      <c r="AJ40" s="80">
        <f t="shared" si="5"/>
        <v>0</v>
      </c>
    </row>
    <row r="41" spans="1:36" s="80" customFormat="1" x14ac:dyDescent="0.3">
      <c r="A41" s="80" t="s">
        <v>14</v>
      </c>
      <c r="B41" s="80" t="s">
        <v>14</v>
      </c>
      <c r="C41" s="249">
        <v>226668</v>
      </c>
      <c r="D41" s="302" t="s">
        <v>1502</v>
      </c>
      <c r="E41" s="299" t="e">
        <f>VLOOKUP(C:C,#REF!,1,FALSE)</f>
        <v>#REF!</v>
      </c>
      <c r="F41" s="249" t="s">
        <v>1437</v>
      </c>
      <c r="G41" s="249">
        <v>0</v>
      </c>
      <c r="H41" s="249">
        <v>0</v>
      </c>
      <c r="I41" s="249" t="s">
        <v>1222</v>
      </c>
      <c r="J41" s="300">
        <v>1</v>
      </c>
      <c r="K41" s="80">
        <v>12306</v>
      </c>
      <c r="L41" s="80" t="s">
        <v>1022</v>
      </c>
      <c r="M41" s="80" t="s">
        <v>1438</v>
      </c>
      <c r="N41" s="80">
        <v>12318</v>
      </c>
      <c r="O41" s="80" t="s">
        <v>1023</v>
      </c>
      <c r="P41" s="80" t="s">
        <v>1438</v>
      </c>
      <c r="Q41" s="80">
        <v>0</v>
      </c>
      <c r="R41" s="80" t="e">
        <v>#N/A</v>
      </c>
      <c r="S41" s="80" t="e">
        <v>#N/A</v>
      </c>
      <c r="T41" s="80">
        <v>0</v>
      </c>
      <c r="U41" s="80">
        <v>0</v>
      </c>
      <c r="V41" s="80" t="e">
        <v>#N/A</v>
      </c>
      <c r="W41" s="80">
        <v>0</v>
      </c>
      <c r="X41" s="80">
        <v>0</v>
      </c>
      <c r="Y41" s="80" t="e">
        <v>#N/A</v>
      </c>
      <c r="Z41" s="80">
        <v>0</v>
      </c>
      <c r="AA41" s="80">
        <v>0</v>
      </c>
      <c r="AB41" s="80" t="e">
        <v>#N/A</v>
      </c>
      <c r="AC41" s="80" t="s">
        <v>1222</v>
      </c>
      <c r="AE41" s="80">
        <f t="shared" si="0"/>
        <v>12306</v>
      </c>
      <c r="AF41" s="80">
        <f t="shared" si="1"/>
        <v>12318</v>
      </c>
      <c r="AG41" s="80">
        <f t="shared" si="2"/>
        <v>0</v>
      </c>
      <c r="AH41" s="80">
        <f t="shared" si="3"/>
        <v>0</v>
      </c>
      <c r="AI41" s="80">
        <f t="shared" si="4"/>
        <v>0</v>
      </c>
      <c r="AJ41" s="80">
        <f t="shared" si="5"/>
        <v>0</v>
      </c>
    </row>
    <row r="42" spans="1:36" s="80" customFormat="1" x14ac:dyDescent="0.3">
      <c r="A42" s="80" t="s">
        <v>14</v>
      </c>
      <c r="B42" s="80" t="s">
        <v>14</v>
      </c>
      <c r="C42" s="249">
        <v>226670</v>
      </c>
      <c r="D42" s="302" t="s">
        <v>1503</v>
      </c>
      <c r="E42" s="299" t="e">
        <f>VLOOKUP(C:C,#REF!,1,FALSE)</f>
        <v>#REF!</v>
      </c>
      <c r="F42" s="249" t="s">
        <v>1437</v>
      </c>
      <c r="G42" s="249">
        <v>0</v>
      </c>
      <c r="H42" s="249">
        <v>0</v>
      </c>
      <c r="I42" s="249" t="s">
        <v>1223</v>
      </c>
      <c r="J42" s="300">
        <v>1</v>
      </c>
      <c r="K42" s="80">
        <v>12306</v>
      </c>
      <c r="L42" s="80" t="s">
        <v>1022</v>
      </c>
      <c r="M42" s="80" t="s">
        <v>1438</v>
      </c>
      <c r="N42" s="80">
        <v>12318</v>
      </c>
      <c r="O42" s="80" t="s">
        <v>1023</v>
      </c>
      <c r="P42" s="80" t="s">
        <v>1438</v>
      </c>
      <c r="Q42" s="80">
        <v>0</v>
      </c>
      <c r="R42" s="80" t="e">
        <v>#N/A</v>
      </c>
      <c r="S42" s="80" t="e">
        <v>#N/A</v>
      </c>
      <c r="T42" s="80">
        <v>0</v>
      </c>
      <c r="U42" s="80">
        <v>0</v>
      </c>
      <c r="V42" s="80" t="e">
        <v>#N/A</v>
      </c>
      <c r="W42" s="80">
        <v>0</v>
      </c>
      <c r="X42" s="80">
        <v>0</v>
      </c>
      <c r="Y42" s="80" t="e">
        <v>#N/A</v>
      </c>
      <c r="Z42" s="80">
        <v>0</v>
      </c>
      <c r="AA42" s="80">
        <v>0</v>
      </c>
      <c r="AB42" s="80" t="e">
        <v>#N/A</v>
      </c>
      <c r="AC42" s="80" t="s">
        <v>1223</v>
      </c>
      <c r="AE42" s="80">
        <f t="shared" si="0"/>
        <v>12306</v>
      </c>
      <c r="AF42" s="80">
        <f t="shared" si="1"/>
        <v>12318</v>
      </c>
      <c r="AG42" s="80">
        <f t="shared" si="2"/>
        <v>0</v>
      </c>
      <c r="AH42" s="80">
        <f t="shared" si="3"/>
        <v>0</v>
      </c>
      <c r="AI42" s="80">
        <f t="shared" si="4"/>
        <v>0</v>
      </c>
      <c r="AJ42" s="80">
        <f t="shared" si="5"/>
        <v>0</v>
      </c>
    </row>
    <row r="43" spans="1:36" s="80" customFormat="1" x14ac:dyDescent="0.3">
      <c r="A43" s="80" t="s">
        <v>14</v>
      </c>
      <c r="B43" s="80" t="s">
        <v>14</v>
      </c>
      <c r="C43" s="249">
        <v>226671</v>
      </c>
      <c r="D43" s="302" t="s">
        <v>1504</v>
      </c>
      <c r="E43" s="299" t="e">
        <f>VLOOKUP(C:C,#REF!,1,FALSE)</f>
        <v>#REF!</v>
      </c>
      <c r="F43" s="249" t="s">
        <v>1437</v>
      </c>
      <c r="G43" s="249">
        <v>0</v>
      </c>
      <c r="H43" s="249">
        <v>0</v>
      </c>
      <c r="I43" s="249" t="s">
        <v>1224</v>
      </c>
      <c r="J43" s="300">
        <v>1</v>
      </c>
      <c r="K43" s="80">
        <v>12306</v>
      </c>
      <c r="L43" s="80" t="s">
        <v>1022</v>
      </c>
      <c r="M43" s="80" t="s">
        <v>1438</v>
      </c>
      <c r="N43" s="80">
        <v>12318</v>
      </c>
      <c r="O43" s="80" t="s">
        <v>1023</v>
      </c>
      <c r="P43" s="80" t="s">
        <v>1438</v>
      </c>
      <c r="Q43" s="80">
        <v>0</v>
      </c>
      <c r="R43" s="80" t="e">
        <v>#N/A</v>
      </c>
      <c r="S43" s="80" t="e">
        <v>#N/A</v>
      </c>
      <c r="T43" s="80">
        <v>0</v>
      </c>
      <c r="U43" s="80">
        <v>0</v>
      </c>
      <c r="V43" s="80" t="e">
        <v>#N/A</v>
      </c>
      <c r="W43" s="80">
        <v>0</v>
      </c>
      <c r="X43" s="80">
        <v>0</v>
      </c>
      <c r="Y43" s="80" t="e">
        <v>#N/A</v>
      </c>
      <c r="Z43" s="80">
        <v>0</v>
      </c>
      <c r="AA43" s="80">
        <v>0</v>
      </c>
      <c r="AB43" s="80" t="e">
        <v>#N/A</v>
      </c>
      <c r="AC43" s="80" t="s">
        <v>1224</v>
      </c>
      <c r="AE43" s="80">
        <f t="shared" si="0"/>
        <v>12306</v>
      </c>
      <c r="AF43" s="80">
        <f t="shared" si="1"/>
        <v>12318</v>
      </c>
      <c r="AG43" s="80">
        <f t="shared" si="2"/>
        <v>0</v>
      </c>
      <c r="AH43" s="80">
        <f t="shared" si="3"/>
        <v>0</v>
      </c>
      <c r="AI43" s="80">
        <f t="shared" si="4"/>
        <v>0</v>
      </c>
      <c r="AJ43" s="80">
        <f t="shared" si="5"/>
        <v>0</v>
      </c>
    </row>
    <row r="44" spans="1:36" s="80" customFormat="1" x14ac:dyDescent="0.3">
      <c r="A44" s="80" t="s">
        <v>14</v>
      </c>
      <c r="B44" s="80" t="s">
        <v>14</v>
      </c>
      <c r="C44" s="249">
        <v>306317</v>
      </c>
      <c r="D44" s="302" t="s">
        <v>1505</v>
      </c>
      <c r="E44" s="299" t="e">
        <f>VLOOKUP(C:C,#REF!,1,FALSE)</f>
        <v>#REF!</v>
      </c>
      <c r="F44" s="249" t="s">
        <v>1437</v>
      </c>
      <c r="G44" s="249">
        <v>0</v>
      </c>
      <c r="H44" s="249">
        <v>1</v>
      </c>
      <c r="I44" s="249" t="s">
        <v>1222</v>
      </c>
      <c r="J44" s="300">
        <v>0</v>
      </c>
      <c r="K44" s="80">
        <v>12306</v>
      </c>
      <c r="L44" s="80" t="s">
        <v>1022</v>
      </c>
      <c r="M44" s="80" t="s">
        <v>1438</v>
      </c>
      <c r="N44" s="80">
        <v>12318</v>
      </c>
      <c r="O44" s="80" t="s">
        <v>1023</v>
      </c>
      <c r="P44" s="80" t="s">
        <v>1438</v>
      </c>
      <c r="Q44" s="80">
        <v>0</v>
      </c>
      <c r="R44" s="80">
        <v>0</v>
      </c>
      <c r="S44" s="80" t="e">
        <v>#N/A</v>
      </c>
      <c r="T44" s="80">
        <v>0</v>
      </c>
      <c r="U44" s="80">
        <v>0</v>
      </c>
      <c r="V44" s="80" t="e">
        <v>#N/A</v>
      </c>
      <c r="W44" s="80">
        <v>0</v>
      </c>
      <c r="X44" s="80">
        <v>0</v>
      </c>
      <c r="Y44" s="80" t="e">
        <v>#N/A</v>
      </c>
      <c r="Z44" s="80">
        <v>0</v>
      </c>
      <c r="AA44" s="80">
        <v>0</v>
      </c>
      <c r="AB44" s="80" t="e">
        <v>#N/A</v>
      </c>
      <c r="AC44" s="80">
        <v>0</v>
      </c>
      <c r="AE44" s="80">
        <f t="shared" si="0"/>
        <v>12306</v>
      </c>
      <c r="AF44" s="80">
        <f t="shared" si="1"/>
        <v>12318</v>
      </c>
      <c r="AG44" s="80">
        <f t="shared" si="2"/>
        <v>0</v>
      </c>
      <c r="AH44" s="80">
        <f t="shared" si="3"/>
        <v>0</v>
      </c>
      <c r="AI44" s="80">
        <f t="shared" si="4"/>
        <v>0</v>
      </c>
      <c r="AJ44" s="80">
        <f t="shared" si="5"/>
        <v>0</v>
      </c>
    </row>
    <row r="45" spans="1:36" s="80" customFormat="1" x14ac:dyDescent="0.3">
      <c r="A45" s="80" t="s">
        <v>14</v>
      </c>
      <c r="B45" s="80" t="s">
        <v>14</v>
      </c>
      <c r="C45" s="249">
        <v>306318</v>
      </c>
      <c r="D45" s="302" t="s">
        <v>1506</v>
      </c>
      <c r="E45" s="299" t="e">
        <f>VLOOKUP(C:C,#REF!,1,FALSE)</f>
        <v>#REF!</v>
      </c>
      <c r="F45" s="249" t="s">
        <v>1437</v>
      </c>
      <c r="G45" s="249">
        <v>0</v>
      </c>
      <c r="H45" s="249">
        <v>1</v>
      </c>
      <c r="I45" s="249" t="s">
        <v>1223</v>
      </c>
      <c r="J45" s="300">
        <v>0</v>
      </c>
      <c r="K45" s="80">
        <v>12306</v>
      </c>
      <c r="L45" s="80" t="s">
        <v>1022</v>
      </c>
      <c r="M45" s="80" t="s">
        <v>1438</v>
      </c>
      <c r="N45" s="80">
        <v>12318</v>
      </c>
      <c r="O45" s="80" t="s">
        <v>1023</v>
      </c>
      <c r="P45" s="80" t="s">
        <v>1438</v>
      </c>
      <c r="Q45" s="80">
        <v>0</v>
      </c>
      <c r="R45" s="80">
        <v>0</v>
      </c>
      <c r="S45" s="80" t="e">
        <v>#N/A</v>
      </c>
      <c r="T45" s="80">
        <v>0</v>
      </c>
      <c r="U45" s="80">
        <v>0</v>
      </c>
      <c r="V45" s="80" t="e">
        <v>#N/A</v>
      </c>
      <c r="W45" s="80">
        <v>0</v>
      </c>
      <c r="X45" s="80">
        <v>0</v>
      </c>
      <c r="Y45" s="80" t="e">
        <v>#N/A</v>
      </c>
      <c r="Z45" s="80">
        <v>0</v>
      </c>
      <c r="AA45" s="80">
        <v>0</v>
      </c>
      <c r="AB45" s="80" t="e">
        <v>#N/A</v>
      </c>
      <c r="AC45" s="80">
        <v>0</v>
      </c>
      <c r="AE45" s="80">
        <f t="shared" si="0"/>
        <v>12306</v>
      </c>
      <c r="AF45" s="80">
        <f t="shared" si="1"/>
        <v>12318</v>
      </c>
      <c r="AG45" s="80">
        <f t="shared" si="2"/>
        <v>0</v>
      </c>
      <c r="AH45" s="80">
        <f t="shared" si="3"/>
        <v>0</v>
      </c>
      <c r="AI45" s="80">
        <f t="shared" si="4"/>
        <v>0</v>
      </c>
      <c r="AJ45" s="80">
        <f t="shared" si="5"/>
        <v>0</v>
      </c>
    </row>
    <row r="46" spans="1:36" s="80" customFormat="1" x14ac:dyDescent="0.3">
      <c r="A46" s="80" t="s">
        <v>14</v>
      </c>
      <c r="B46" s="80" t="s">
        <v>14</v>
      </c>
      <c r="C46" s="249">
        <v>306319</v>
      </c>
      <c r="D46" s="302" t="s">
        <v>1507</v>
      </c>
      <c r="E46" s="299" t="e">
        <f>VLOOKUP(C:C,#REF!,1,FALSE)</f>
        <v>#REF!</v>
      </c>
      <c r="F46" s="249" t="s">
        <v>1437</v>
      </c>
      <c r="G46" s="249">
        <v>0</v>
      </c>
      <c r="H46" s="249">
        <v>1</v>
      </c>
      <c r="I46" s="249" t="s">
        <v>1224</v>
      </c>
      <c r="J46" s="300">
        <v>0</v>
      </c>
      <c r="K46" s="80">
        <v>12306</v>
      </c>
      <c r="L46" s="80" t="s">
        <v>1022</v>
      </c>
      <c r="M46" s="80" t="s">
        <v>1438</v>
      </c>
      <c r="N46" s="80">
        <v>12318</v>
      </c>
      <c r="O46" s="80" t="s">
        <v>1023</v>
      </c>
      <c r="P46" s="80" t="s">
        <v>1438</v>
      </c>
      <c r="Q46" s="80">
        <v>0</v>
      </c>
      <c r="R46" s="80">
        <v>0</v>
      </c>
      <c r="S46" s="80" t="e">
        <v>#N/A</v>
      </c>
      <c r="T46" s="80">
        <v>0</v>
      </c>
      <c r="U46" s="80">
        <v>0</v>
      </c>
      <c r="V46" s="80" t="e">
        <v>#N/A</v>
      </c>
      <c r="W46" s="80">
        <v>0</v>
      </c>
      <c r="X46" s="80">
        <v>0</v>
      </c>
      <c r="Y46" s="80" t="e">
        <v>#N/A</v>
      </c>
      <c r="Z46" s="80">
        <v>0</v>
      </c>
      <c r="AA46" s="80">
        <v>0</v>
      </c>
      <c r="AB46" s="80" t="e">
        <v>#N/A</v>
      </c>
      <c r="AC46" s="80">
        <v>0</v>
      </c>
      <c r="AE46" s="80">
        <f t="shared" si="0"/>
        <v>12306</v>
      </c>
      <c r="AF46" s="80">
        <f t="shared" si="1"/>
        <v>12318</v>
      </c>
      <c r="AG46" s="80">
        <f t="shared" si="2"/>
        <v>0</v>
      </c>
      <c r="AH46" s="80">
        <f t="shared" si="3"/>
        <v>0</v>
      </c>
      <c r="AI46" s="80">
        <f t="shared" si="4"/>
        <v>0</v>
      </c>
      <c r="AJ46" s="80">
        <f t="shared" si="5"/>
        <v>0</v>
      </c>
    </row>
    <row r="47" spans="1:36" s="80" customFormat="1" x14ac:dyDescent="0.3">
      <c r="A47" s="80" t="s">
        <v>14</v>
      </c>
      <c r="B47" s="80" t="s">
        <v>14</v>
      </c>
      <c r="C47" s="249">
        <v>12106</v>
      </c>
      <c r="D47" s="302" t="s">
        <v>1508</v>
      </c>
      <c r="E47" s="299" t="e">
        <f>VLOOKUP(C:C,#REF!,1,FALSE)</f>
        <v>#REF!</v>
      </c>
      <c r="F47" s="249" t="s">
        <v>1438</v>
      </c>
      <c r="G47" s="249">
        <v>1</v>
      </c>
      <c r="H47" s="249">
        <v>0</v>
      </c>
      <c r="I47" s="249" t="s">
        <v>1222</v>
      </c>
      <c r="J47" s="300">
        <v>0</v>
      </c>
      <c r="K47" s="80">
        <v>12306</v>
      </c>
      <c r="L47" s="80" t="s">
        <v>1022</v>
      </c>
      <c r="M47" s="80" t="s">
        <v>1438</v>
      </c>
      <c r="N47" s="80">
        <v>12318</v>
      </c>
      <c r="O47" s="80" t="s">
        <v>1023</v>
      </c>
      <c r="P47" s="80" t="s">
        <v>1438</v>
      </c>
      <c r="Q47" s="80">
        <v>0</v>
      </c>
      <c r="R47" s="80" t="e">
        <v>#N/A</v>
      </c>
      <c r="S47" s="80" t="e">
        <v>#N/A</v>
      </c>
      <c r="T47" s="80">
        <v>0</v>
      </c>
      <c r="U47" s="80">
        <v>0</v>
      </c>
      <c r="V47" s="80" t="e">
        <v>#N/A</v>
      </c>
      <c r="W47" s="80">
        <v>0</v>
      </c>
      <c r="X47" s="80">
        <v>0</v>
      </c>
      <c r="Y47" s="80" t="e">
        <v>#N/A</v>
      </c>
      <c r="Z47" s="80">
        <v>0</v>
      </c>
      <c r="AA47" s="80">
        <v>0</v>
      </c>
      <c r="AB47" s="80" t="e">
        <v>#N/A</v>
      </c>
      <c r="AC47" s="80" t="s">
        <v>1222</v>
      </c>
      <c r="AE47" s="80">
        <f t="shared" si="0"/>
        <v>12306</v>
      </c>
      <c r="AF47" s="80">
        <f t="shared" si="1"/>
        <v>12318</v>
      </c>
      <c r="AG47" s="80">
        <f t="shared" si="2"/>
        <v>0</v>
      </c>
      <c r="AH47" s="80">
        <f t="shared" si="3"/>
        <v>0</v>
      </c>
      <c r="AI47" s="80">
        <f t="shared" si="4"/>
        <v>0</v>
      </c>
      <c r="AJ47" s="80">
        <f t="shared" si="5"/>
        <v>0</v>
      </c>
    </row>
    <row r="48" spans="1:36" s="80" customFormat="1" x14ac:dyDescent="0.3">
      <c r="A48" s="80" t="s">
        <v>14</v>
      </c>
      <c r="B48" s="80" t="s">
        <v>14</v>
      </c>
      <c r="C48" s="249">
        <v>12107</v>
      </c>
      <c r="D48" s="302" t="s">
        <v>1509</v>
      </c>
      <c r="E48" s="299" t="e">
        <f>VLOOKUP(C:C,#REF!,1,FALSE)</f>
        <v>#REF!</v>
      </c>
      <c r="F48" s="249" t="s">
        <v>1438</v>
      </c>
      <c r="G48" s="249">
        <v>1</v>
      </c>
      <c r="H48" s="249">
        <v>0</v>
      </c>
      <c r="I48" s="249" t="s">
        <v>1223</v>
      </c>
      <c r="J48" s="300">
        <v>0</v>
      </c>
      <c r="K48" s="80">
        <v>12306</v>
      </c>
      <c r="L48" s="80" t="s">
        <v>1022</v>
      </c>
      <c r="M48" s="80" t="s">
        <v>1438</v>
      </c>
      <c r="N48" s="80">
        <v>12318</v>
      </c>
      <c r="O48" s="80" t="s">
        <v>1023</v>
      </c>
      <c r="P48" s="80" t="s">
        <v>1438</v>
      </c>
      <c r="Q48" s="80">
        <v>0</v>
      </c>
      <c r="R48" s="80" t="e">
        <v>#N/A</v>
      </c>
      <c r="S48" s="80" t="e">
        <v>#N/A</v>
      </c>
      <c r="T48" s="80">
        <v>0</v>
      </c>
      <c r="U48" s="80">
        <v>0</v>
      </c>
      <c r="V48" s="80" t="e">
        <v>#N/A</v>
      </c>
      <c r="W48" s="80">
        <v>0</v>
      </c>
      <c r="X48" s="80">
        <v>0</v>
      </c>
      <c r="Y48" s="80" t="e">
        <v>#N/A</v>
      </c>
      <c r="Z48" s="80">
        <v>0</v>
      </c>
      <c r="AA48" s="80">
        <v>0</v>
      </c>
      <c r="AB48" s="80" t="e">
        <v>#N/A</v>
      </c>
      <c r="AC48" s="80" t="s">
        <v>1223</v>
      </c>
      <c r="AE48" s="80">
        <f t="shared" si="0"/>
        <v>12306</v>
      </c>
      <c r="AF48" s="80">
        <f t="shared" si="1"/>
        <v>12318</v>
      </c>
      <c r="AG48" s="80">
        <f t="shared" si="2"/>
        <v>0</v>
      </c>
      <c r="AH48" s="80">
        <f t="shared" si="3"/>
        <v>0</v>
      </c>
      <c r="AI48" s="80">
        <f t="shared" si="4"/>
        <v>0</v>
      </c>
      <c r="AJ48" s="80">
        <f t="shared" si="5"/>
        <v>0</v>
      </c>
    </row>
    <row r="49" spans="1:36" s="80" customFormat="1" x14ac:dyDescent="0.3">
      <c r="A49" s="80" t="s">
        <v>14</v>
      </c>
      <c r="B49" s="80" t="s">
        <v>14</v>
      </c>
      <c r="C49" s="249">
        <v>12108</v>
      </c>
      <c r="D49" s="302" t="s">
        <v>1510</v>
      </c>
      <c r="E49" s="299" t="e">
        <f>VLOOKUP(C:C,#REF!,1,FALSE)</f>
        <v>#REF!</v>
      </c>
      <c r="F49" s="249" t="s">
        <v>1437</v>
      </c>
      <c r="G49" s="249">
        <v>1</v>
      </c>
      <c r="H49" s="249">
        <v>0</v>
      </c>
      <c r="I49" s="249" t="s">
        <v>1224</v>
      </c>
      <c r="J49" s="300">
        <v>0</v>
      </c>
      <c r="K49" s="80">
        <v>12306</v>
      </c>
      <c r="L49" s="80" t="s">
        <v>1022</v>
      </c>
      <c r="M49" s="80" t="s">
        <v>1438</v>
      </c>
      <c r="N49" s="80">
        <v>12318</v>
      </c>
      <c r="O49" s="80" t="s">
        <v>1023</v>
      </c>
      <c r="P49" s="80" t="s">
        <v>1438</v>
      </c>
      <c r="Q49" s="80">
        <v>0</v>
      </c>
      <c r="R49" s="80" t="e">
        <v>#N/A</v>
      </c>
      <c r="S49" s="80" t="e">
        <v>#N/A</v>
      </c>
      <c r="T49" s="80">
        <v>0</v>
      </c>
      <c r="U49" s="80">
        <v>0</v>
      </c>
      <c r="V49" s="80" t="e">
        <v>#N/A</v>
      </c>
      <c r="W49" s="80">
        <v>0</v>
      </c>
      <c r="X49" s="80">
        <v>0</v>
      </c>
      <c r="Y49" s="80" t="e">
        <v>#N/A</v>
      </c>
      <c r="Z49" s="80">
        <v>0</v>
      </c>
      <c r="AA49" s="80">
        <v>0</v>
      </c>
      <c r="AB49" s="80" t="e">
        <v>#N/A</v>
      </c>
      <c r="AC49" s="80" t="s">
        <v>1224</v>
      </c>
      <c r="AE49" s="80">
        <f t="shared" si="0"/>
        <v>12306</v>
      </c>
      <c r="AF49" s="80">
        <f t="shared" si="1"/>
        <v>12318</v>
      </c>
      <c r="AG49" s="80">
        <f t="shared" si="2"/>
        <v>0</v>
      </c>
      <c r="AH49" s="80">
        <f t="shared" si="3"/>
        <v>0</v>
      </c>
      <c r="AI49" s="80">
        <f t="shared" si="4"/>
        <v>0</v>
      </c>
      <c r="AJ49" s="80">
        <f t="shared" si="5"/>
        <v>0</v>
      </c>
    </row>
    <row r="50" spans="1:36" s="80" customFormat="1" x14ac:dyDescent="0.3">
      <c r="A50" s="80" t="s">
        <v>14</v>
      </c>
      <c r="B50" s="80" t="s">
        <v>14</v>
      </c>
      <c r="C50" s="249">
        <v>118033</v>
      </c>
      <c r="D50" s="302" t="s">
        <v>1511</v>
      </c>
      <c r="E50" s="299" t="e">
        <f>VLOOKUP(C:C,#REF!,1,FALSE)</f>
        <v>#REF!</v>
      </c>
      <c r="F50" s="249" t="s">
        <v>1437</v>
      </c>
      <c r="G50" s="249">
        <v>1</v>
      </c>
      <c r="H50" s="249">
        <v>1</v>
      </c>
      <c r="I50" s="249" t="s">
        <v>1222</v>
      </c>
      <c r="J50" s="300">
        <v>0</v>
      </c>
      <c r="K50" s="80">
        <v>12306</v>
      </c>
      <c r="L50" s="80" t="s">
        <v>1022</v>
      </c>
      <c r="M50" s="80" t="s">
        <v>1438</v>
      </c>
      <c r="N50" s="80">
        <v>12318</v>
      </c>
      <c r="O50" s="80" t="s">
        <v>1023</v>
      </c>
      <c r="P50" s="80" t="s">
        <v>1438</v>
      </c>
      <c r="Q50" s="80">
        <v>0</v>
      </c>
      <c r="R50" s="80" t="e">
        <v>#N/A</v>
      </c>
      <c r="S50" s="80" t="e">
        <v>#N/A</v>
      </c>
      <c r="T50" s="80">
        <v>0</v>
      </c>
      <c r="U50" s="80">
        <v>0</v>
      </c>
      <c r="V50" s="80" t="e">
        <v>#N/A</v>
      </c>
      <c r="W50" s="80">
        <v>0</v>
      </c>
      <c r="X50" s="80">
        <v>0</v>
      </c>
      <c r="Y50" s="80" t="e">
        <v>#N/A</v>
      </c>
      <c r="Z50" s="80">
        <v>0</v>
      </c>
      <c r="AA50" s="80">
        <v>0</v>
      </c>
      <c r="AB50" s="80" t="e">
        <v>#N/A</v>
      </c>
      <c r="AC50" s="80" t="s">
        <v>1222</v>
      </c>
      <c r="AE50" s="80">
        <f t="shared" si="0"/>
        <v>12306</v>
      </c>
      <c r="AF50" s="80">
        <f t="shared" si="1"/>
        <v>12318</v>
      </c>
      <c r="AG50" s="80">
        <f t="shared" si="2"/>
        <v>0</v>
      </c>
      <c r="AH50" s="80">
        <f t="shared" si="3"/>
        <v>0</v>
      </c>
      <c r="AI50" s="80">
        <f t="shared" si="4"/>
        <v>0</v>
      </c>
      <c r="AJ50" s="80">
        <f t="shared" si="5"/>
        <v>0</v>
      </c>
    </row>
    <row r="51" spans="1:36" s="80" customFormat="1" x14ac:dyDescent="0.3">
      <c r="A51" s="80" t="s">
        <v>14</v>
      </c>
      <c r="B51" s="80" t="s">
        <v>14</v>
      </c>
      <c r="C51" s="249">
        <v>118120</v>
      </c>
      <c r="D51" s="302" t="s">
        <v>1512</v>
      </c>
      <c r="E51" s="299" t="e">
        <f>VLOOKUP(C:C,#REF!,1,FALSE)</f>
        <v>#REF!</v>
      </c>
      <c r="F51" s="249" t="s">
        <v>1437</v>
      </c>
      <c r="G51" s="249">
        <v>1</v>
      </c>
      <c r="H51" s="249">
        <v>1</v>
      </c>
      <c r="I51" s="249" t="s">
        <v>1223</v>
      </c>
      <c r="J51" s="300">
        <v>0</v>
      </c>
      <c r="K51" s="80">
        <v>12306</v>
      </c>
      <c r="L51" s="80" t="s">
        <v>1022</v>
      </c>
      <c r="M51" s="80" t="s">
        <v>1438</v>
      </c>
      <c r="N51" s="80">
        <v>12318</v>
      </c>
      <c r="O51" s="80" t="s">
        <v>1023</v>
      </c>
      <c r="P51" s="80" t="s">
        <v>1438</v>
      </c>
      <c r="Q51" s="80">
        <v>0</v>
      </c>
      <c r="R51" s="80" t="e">
        <v>#N/A</v>
      </c>
      <c r="S51" s="80" t="e">
        <v>#N/A</v>
      </c>
      <c r="T51" s="80">
        <v>0</v>
      </c>
      <c r="U51" s="80">
        <v>0</v>
      </c>
      <c r="V51" s="80" t="e">
        <v>#N/A</v>
      </c>
      <c r="W51" s="80">
        <v>0</v>
      </c>
      <c r="X51" s="80">
        <v>0</v>
      </c>
      <c r="Y51" s="80" t="e">
        <v>#N/A</v>
      </c>
      <c r="Z51" s="80">
        <v>0</v>
      </c>
      <c r="AA51" s="80">
        <v>0</v>
      </c>
      <c r="AB51" s="80" t="e">
        <v>#N/A</v>
      </c>
      <c r="AC51" s="80" t="s">
        <v>1223</v>
      </c>
      <c r="AE51" s="80">
        <f t="shared" si="0"/>
        <v>12306</v>
      </c>
      <c r="AF51" s="80">
        <f t="shared" si="1"/>
        <v>12318</v>
      </c>
      <c r="AG51" s="80">
        <f t="shared" si="2"/>
        <v>0</v>
      </c>
      <c r="AH51" s="80">
        <f t="shared" si="3"/>
        <v>0</v>
      </c>
      <c r="AI51" s="80">
        <f t="shared" si="4"/>
        <v>0</v>
      </c>
      <c r="AJ51" s="80">
        <f t="shared" si="5"/>
        <v>0</v>
      </c>
    </row>
    <row r="52" spans="1:36" s="80" customFormat="1" x14ac:dyDescent="0.3">
      <c r="A52" s="80" t="s">
        <v>14</v>
      </c>
      <c r="B52" s="80" t="s">
        <v>14</v>
      </c>
      <c r="C52" s="249">
        <v>118121</v>
      </c>
      <c r="D52" s="302" t="s">
        <v>1513</v>
      </c>
      <c r="E52" s="299" t="e">
        <f>VLOOKUP(C:C,#REF!,1,FALSE)</f>
        <v>#REF!</v>
      </c>
      <c r="F52" s="249" t="s">
        <v>1437</v>
      </c>
      <c r="G52" s="249">
        <v>1</v>
      </c>
      <c r="H52" s="249">
        <v>1</v>
      </c>
      <c r="I52" s="249" t="s">
        <v>1224</v>
      </c>
      <c r="J52" s="300">
        <v>0</v>
      </c>
      <c r="K52" s="80">
        <v>12306</v>
      </c>
      <c r="L52" s="80" t="s">
        <v>1022</v>
      </c>
      <c r="M52" s="80" t="s">
        <v>1438</v>
      </c>
      <c r="N52" s="80">
        <v>12318</v>
      </c>
      <c r="O52" s="80" t="s">
        <v>1023</v>
      </c>
      <c r="P52" s="80" t="s">
        <v>1438</v>
      </c>
      <c r="Q52" s="80">
        <v>0</v>
      </c>
      <c r="R52" s="80" t="e">
        <v>#N/A</v>
      </c>
      <c r="S52" s="80" t="e">
        <v>#N/A</v>
      </c>
      <c r="T52" s="80">
        <v>0</v>
      </c>
      <c r="U52" s="80">
        <v>0</v>
      </c>
      <c r="V52" s="80" t="e">
        <v>#N/A</v>
      </c>
      <c r="W52" s="80">
        <v>0</v>
      </c>
      <c r="X52" s="80">
        <v>0</v>
      </c>
      <c r="Y52" s="80" t="e">
        <v>#N/A</v>
      </c>
      <c r="Z52" s="80">
        <v>0</v>
      </c>
      <c r="AA52" s="80">
        <v>0</v>
      </c>
      <c r="AB52" s="80" t="e">
        <v>#N/A</v>
      </c>
      <c r="AC52" s="80" t="s">
        <v>1224</v>
      </c>
      <c r="AE52" s="80">
        <f t="shared" si="0"/>
        <v>12306</v>
      </c>
      <c r="AF52" s="80">
        <f t="shared" si="1"/>
        <v>12318</v>
      </c>
      <c r="AG52" s="80">
        <f t="shared" si="2"/>
        <v>0</v>
      </c>
      <c r="AH52" s="80">
        <f t="shared" si="3"/>
        <v>0</v>
      </c>
      <c r="AI52" s="80">
        <f t="shared" si="4"/>
        <v>0</v>
      </c>
      <c r="AJ52" s="80">
        <f t="shared" si="5"/>
        <v>0</v>
      </c>
    </row>
    <row r="53" spans="1:36" s="80" customFormat="1" x14ac:dyDescent="0.3">
      <c r="A53" s="80" t="s">
        <v>14</v>
      </c>
      <c r="B53" s="80" t="s">
        <v>14</v>
      </c>
      <c r="C53" s="249">
        <v>12109</v>
      </c>
      <c r="D53" s="302" t="s">
        <v>1514</v>
      </c>
      <c r="E53" s="299" t="e">
        <f>VLOOKUP(C:C,#REF!,1,FALSE)</f>
        <v>#REF!</v>
      </c>
      <c r="F53" s="249" t="s">
        <v>1437</v>
      </c>
      <c r="G53" s="249">
        <v>1</v>
      </c>
      <c r="H53" s="249">
        <v>0</v>
      </c>
      <c r="I53" s="249" t="s">
        <v>1222</v>
      </c>
      <c r="J53" s="300">
        <v>1</v>
      </c>
      <c r="K53" s="80">
        <v>12306</v>
      </c>
      <c r="L53" s="80" t="s">
        <v>1022</v>
      </c>
      <c r="M53" s="80" t="s">
        <v>1438</v>
      </c>
      <c r="N53" s="80">
        <v>12318</v>
      </c>
      <c r="O53" s="80" t="s">
        <v>1023</v>
      </c>
      <c r="P53" s="80" t="s">
        <v>1438</v>
      </c>
      <c r="Q53" s="80">
        <v>0</v>
      </c>
      <c r="R53" s="80" t="e">
        <v>#N/A</v>
      </c>
      <c r="S53" s="80" t="e">
        <v>#N/A</v>
      </c>
      <c r="T53" s="80">
        <v>0</v>
      </c>
      <c r="U53" s="80">
        <v>0</v>
      </c>
      <c r="V53" s="80" t="e">
        <v>#N/A</v>
      </c>
      <c r="W53" s="80">
        <v>0</v>
      </c>
      <c r="X53" s="80">
        <v>0</v>
      </c>
      <c r="Y53" s="80" t="e">
        <v>#N/A</v>
      </c>
      <c r="Z53" s="80">
        <v>0</v>
      </c>
      <c r="AA53" s="80">
        <v>0</v>
      </c>
      <c r="AB53" s="80" t="e">
        <v>#N/A</v>
      </c>
      <c r="AC53" s="80" t="s">
        <v>1222</v>
      </c>
      <c r="AE53" s="80">
        <f t="shared" si="0"/>
        <v>12306</v>
      </c>
      <c r="AF53" s="80">
        <f t="shared" si="1"/>
        <v>12318</v>
      </c>
      <c r="AG53" s="80">
        <f t="shared" si="2"/>
        <v>0</v>
      </c>
      <c r="AH53" s="80">
        <f t="shared" si="3"/>
        <v>0</v>
      </c>
      <c r="AI53" s="80">
        <f t="shared" si="4"/>
        <v>0</v>
      </c>
      <c r="AJ53" s="80">
        <f t="shared" si="5"/>
        <v>0</v>
      </c>
    </row>
    <row r="54" spans="1:36" s="80" customFormat="1" x14ac:dyDescent="0.3">
      <c r="A54" s="80" t="s">
        <v>14</v>
      </c>
      <c r="B54" s="80" t="s">
        <v>14</v>
      </c>
      <c r="C54" s="249">
        <v>13764</v>
      </c>
      <c r="D54" s="302" t="s">
        <v>1515</v>
      </c>
      <c r="E54" s="299" t="e">
        <f>VLOOKUP(C:C,#REF!,1,FALSE)</f>
        <v>#REF!</v>
      </c>
      <c r="F54" s="249" t="s">
        <v>1438</v>
      </c>
      <c r="G54" s="249">
        <v>1</v>
      </c>
      <c r="H54" s="249">
        <v>0</v>
      </c>
      <c r="I54" s="249" t="s">
        <v>1222</v>
      </c>
      <c r="J54" s="300">
        <v>1</v>
      </c>
      <c r="K54" s="80">
        <v>12306</v>
      </c>
      <c r="L54" s="80" t="s">
        <v>1022</v>
      </c>
      <c r="M54" s="80" t="s">
        <v>1438</v>
      </c>
      <c r="N54" s="80">
        <v>12318</v>
      </c>
      <c r="O54" s="80" t="s">
        <v>1023</v>
      </c>
      <c r="P54" s="80" t="s">
        <v>1438</v>
      </c>
      <c r="Q54" s="80">
        <v>0</v>
      </c>
      <c r="R54" s="80" t="e">
        <v>#N/A</v>
      </c>
      <c r="S54" s="80" t="e">
        <v>#N/A</v>
      </c>
      <c r="T54" s="80">
        <v>0</v>
      </c>
      <c r="U54" s="80">
        <v>0</v>
      </c>
      <c r="V54" s="80" t="e">
        <v>#N/A</v>
      </c>
      <c r="W54" s="80">
        <v>0</v>
      </c>
      <c r="X54" s="80">
        <v>0</v>
      </c>
      <c r="Y54" s="80" t="e">
        <v>#N/A</v>
      </c>
      <c r="Z54" s="80">
        <v>0</v>
      </c>
      <c r="AA54" s="80">
        <v>0</v>
      </c>
      <c r="AB54" s="80" t="e">
        <v>#N/A</v>
      </c>
      <c r="AC54" s="80" t="s">
        <v>1222</v>
      </c>
      <c r="AE54" s="80">
        <f t="shared" si="0"/>
        <v>12306</v>
      </c>
      <c r="AF54" s="80">
        <f t="shared" si="1"/>
        <v>12318</v>
      </c>
      <c r="AG54" s="80">
        <f t="shared" si="2"/>
        <v>0</v>
      </c>
      <c r="AH54" s="80">
        <f t="shared" si="3"/>
        <v>0</v>
      </c>
      <c r="AI54" s="80">
        <f t="shared" si="4"/>
        <v>0</v>
      </c>
      <c r="AJ54" s="80">
        <f t="shared" si="5"/>
        <v>0</v>
      </c>
    </row>
    <row r="55" spans="1:36" s="80" customFormat="1" x14ac:dyDescent="0.3">
      <c r="A55" s="80" t="s">
        <v>14</v>
      </c>
      <c r="B55" s="80" t="s">
        <v>14</v>
      </c>
      <c r="C55" s="249">
        <v>306329</v>
      </c>
      <c r="D55" s="302" t="s">
        <v>1516</v>
      </c>
      <c r="E55" s="299" t="e">
        <f>VLOOKUP(C:C,#REF!,1,FALSE)</f>
        <v>#REF!</v>
      </c>
      <c r="F55" s="249" t="s">
        <v>1437</v>
      </c>
      <c r="G55" s="249">
        <v>1</v>
      </c>
      <c r="H55" s="249">
        <v>0</v>
      </c>
      <c r="I55" s="249" t="s">
        <v>1222</v>
      </c>
      <c r="J55" s="300">
        <v>0</v>
      </c>
      <c r="K55" s="80">
        <v>12306</v>
      </c>
      <c r="L55" s="80" t="s">
        <v>1022</v>
      </c>
      <c r="M55" s="80" t="s">
        <v>1438</v>
      </c>
      <c r="N55" s="80">
        <v>12318</v>
      </c>
      <c r="O55" s="80" t="s">
        <v>1023</v>
      </c>
      <c r="P55" s="80" t="s">
        <v>1438</v>
      </c>
      <c r="Q55" s="80">
        <v>0</v>
      </c>
      <c r="R55" s="80" t="e">
        <v>#N/A</v>
      </c>
      <c r="S55" s="80" t="e">
        <v>#N/A</v>
      </c>
      <c r="T55" s="80">
        <v>0</v>
      </c>
      <c r="U55" s="80">
        <v>0</v>
      </c>
      <c r="V55" s="80" t="e">
        <v>#N/A</v>
      </c>
      <c r="W55" s="80">
        <v>0</v>
      </c>
      <c r="X55" s="80">
        <v>0</v>
      </c>
      <c r="Y55" s="80" t="e">
        <v>#N/A</v>
      </c>
      <c r="Z55" s="80">
        <v>0</v>
      </c>
      <c r="AA55" s="80">
        <v>0</v>
      </c>
      <c r="AB55" s="80" t="e">
        <v>#N/A</v>
      </c>
      <c r="AC55" s="80">
        <v>0</v>
      </c>
      <c r="AE55" s="80">
        <f t="shared" si="0"/>
        <v>12306</v>
      </c>
      <c r="AF55" s="80">
        <f t="shared" si="1"/>
        <v>12318</v>
      </c>
      <c r="AG55" s="80">
        <f t="shared" si="2"/>
        <v>0</v>
      </c>
      <c r="AH55" s="80">
        <f t="shared" si="3"/>
        <v>0</v>
      </c>
      <c r="AI55" s="80">
        <f t="shared" si="4"/>
        <v>0</v>
      </c>
      <c r="AJ55" s="80">
        <f t="shared" si="5"/>
        <v>0</v>
      </c>
    </row>
    <row r="56" spans="1:36" s="80" customFormat="1" x14ac:dyDescent="0.3">
      <c r="B56" s="137"/>
      <c r="C56" s="166"/>
      <c r="D56" s="302"/>
      <c r="E56" s="302"/>
      <c r="F56" s="166"/>
      <c r="G56" s="166"/>
      <c r="H56" s="166"/>
      <c r="I56" s="166"/>
      <c r="J56" s="166"/>
      <c r="K56" s="137"/>
      <c r="L56" s="137"/>
      <c r="M56" s="137"/>
      <c r="N56" s="137"/>
      <c r="O56" s="137"/>
      <c r="P56" s="137"/>
      <c r="Q56" s="137"/>
      <c r="R56" s="137"/>
      <c r="S56" s="137"/>
      <c r="T56" s="137"/>
      <c r="U56" s="137"/>
      <c r="V56" s="137"/>
      <c r="W56" s="137"/>
      <c r="X56" s="137"/>
      <c r="Y56" s="137"/>
      <c r="Z56" s="137"/>
      <c r="AA56" s="137"/>
      <c r="AB56" s="137"/>
      <c r="AC56" s="137"/>
    </row>
    <row r="57" spans="1:36" s="80" customFormat="1" x14ac:dyDescent="0.3">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row>
    <row r="58" spans="1:36" x14ac:dyDescent="0.3">
      <c r="D58" s="137"/>
      <c r="E58" s="137"/>
    </row>
    <row r="59" spans="1:36" x14ac:dyDescent="0.3">
      <c r="D59" s="137"/>
      <c r="E59" s="137"/>
    </row>
    <row r="60" spans="1:36" x14ac:dyDescent="0.3">
      <c r="D60" s="137"/>
      <c r="E60" s="137"/>
    </row>
  </sheetData>
  <autoFilter ref="A1:AJ55" xr:uid="{ADFFC3A8-E4DB-4A87-AE41-0621DD730EF1}"/>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BH592"/>
  <sheetViews>
    <sheetView showZeros="0" topLeftCell="AK283" zoomScale="90" zoomScaleNormal="90" zoomScaleSheetLayoutView="85" workbookViewId="0">
      <selection activeCell="AP293" sqref="AP293"/>
    </sheetView>
  </sheetViews>
  <sheetFormatPr defaultColWidth="9.109375" defaultRowHeight="14.4" x14ac:dyDescent="0.3"/>
  <cols>
    <col min="1" max="1" width="1.44140625" style="52" customWidth="1"/>
    <col min="2" max="2" width="29.5546875" style="4" customWidth="1"/>
    <col min="3" max="3" width="9.21875" style="4" customWidth="1"/>
    <col min="4" max="4" width="9.21875" style="52" customWidth="1"/>
    <col min="5" max="5" width="14.6640625" style="52" customWidth="1"/>
    <col min="6" max="6" width="3.5546875" style="52" customWidth="1"/>
    <col min="7" max="7" width="9.5546875" style="52" bestFit="1" customWidth="1"/>
    <col min="8" max="8" width="4" style="52" customWidth="1"/>
    <col min="9" max="9" width="3.6640625" style="52" customWidth="1"/>
    <col min="10" max="10" width="2.88671875" style="52" customWidth="1"/>
    <col min="11" max="11" width="4" style="52" customWidth="1"/>
    <col min="12" max="12" width="3.44140625" style="52" customWidth="1"/>
    <col min="13" max="13" width="3.6640625" style="52" customWidth="1"/>
    <col min="14" max="14" width="2" style="52" customWidth="1"/>
    <col min="15" max="15" width="4" style="52" customWidth="1"/>
    <col min="16" max="16" width="5.33203125" style="52" customWidth="1"/>
    <col min="17" max="17" width="1.88671875" style="52" customWidth="1"/>
    <col min="18" max="18" width="4" style="52" customWidth="1"/>
    <col min="19" max="19" width="2.6640625" style="52" customWidth="1"/>
    <col min="20" max="20" width="1.44140625" style="52" customWidth="1"/>
    <col min="21" max="21" width="8.5546875" style="52" bestFit="1" customWidth="1"/>
    <col min="22" max="22" width="1.88671875" style="52" customWidth="1"/>
    <col min="23" max="23" width="3.109375" style="52" customWidth="1"/>
    <col min="24" max="24" width="1.109375" style="52" customWidth="1"/>
    <col min="25" max="25" width="3.88671875" style="52" customWidth="1"/>
    <col min="26" max="26" width="6.6640625" style="4" customWidth="1"/>
    <col min="27" max="27" width="13.88671875" style="4" customWidth="1"/>
    <col min="28" max="28" width="15.88671875" style="4" customWidth="1"/>
    <col min="29" max="29" width="48.109375" style="4" customWidth="1"/>
    <col min="30" max="30" width="22.6640625" style="257" customWidth="1"/>
    <col min="31" max="31" width="9.88671875" style="199" customWidth="1"/>
    <col min="32" max="32" width="26" style="106" customWidth="1"/>
    <col min="33" max="33" width="18.5546875" style="4" customWidth="1"/>
    <col min="34" max="34" width="18.88671875" style="4" customWidth="1"/>
    <col min="35" max="35" width="26.109375" style="4" customWidth="1"/>
    <col min="36" max="36" width="23.33203125" style="4" customWidth="1"/>
    <col min="37" max="37" width="2.109375" style="4" customWidth="1"/>
    <col min="38" max="38" width="18.5546875" style="4" customWidth="1"/>
    <col min="39" max="39" width="21.33203125" style="4" customWidth="1"/>
    <col min="40" max="40" width="28.6640625" style="4" customWidth="1"/>
    <col min="41" max="41" width="51.44140625" style="4" customWidth="1"/>
    <col min="42" max="42" width="8.5546875" style="4" customWidth="1"/>
    <col min="43" max="43" width="18.5546875" style="4" customWidth="1"/>
    <col min="44" max="44" width="9.88671875" style="4" customWidth="1"/>
    <col min="45" max="47" width="18.5546875" style="4" customWidth="1"/>
    <col min="48" max="48" width="17.5546875" style="4" customWidth="1"/>
    <col min="49" max="49" width="18.5546875" style="4" customWidth="1"/>
    <col min="50" max="50" width="7.109375" style="4" customWidth="1"/>
    <col min="51" max="51" width="18.5546875" style="4" customWidth="1"/>
    <col min="52" max="53" width="29" style="255" customWidth="1"/>
    <col min="54" max="54" width="33.5546875" style="52" customWidth="1"/>
    <col min="55" max="55" width="47.5546875" style="52" customWidth="1"/>
    <col min="56" max="56" width="8.109375" style="52" customWidth="1"/>
    <col min="57" max="57" width="8.33203125" style="52" customWidth="1"/>
    <col min="58" max="58" width="43.88671875" style="52" customWidth="1"/>
    <col min="59" max="59" width="37" style="52" customWidth="1"/>
    <col min="60" max="60" width="43.88671875" style="52" customWidth="1"/>
    <col min="61" max="231" width="10.5546875" style="52" customWidth="1"/>
    <col min="232" max="590" width="9.109375" style="52" customWidth="1"/>
    <col min="591" max="16384" width="9.109375" style="52"/>
  </cols>
  <sheetData>
    <row r="1" spans="2:55" ht="5.25" customHeight="1" x14ac:dyDescent="0.3"/>
    <row r="2" spans="2:55" x14ac:dyDescent="0.3">
      <c r="B2" s="1140" t="str">
        <f>Ceny_n!$B$204</f>
        <v>Ceny jsou platné od 1.02.2020/Verze 20.01</v>
      </c>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2"/>
      <c r="AD2" s="258"/>
      <c r="AE2" s="200"/>
    </row>
    <row r="3" spans="2:55" s="4" customFormat="1" ht="12.75" customHeight="1" x14ac:dyDescent="0.3">
      <c r="B3" s="1143" t="str">
        <f>Ceny_n!$B$265</f>
        <v>Běžné rámečky</v>
      </c>
      <c r="C3" s="1144"/>
      <c r="D3" s="1144"/>
      <c r="E3" s="1144"/>
      <c r="F3" s="1144"/>
      <c r="G3" s="1144"/>
      <c r="H3" s="1144"/>
      <c r="I3" s="1144"/>
      <c r="J3" s="1144"/>
      <c r="K3" s="1144"/>
      <c r="L3" s="1144"/>
      <c r="M3" s="1144"/>
      <c r="N3" s="1144"/>
      <c r="O3" s="1144"/>
      <c r="P3" s="1144"/>
      <c r="Q3" s="1144"/>
      <c r="R3" s="1144"/>
      <c r="S3" s="1144"/>
      <c r="T3" s="1144"/>
      <c r="U3" s="1144"/>
      <c r="V3" s="1144"/>
      <c r="W3" s="1144"/>
      <c r="X3" s="1144"/>
      <c r="Y3" s="1146"/>
      <c r="Z3" s="1146"/>
      <c r="AA3" s="1146"/>
      <c r="AB3" s="1146"/>
      <c r="AC3" s="1147"/>
      <c r="AD3" s="259"/>
      <c r="AE3" s="201"/>
      <c r="AF3" s="106"/>
      <c r="AZ3" s="256"/>
      <c r="BA3" s="256"/>
    </row>
    <row r="4" spans="2:55" s="4" customFormat="1" ht="12.75" customHeight="1" x14ac:dyDescent="0.3">
      <c r="B4" s="1143"/>
      <c r="C4" s="1144"/>
      <c r="D4" s="1144"/>
      <c r="E4" s="1144"/>
      <c r="F4" s="1144"/>
      <c r="G4" s="1144"/>
      <c r="H4" s="1144"/>
      <c r="I4" s="1144"/>
      <c r="J4" s="1144"/>
      <c r="K4" s="1144"/>
      <c r="L4" s="1144"/>
      <c r="M4" s="1144"/>
      <c r="N4" s="1144"/>
      <c r="O4" s="1144"/>
      <c r="P4" s="1144"/>
      <c r="Q4" s="1144"/>
      <c r="R4" s="1144"/>
      <c r="S4" s="1144"/>
      <c r="T4" s="1144"/>
      <c r="U4" s="1144"/>
      <c r="V4" s="1144"/>
      <c r="W4" s="1144"/>
      <c r="X4" s="1144"/>
      <c r="Y4" s="1146"/>
      <c r="Z4" s="1146"/>
      <c r="AA4" s="1146"/>
      <c r="AB4" s="1146"/>
      <c r="AC4" s="1147"/>
      <c r="AD4" s="259"/>
      <c r="AE4" s="201"/>
      <c r="AF4" s="106"/>
      <c r="AZ4" s="256"/>
      <c r="BA4" s="256"/>
    </row>
    <row r="5" spans="2:55" s="4" customFormat="1" ht="12.75" customHeight="1" x14ac:dyDescent="0.3">
      <c r="B5" s="1143"/>
      <c r="C5" s="1144"/>
      <c r="D5" s="1144"/>
      <c r="E5" s="1144"/>
      <c r="F5" s="1144"/>
      <c r="G5" s="1144"/>
      <c r="H5" s="1144"/>
      <c r="I5" s="1144"/>
      <c r="J5" s="1144"/>
      <c r="K5" s="1144"/>
      <c r="L5" s="1144"/>
      <c r="M5" s="1144"/>
      <c r="N5" s="1144"/>
      <c r="O5" s="1144"/>
      <c r="P5" s="1144"/>
      <c r="Q5" s="1144"/>
      <c r="R5" s="1144"/>
      <c r="S5" s="1144"/>
      <c r="T5" s="1144"/>
      <c r="U5" s="1144"/>
      <c r="V5" s="1144"/>
      <c r="W5" s="1144"/>
      <c r="X5" s="1144"/>
      <c r="Y5" s="1146"/>
      <c r="Z5" s="1146"/>
      <c r="AA5" s="1146"/>
      <c r="AB5" s="1146"/>
      <c r="AC5" s="1147"/>
      <c r="AD5" s="259"/>
      <c r="AE5" s="201"/>
      <c r="AF5" s="107"/>
      <c r="AZ5" s="256"/>
      <c r="BA5" s="256"/>
    </row>
    <row r="6" spans="2:55" s="4" customFormat="1" ht="12.75" customHeight="1" x14ac:dyDescent="0.3">
      <c r="B6" s="1143"/>
      <c r="C6" s="1144"/>
      <c r="D6" s="1144"/>
      <c r="E6" s="1144"/>
      <c r="F6" s="1144"/>
      <c r="G6" s="1144"/>
      <c r="H6" s="1144"/>
      <c r="I6" s="1144"/>
      <c r="J6" s="1144"/>
      <c r="K6" s="1144"/>
      <c r="L6" s="1144"/>
      <c r="M6" s="1144"/>
      <c r="N6" s="1144"/>
      <c r="O6" s="1144"/>
      <c r="P6" s="1144"/>
      <c r="Q6" s="1144"/>
      <c r="R6" s="1144"/>
      <c r="S6" s="1144"/>
      <c r="T6" s="1144"/>
      <c r="U6" s="1144"/>
      <c r="V6" s="1144"/>
      <c r="W6" s="1144"/>
      <c r="X6" s="1144"/>
      <c r="Y6" s="1146"/>
      <c r="Z6" s="1146"/>
      <c r="AA6" s="1146"/>
      <c r="AB6" s="1146"/>
      <c r="AC6" s="1147"/>
      <c r="AD6" s="259"/>
      <c r="AE6" s="201"/>
      <c r="AF6" s="107"/>
      <c r="AL6" s="4">
        <v>0</v>
      </c>
      <c r="AZ6" s="256"/>
      <c r="BA6" s="256"/>
    </row>
    <row r="7" spans="2:55" s="4" customFormat="1" ht="10.5" customHeight="1" x14ac:dyDescent="0.3">
      <c r="B7" s="1143"/>
      <c r="C7" s="1144"/>
      <c r="D7" s="1144"/>
      <c r="E7" s="1144"/>
      <c r="F7" s="1144"/>
      <c r="G7" s="1144"/>
      <c r="H7" s="1144"/>
      <c r="I7" s="1144"/>
      <c r="J7" s="1144"/>
      <c r="K7" s="1144"/>
      <c r="L7" s="1144"/>
      <c r="M7" s="1144"/>
      <c r="N7" s="1144"/>
      <c r="O7" s="1144"/>
      <c r="P7" s="1144"/>
      <c r="Q7" s="1144"/>
      <c r="R7" s="1144"/>
      <c r="S7" s="1144"/>
      <c r="T7" s="1144"/>
      <c r="U7" s="1144"/>
      <c r="V7" s="1144"/>
      <c r="W7" s="1144"/>
      <c r="X7" s="1144"/>
      <c r="Y7" s="1148"/>
      <c r="Z7" s="1148"/>
      <c r="AA7" s="1148"/>
      <c r="AB7" s="1148"/>
      <c r="AC7" s="1149"/>
      <c r="AD7" s="259"/>
      <c r="AE7" s="201"/>
      <c r="AF7" s="107"/>
      <c r="AZ7" s="256"/>
      <c r="BA7" s="256"/>
    </row>
    <row r="8" spans="2:55" s="4" customFormat="1" ht="7.5" customHeight="1" x14ac:dyDescent="0.3">
      <c r="B8" s="154"/>
      <c r="C8" s="155"/>
      <c r="D8" s="155"/>
      <c r="E8" s="155"/>
      <c r="F8" s="155"/>
      <c r="G8" s="155"/>
      <c r="H8" s="155"/>
      <c r="I8" s="155"/>
      <c r="J8" s="155"/>
      <c r="K8" s="155"/>
      <c r="L8" s="155"/>
      <c r="M8" s="155"/>
      <c r="N8" s="155"/>
      <c r="O8" s="155"/>
      <c r="P8" s="155"/>
      <c r="Q8" s="155"/>
      <c r="R8" s="155"/>
      <c r="S8" s="155"/>
      <c r="T8" s="155"/>
      <c r="U8" s="155"/>
      <c r="V8" s="155"/>
      <c r="W8" s="155"/>
      <c r="X8" s="155"/>
      <c r="Y8" s="95"/>
      <c r="Z8" s="95"/>
      <c r="AA8" s="95"/>
      <c r="AB8" s="95"/>
      <c r="AC8" s="105"/>
      <c r="AD8" s="259"/>
      <c r="AE8" s="201"/>
      <c r="AF8" s="107"/>
      <c r="AZ8" s="256"/>
      <c r="BA8" s="256"/>
    </row>
    <row r="9" spans="2:55" s="4" customFormat="1" ht="15" customHeight="1" x14ac:dyDescent="0.3">
      <c r="B9" s="1126" t="str">
        <f>Ceny_n!$B$130</f>
        <v xml:space="preserve">Standardní vrtání otvoru pro misku závěsu je 3 mm od hrany. </v>
      </c>
      <c r="C9" s="1127"/>
      <c r="D9" s="1127"/>
      <c r="E9" s="1127"/>
      <c r="F9" s="1127"/>
      <c r="G9" s="1127"/>
      <c r="H9" s="1127"/>
      <c r="I9" s="1127"/>
      <c r="J9" s="1127"/>
      <c r="K9" s="1127"/>
      <c r="L9" s="1127"/>
      <c r="M9" s="1127"/>
      <c r="N9" s="1127"/>
      <c r="O9" s="1127"/>
      <c r="P9" s="1127"/>
      <c r="Q9" s="1127"/>
      <c r="R9" s="1127"/>
      <c r="S9" s="1127"/>
      <c r="T9" s="1127"/>
      <c r="U9" s="1127"/>
      <c r="V9" s="1127"/>
      <c r="W9" s="1127"/>
      <c r="X9" s="1127"/>
      <c r="Y9" s="1127"/>
      <c r="Z9" s="1127"/>
      <c r="AA9" s="1127"/>
      <c r="AB9" s="1127"/>
      <c r="AC9" s="1128"/>
      <c r="AD9" s="259"/>
      <c r="AE9" s="201"/>
      <c r="AF9" s="107"/>
      <c r="AZ9" s="256"/>
      <c r="BA9" s="256"/>
    </row>
    <row r="10" spans="2:55" s="4" customFormat="1" ht="15" customHeight="1" x14ac:dyDescent="0.3">
      <c r="B10" s="1126" t="str">
        <f>Ceny_n!B253</f>
        <v>Standardní vrtání otvorů pro závěsy u všech typů kování Aventos HF, je 100 mm od kraje.</v>
      </c>
      <c r="C10" s="1127"/>
      <c r="D10" s="1127"/>
      <c r="E10" s="1127"/>
      <c r="F10" s="1127"/>
      <c r="G10" s="112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8"/>
      <c r="AD10" s="259"/>
      <c r="AE10" s="201"/>
      <c r="AF10" s="107"/>
      <c r="AZ10" s="256"/>
      <c r="BA10" s="256"/>
    </row>
    <row r="11" spans="2:55" s="4" customFormat="1" ht="15" customHeight="1" x14ac:dyDescent="0.3">
      <c r="B11" s="1126" t="str">
        <f>Ceny_n!$B$289</f>
        <v>Uvedené nákresy dvířek jsou znázorněny při pohledu z přední strany.</v>
      </c>
      <c r="C11" s="1127"/>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8"/>
      <c r="AD11" s="259"/>
      <c r="AE11" s="201"/>
      <c r="AF11" s="107"/>
      <c r="AZ11" s="256"/>
      <c r="BA11" s="256"/>
    </row>
    <row r="12" spans="2:55" s="4" customFormat="1" ht="6" customHeight="1" x14ac:dyDescent="0.3">
      <c r="B12" s="115"/>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7"/>
      <c r="AD12" s="260"/>
      <c r="AE12" s="202"/>
      <c r="AF12" s="107"/>
      <c r="AZ12" s="256"/>
      <c r="BA12" s="256"/>
    </row>
    <row r="13" spans="2:55" s="4" customFormat="1" ht="15.75" customHeight="1" x14ac:dyDescent="0.3">
      <c r="B13" s="1133" t="str">
        <f>Ceny_n!$B$213</f>
        <v>Číslo objednávky</v>
      </c>
      <c r="C13" s="1134"/>
      <c r="D13" s="1134"/>
      <c r="E13" s="1134"/>
      <c r="F13" s="1135"/>
      <c r="G13" s="1136" t="e">
        <f>#REF!</f>
        <v>#REF!</v>
      </c>
      <c r="H13" s="1136"/>
      <c r="I13" s="1136"/>
      <c r="J13" s="1136"/>
      <c r="K13" s="1136"/>
      <c r="L13" s="1136"/>
      <c r="M13" s="1136"/>
      <c r="N13" s="1136"/>
      <c r="O13" s="1136"/>
      <c r="P13" s="1136"/>
      <c r="Q13" s="1136"/>
      <c r="R13" s="1136"/>
      <c r="S13" s="1136"/>
      <c r="T13" s="1136"/>
      <c r="U13" s="1136"/>
      <c r="V13" s="1136"/>
      <c r="W13" s="1136"/>
      <c r="X13" s="1136"/>
      <c r="Y13" s="1136"/>
      <c r="Z13" s="1137"/>
      <c r="AA13" s="167"/>
      <c r="AB13" s="167"/>
      <c r="AC13" s="117"/>
      <c r="AD13" s="260"/>
      <c r="AE13" s="202"/>
      <c r="AF13" s="107"/>
      <c r="AZ13" s="256"/>
      <c r="BA13" s="256"/>
    </row>
    <row r="14" spans="2:55" s="4" customFormat="1" ht="15.75" customHeight="1" x14ac:dyDescent="0.3">
      <c r="B14" s="1138" t="str">
        <f>Ceny_n!B206</f>
        <v>Zákazník</v>
      </c>
      <c r="C14" s="1139"/>
      <c r="D14" s="1139"/>
      <c r="E14" s="1139"/>
      <c r="F14" s="1139"/>
      <c r="G14" s="1131" t="e">
        <f>#REF!</f>
        <v>#REF!</v>
      </c>
      <c r="H14" s="1131"/>
      <c r="I14" s="1131"/>
      <c r="J14" s="1131"/>
      <c r="K14" s="1131"/>
      <c r="L14" s="1131"/>
      <c r="M14" s="1131"/>
      <c r="N14" s="1131"/>
      <c r="O14" s="1131"/>
      <c r="P14" s="1131"/>
      <c r="Q14" s="1131"/>
      <c r="R14" s="1131"/>
      <c r="S14" s="1131"/>
      <c r="T14" s="1131"/>
      <c r="U14" s="1131"/>
      <c r="V14" s="1131"/>
      <c r="W14" s="1131"/>
      <c r="X14" s="1131"/>
      <c r="Y14" s="1131"/>
      <c r="Z14" s="1132"/>
      <c r="AA14" s="168"/>
      <c r="AB14" s="1129" t="str">
        <f>Ceny_n!B211</f>
        <v>Sleva na rámečky</v>
      </c>
      <c r="AC14" s="1130" t="e">
        <f>#REF!</f>
        <v>#REF!</v>
      </c>
      <c r="AD14" s="261"/>
      <c r="AE14" s="203"/>
      <c r="AF14" s="107"/>
      <c r="AZ14" s="256"/>
      <c r="BA14" s="256"/>
      <c r="BC14" s="136"/>
    </row>
    <row r="15" spans="2:55" s="4" customFormat="1" ht="15.75" customHeight="1" x14ac:dyDescent="0.3">
      <c r="B15" s="1138" t="str">
        <f>Ceny_n!B210</f>
        <v>IČ:</v>
      </c>
      <c r="C15" s="1139"/>
      <c r="D15" s="1139"/>
      <c r="E15" s="1139"/>
      <c r="F15" s="1139"/>
      <c r="G15" s="1114" t="e">
        <f>#REF!</f>
        <v>#REF!</v>
      </c>
      <c r="H15" s="1115"/>
      <c r="I15" s="1115"/>
      <c r="J15" s="1115"/>
      <c r="K15" s="1115"/>
      <c r="L15" s="1115"/>
      <c r="M15" s="1115"/>
      <c r="N15" s="1115"/>
      <c r="O15" s="1115"/>
      <c r="P15" s="1115"/>
      <c r="Q15" s="1115"/>
      <c r="R15" s="1115"/>
      <c r="S15" s="1115"/>
      <c r="T15" s="1115"/>
      <c r="U15" s="1115"/>
      <c r="V15" s="1115"/>
      <c r="W15" s="1115"/>
      <c r="X15" s="1115"/>
      <c r="Y15" s="1115"/>
      <c r="Z15" s="1116"/>
      <c r="AA15" s="168"/>
      <c r="AB15" s="1129"/>
      <c r="AC15" s="1130"/>
      <c r="AD15" s="261"/>
      <c r="AE15" s="203"/>
      <c r="AF15" s="107"/>
      <c r="AZ15" s="256"/>
      <c r="BA15" s="256"/>
    </row>
    <row r="16" spans="2:55" s="4" customFormat="1" ht="15.75" customHeight="1" x14ac:dyDescent="0.3">
      <c r="B16" s="1109" t="str">
        <f>Ceny_n!B207</f>
        <v>Kontaktní tel.</v>
      </c>
      <c r="C16" s="1110"/>
      <c r="D16" s="1110"/>
      <c r="E16" s="1110"/>
      <c r="F16" s="1110"/>
      <c r="G16" s="1114" t="e">
        <f>#REF!</f>
        <v>#REF!</v>
      </c>
      <c r="H16" s="1115"/>
      <c r="I16" s="1115"/>
      <c r="J16" s="1115"/>
      <c r="K16" s="1115"/>
      <c r="L16" s="1115"/>
      <c r="M16" s="1115"/>
      <c r="N16" s="1115"/>
      <c r="O16" s="1115"/>
      <c r="P16" s="1115"/>
      <c r="Q16" s="1115"/>
      <c r="R16" s="1115"/>
      <c r="S16" s="1115"/>
      <c r="T16" s="1115"/>
      <c r="U16" s="1115"/>
      <c r="V16" s="1115"/>
      <c r="W16" s="1115"/>
      <c r="X16" s="1115"/>
      <c r="Y16" s="1115"/>
      <c r="Z16" s="1116"/>
      <c r="AA16" s="168"/>
      <c r="AB16" s="1129"/>
      <c r="AC16" s="1130"/>
      <c r="AD16" s="261"/>
      <c r="AE16" s="203"/>
      <c r="AF16" s="107"/>
      <c r="AZ16" s="256"/>
      <c r="BA16" s="256"/>
    </row>
    <row r="17" spans="2:60" s="4" customFormat="1" ht="16.5" customHeight="1" x14ac:dyDescent="0.3">
      <c r="B17" s="1109" t="str">
        <f>Ceny_n!B208</f>
        <v>Kontaktní e-mail</v>
      </c>
      <c r="C17" s="1110"/>
      <c r="D17" s="1110"/>
      <c r="E17" s="1110"/>
      <c r="F17" s="1110"/>
      <c r="G17" s="1114" t="e">
        <f>#REF!</f>
        <v>#REF!</v>
      </c>
      <c r="H17" s="1115"/>
      <c r="I17" s="1115"/>
      <c r="J17" s="1115"/>
      <c r="K17" s="1115"/>
      <c r="L17" s="1115"/>
      <c r="M17" s="1115"/>
      <c r="N17" s="1115"/>
      <c r="O17" s="1115"/>
      <c r="P17" s="1115"/>
      <c r="Q17" s="1115"/>
      <c r="R17" s="1115"/>
      <c r="S17" s="1115"/>
      <c r="T17" s="1115"/>
      <c r="U17" s="1115"/>
      <c r="V17" s="1115"/>
      <c r="W17" s="1115"/>
      <c r="X17" s="1115"/>
      <c r="Y17" s="1115"/>
      <c r="Z17" s="1116"/>
      <c r="AA17" s="168"/>
      <c r="AB17" s="1129"/>
      <c r="AC17" s="1130"/>
      <c r="AD17" s="261"/>
      <c r="AE17" s="203"/>
      <c r="AF17" s="107"/>
      <c r="AZ17" s="256"/>
      <c r="BA17" s="256"/>
    </row>
    <row r="18" spans="2:60" s="4" customFormat="1" ht="15.75" customHeight="1" x14ac:dyDescent="0.3">
      <c r="B18" s="1151" t="str">
        <f>Ceny_n!B209</f>
        <v>Adresa provozovny</v>
      </c>
      <c r="C18" s="1152"/>
      <c r="D18" s="1152"/>
      <c r="E18" s="1152"/>
      <c r="F18" s="1152"/>
      <c r="G18" s="1111" t="e">
        <f>#REF!</f>
        <v>#REF!</v>
      </c>
      <c r="H18" s="1112"/>
      <c r="I18" s="1112"/>
      <c r="J18" s="1112"/>
      <c r="K18" s="1112"/>
      <c r="L18" s="1112"/>
      <c r="M18" s="1112"/>
      <c r="N18" s="1112"/>
      <c r="O18" s="1112"/>
      <c r="P18" s="1112"/>
      <c r="Q18" s="1112"/>
      <c r="R18" s="1112"/>
      <c r="S18" s="1112"/>
      <c r="T18" s="1112"/>
      <c r="U18" s="1112"/>
      <c r="V18" s="1112"/>
      <c r="W18" s="1112"/>
      <c r="X18" s="1112"/>
      <c r="Y18" s="1112"/>
      <c r="Z18" s="1113"/>
      <c r="AA18" s="168"/>
      <c r="AB18" s="169"/>
      <c r="AC18" s="94"/>
      <c r="AD18" s="262"/>
      <c r="AE18" s="204"/>
      <c r="AF18" s="107"/>
      <c r="AZ18" s="256"/>
      <c r="BA18" s="256"/>
    </row>
    <row r="19" spans="2:60" s="4" customFormat="1" ht="9" customHeight="1" x14ac:dyDescent="0.3">
      <c r="B19" s="108"/>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10"/>
      <c r="AD19" s="262"/>
      <c r="AE19" s="204"/>
      <c r="AF19" s="107"/>
      <c r="AZ19" s="256"/>
      <c r="BA19" s="256"/>
    </row>
    <row r="20" spans="2:60" s="4" customFormat="1" ht="25.8" x14ac:dyDescent="0.3">
      <c r="B20" s="141" t="s">
        <v>0</v>
      </c>
      <c r="C20" s="1090" t="str">
        <f>Ceny_n!$B$129</f>
        <v>Rámeček</v>
      </c>
      <c r="D20" s="1090"/>
      <c r="E20" s="1090"/>
      <c r="F20" s="1090"/>
      <c r="G20" s="1090"/>
      <c r="H20" s="1090"/>
      <c r="I20" s="1090"/>
      <c r="J20" s="1090"/>
      <c r="K20" s="1090"/>
      <c r="L20" s="1090"/>
      <c r="M20" s="1090"/>
      <c r="N20" s="1090"/>
      <c r="O20" s="1090"/>
      <c r="P20" s="1090"/>
      <c r="Q20" s="1090"/>
      <c r="R20" s="1090"/>
      <c r="S20" s="1090"/>
      <c r="T20" s="1090"/>
      <c r="U20" s="1090"/>
      <c r="V20" s="1090"/>
      <c r="W20" s="1090"/>
      <c r="X20" s="1090"/>
      <c r="Y20" s="1090"/>
      <c r="Z20" s="1090"/>
      <c r="AA20" s="1090"/>
      <c r="AB20" s="1090"/>
      <c r="AC20" s="1091"/>
      <c r="AD20" s="263"/>
      <c r="AE20" s="205"/>
      <c r="AF20" s="106"/>
      <c r="AZ20" s="256"/>
      <c r="BA20" s="256"/>
    </row>
    <row r="21" spans="2:60" s="4" customFormat="1" ht="15" thickBot="1" x14ac:dyDescent="0.35">
      <c r="B21" s="96"/>
      <c r="Y21" s="53"/>
      <c r="Z21" s="53"/>
      <c r="AA21" s="53"/>
      <c r="AB21" s="53"/>
      <c r="AC21" s="93"/>
      <c r="AD21" s="273" t="s">
        <v>1199</v>
      </c>
      <c r="AE21" s="206"/>
      <c r="AF21" s="106"/>
      <c r="AJ21" s="1092" t="s">
        <v>1175</v>
      </c>
      <c r="AK21" s="1092"/>
      <c r="AZ21" s="256"/>
      <c r="BA21" s="256"/>
    </row>
    <row r="22" spans="2:60" ht="15" thickBot="1" x14ac:dyDescent="0.35">
      <c r="B22" s="97"/>
      <c r="D22" s="1093" t="str">
        <f>IF(H22=1,AC31,"")</f>
        <v/>
      </c>
      <c r="E22" s="1150"/>
      <c r="F22" s="1150"/>
      <c r="G22" s="1150"/>
      <c r="H22" s="50">
        <f>IF(AG54=3,1,0)</f>
        <v>0</v>
      </c>
      <c r="I22" s="50"/>
      <c r="J22" s="50"/>
      <c r="K22" s="50" t="b">
        <f>IF(AG54=3,IF(AC30=4,1,0))</f>
        <v>0</v>
      </c>
      <c r="L22" s="50"/>
      <c r="M22" s="50" t="b">
        <f>IF(AG54=3,IF(AC30=3,1,0))</f>
        <v>0</v>
      </c>
      <c r="N22" s="50"/>
      <c r="O22" s="50" t="b">
        <f>IF(AG54=3,IF(AC30=4,1,0))</f>
        <v>0</v>
      </c>
      <c r="P22" s="50"/>
      <c r="Q22" s="50"/>
      <c r="R22" s="50">
        <f>IF(AG54=3,1,0)</f>
        <v>0</v>
      </c>
      <c r="S22" s="1095" t="str">
        <f>IF(R22=1,AC31,"")</f>
        <v/>
      </c>
      <c r="T22" s="1095"/>
      <c r="U22" s="1095"/>
      <c r="V22" s="1095"/>
      <c r="W22" s="1096"/>
      <c r="X22" s="53"/>
      <c r="Y22" s="54"/>
      <c r="AA22" s="1117"/>
      <c r="AB22" s="1117"/>
      <c r="AC22" s="98"/>
      <c r="AG22" s="277" t="s">
        <v>87</v>
      </c>
      <c r="AH22" s="277" t="s">
        <v>88</v>
      </c>
      <c r="AI22" s="277" t="s">
        <v>89</v>
      </c>
      <c r="AJ22" s="275" t="s">
        <v>6</v>
      </c>
      <c r="AL22" s="277" t="s">
        <v>99</v>
      </c>
      <c r="AM22" s="275" t="s">
        <v>90</v>
      </c>
      <c r="AN22" s="275" t="s">
        <v>109</v>
      </c>
      <c r="AP22" s="277" t="s">
        <v>91</v>
      </c>
      <c r="AR22" s="277" t="s">
        <v>93</v>
      </c>
      <c r="AS22" s="275" t="s">
        <v>92</v>
      </c>
      <c r="AZ22" s="256"/>
      <c r="BA22" s="256"/>
      <c r="BB22" s="52">
        <v>0</v>
      </c>
      <c r="BD22" s="52" t="e">
        <f>IF(ISNA(VLOOKUP(AC28,#REF!,14,FALSE)),2,IF(VLOOKUP(AC28,#REF!,14,FALSE)="N",1,2))</f>
        <v>#REF!</v>
      </c>
      <c r="BE22" s="52" t="e">
        <f>IF(ISNA(IF(AND(AI26=1,AC34=NAHORE),VYKLOP_UP_WIDE,
IF(AND(AI26=1,AC34=DOLE),VYKLOP_DWN_WIDE,
IF(AND(AI26=2,AC34=NAHORE),VYKLOP_UP_SLIM,
IF(AND(AI26=2,AC34=DOLE),VYKLOP_DWN_SLIM,""))))),"",IF(BD22=1,PRAZDNE_1,IF(AND(AI26=1,AC34=NAHORE),VYKLOP_UP_WIDE,
IF(AND(AI26=1,AC34=DOLE),VYKLOP_DWN_WIDE,
IF(AND(AI26=2,AC34=NAHORE),VYKLOP_UP_SLIM,
IF(AND(AI26=2,AC34=DOLE),VYKLOP_DWN_SLIM,""))))))</f>
        <v>#REF!</v>
      </c>
    </row>
    <row r="23" spans="2:60" ht="18" customHeight="1" thickBot="1" x14ac:dyDescent="0.45">
      <c r="B23" s="97"/>
      <c r="D23" s="1081" t="str">
        <f>IF(D27=1,AC31,"")</f>
        <v/>
      </c>
      <c r="E23" s="55"/>
      <c r="F23" s="56"/>
      <c r="G23" s="56"/>
      <c r="H23" s="56"/>
      <c r="I23" s="56"/>
      <c r="J23" s="56"/>
      <c r="K23" s="56"/>
      <c r="L23" s="56"/>
      <c r="M23" s="56"/>
      <c r="N23" s="56"/>
      <c r="O23" s="56"/>
      <c r="P23" s="56"/>
      <c r="Q23" s="56"/>
      <c r="R23" s="56"/>
      <c r="S23" s="56"/>
      <c r="T23" s="56"/>
      <c r="U23" s="56"/>
      <c r="V23" s="57"/>
      <c r="W23" s="1081" t="str">
        <f>IF(W27=1,AC31,"")</f>
        <v/>
      </c>
      <c r="X23" s="53"/>
      <c r="Y23" s="4"/>
      <c r="AA23" s="1097" t="str">
        <f>Ceny_n!$B$132</f>
        <v>Typ profilu</v>
      </c>
      <c r="AB23" s="1098"/>
      <c r="AC23" s="250" t="s">
        <v>1412</v>
      </c>
      <c r="AD23" s="207" t="s">
        <v>1686</v>
      </c>
      <c r="AE23" s="207"/>
      <c r="AF23" s="106">
        <f>IF(AC27=AV_HL_SD,TYP_RAM,AG28)</f>
        <v>0</v>
      </c>
      <c r="AG23" s="276">
        <f>VLOOKUP(AC23,$B$348:$D$391,2,0)</f>
        <v>352.26</v>
      </c>
      <c r="AH23" s="276">
        <f>AG23*(((L52/1000)+(Y28/1000))*2)</f>
        <v>704.52</v>
      </c>
      <c r="AI23" s="276">
        <f>AH23*AC25</f>
        <v>0</v>
      </c>
      <c r="AJ23" s="274">
        <f>VLOOKUP(AC23,$B$348:$D$391,3,0)</f>
        <v>112.27</v>
      </c>
      <c r="AL23" s="276">
        <f>VLOOKUP(AC23,$B$348:$I$392,AH27,0)</f>
        <v>0</v>
      </c>
      <c r="AM23" s="274">
        <f>AJ23*AC25</f>
        <v>0</v>
      </c>
      <c r="AN23" s="274">
        <f>AL23*AC25</f>
        <v>0</v>
      </c>
      <c r="AP23" s="276">
        <f>VLOOKUP(AC24,$B$403:$C$477,2,0)</f>
        <v>0</v>
      </c>
      <c r="AR23" s="276">
        <f>(L52/1000)*(Y28/1000)*AP23</f>
        <v>0</v>
      </c>
      <c r="AS23" s="274">
        <f>AR23*AC25</f>
        <v>0</v>
      </c>
      <c r="AZ23" s="256"/>
      <c r="BA23" s="256"/>
      <c r="BB23" s="1099" t="s">
        <v>1176</v>
      </c>
      <c r="BC23" s="1099"/>
      <c r="BD23" s="1099"/>
      <c r="BE23" s="1099"/>
      <c r="BF23" s="1099"/>
      <c r="BG23" s="1099"/>
    </row>
    <row r="24" spans="2:60" ht="18.600000000000001" thickBot="1" x14ac:dyDescent="0.35">
      <c r="B24" s="97"/>
      <c r="D24" s="1081"/>
      <c r="E24" s="58"/>
      <c r="F24" s="59"/>
      <c r="G24" s="59"/>
      <c r="H24" s="59"/>
      <c r="I24" s="59"/>
      <c r="J24" s="59"/>
      <c r="K24" s="59"/>
      <c r="L24" s="59"/>
      <c r="M24" s="59"/>
      <c r="N24" s="59"/>
      <c r="O24" s="59"/>
      <c r="P24" s="59"/>
      <c r="Q24" s="59"/>
      <c r="R24" s="59"/>
      <c r="S24" s="59"/>
      <c r="T24" s="59"/>
      <c r="U24" s="59"/>
      <c r="V24" s="60"/>
      <c r="W24" s="1081"/>
      <c r="X24" s="53"/>
      <c r="Y24" s="4"/>
      <c r="AA24" s="1084" t="str">
        <f>Ceny_n!$B$133</f>
        <v>Typ skla</v>
      </c>
      <c r="AB24" s="1085"/>
      <c r="AC24" s="251"/>
      <c r="AD24" s="207" t="s">
        <v>1195</v>
      </c>
      <c r="AE24" s="208"/>
      <c r="AF24" s="52" t="str">
        <f>Ceny_n!$B$199</f>
        <v>Vyberte ze seznamu</v>
      </c>
      <c r="AG24" s="4" t="s">
        <v>220</v>
      </c>
      <c r="AH24" s="4" t="s">
        <v>226</v>
      </c>
      <c r="AI24" s="4" t="s">
        <v>227</v>
      </c>
      <c r="AJ24" s="4" t="s">
        <v>371</v>
      </c>
      <c r="AL24" s="4" t="s">
        <v>29</v>
      </c>
      <c r="AZ24" s="256"/>
      <c r="BA24" s="256"/>
      <c r="BB24" s="219" t="s">
        <v>1058</v>
      </c>
      <c r="BC24" s="220" t="s">
        <v>1064</v>
      </c>
      <c r="BD24" s="223" t="s">
        <v>1085</v>
      </c>
      <c r="BE24" s="223"/>
      <c r="BF24" s="52" t="s">
        <v>1173</v>
      </c>
      <c r="BG24" s="178" t="s">
        <v>1174</v>
      </c>
      <c r="BH24" s="52" t="s">
        <v>1408</v>
      </c>
    </row>
    <row r="25" spans="2:60" ht="18.600000000000001" thickBot="1" x14ac:dyDescent="0.35">
      <c r="B25" s="97"/>
      <c r="D25" s="1081"/>
      <c r="E25" s="58"/>
      <c r="F25" s="59"/>
      <c r="G25" s="59"/>
      <c r="H25" s="59"/>
      <c r="I25" s="59"/>
      <c r="J25" s="59"/>
      <c r="K25" s="59"/>
      <c r="L25" s="59"/>
      <c r="M25" s="59"/>
      <c r="N25" s="59"/>
      <c r="O25" s="59"/>
      <c r="P25" s="59"/>
      <c r="Q25" s="59"/>
      <c r="R25" s="59"/>
      <c r="S25" s="59"/>
      <c r="T25" s="59"/>
      <c r="U25" s="59"/>
      <c r="V25" s="60"/>
      <c r="W25" s="1081"/>
      <c r="X25" s="53"/>
      <c r="Y25" s="4"/>
      <c r="AA25" s="1084" t="str">
        <f>Ceny_n!$B$134</f>
        <v>Počet kusů</v>
      </c>
      <c r="AB25" s="1085"/>
      <c r="AC25" s="251"/>
      <c r="AD25" s="207" t="s">
        <v>1202</v>
      </c>
      <c r="AE25" s="208"/>
      <c r="AF25" s="52" t="str">
        <f>IF(AC23=AF24,"",Ceny!$B$141)</f>
        <v>Závěsy</v>
      </c>
      <c r="AG25" s="4">
        <f>VLOOKUP(AR26,Ceny!$B$847:$D$917,3,0)</f>
        <v>0</v>
      </c>
      <c r="AH25" s="4" t="e">
        <f>VLOOKUP(AW26,Ceny!$B$847:$D$917,3,0)</f>
        <v>#REF!</v>
      </c>
      <c r="AI25" s="4" t="e">
        <f>(AG25+AH25)*AC25*AC30</f>
        <v>#REF!</v>
      </c>
      <c r="AJ25" s="4">
        <f>IF(AC35=0,0,VLOOKUP(AC35,AI49:AY63,13,0))</f>
        <v>0</v>
      </c>
      <c r="AL25" s="4">
        <f>AG45*AC25*AJ25</f>
        <v>0</v>
      </c>
      <c r="AP25" s="1092" t="s">
        <v>1169</v>
      </c>
      <c r="AQ25" s="1092"/>
      <c r="AZ25" s="256"/>
      <c r="BA25" s="256"/>
      <c r="BB25" s="61" t="e">
        <f t="array" ref="BB25:BB42">IF(AI26=2,PANT_HETTICH_WIDE,PANT_HETTICH_SLIM)</f>
        <v>#REF!</v>
      </c>
      <c r="BC25" s="227" t="e">
        <f t="array" ref="BC25:BC42">IF(AI26=2,PANT_BLUM_WIDE,PANT_BLUM_SLIM)</f>
        <v>#REF!</v>
      </c>
      <c r="BD25" s="61" t="e">
        <f t="array" ref="BD25:BD65">IF(ISNA(IF(AND(AI26=2,AC34=NAHORE),VYKLOP_UP_WIDE,
IF(AND(AI26=2,AC34=DOLE),VYKLOP_DWN_WIDE,
IF(AND(AI26=1,AC34=NAHORE),VYKLOP_UP_SLIM,
IF(AND(AI26=1,AC34=DOLE),VYKLOP_DWN_SLIM,""))))),"",IF(BD22=2,"",IF(AND(AI26=2,AC34=NAHORE),VYKLOP_UP_WIDE,
IF(AND(AI26=2,AC34=DOLE),VYKLOP_DWN_WIDE,
IF(AND(AI26=1,AC34=NAHORE),VYKLOP_UP_SLIM,
IF(AND(AI26=1,AC34=DOLE),VYKLOP_DWN_SLIM,""))))))</f>
        <v>#REF!</v>
      </c>
      <c r="BE25" s="52" t="e">
        <f t="shared" ref="BE25:BE65" si="0">IF(OR(ISNA(BD25),BD25="",BD25=0),"",1)</f>
        <v>#REF!</v>
      </c>
      <c r="BF25" s="61" t="e">
        <f t="array" ref="BF25:BF41">IF(AI26=1,PANT_STRONG_SLIM_BTL,PANT_STRONG_WIDE_BTL)</f>
        <v>#REF!</v>
      </c>
      <c r="BG25" s="61" t="e">
        <f t="array" ref="BG25:BG41">IF(AI26=1,PANT_STRONG_SLIM_STL,PANT_STRONG_WIDE_STL)</f>
        <v>#REF!</v>
      </c>
      <c r="BH25" s="52" t="e">
        <f t="array" ref="BH25:BH41">IF(AI26=1,PANT_STRONG_PLUS_SLIM,PANT_STRONG_SLIM_BTL)</f>
        <v>#REF!</v>
      </c>
    </row>
    <row r="26" spans="2:60" ht="21.6" thickBot="1" x14ac:dyDescent="0.45">
      <c r="B26" s="97"/>
      <c r="D26" s="1081"/>
      <c r="E26" s="58"/>
      <c r="F26" s="59"/>
      <c r="G26" s="59"/>
      <c r="H26" s="59"/>
      <c r="I26" s="59"/>
      <c r="J26" s="59"/>
      <c r="K26" s="59"/>
      <c r="L26" s="59"/>
      <c r="M26" s="59"/>
      <c r="N26" s="59"/>
      <c r="O26" s="59"/>
      <c r="P26" s="59"/>
      <c r="Q26" s="59"/>
      <c r="R26" s="59"/>
      <c r="S26" s="59"/>
      <c r="T26" s="59"/>
      <c r="U26" s="59"/>
      <c r="V26" s="60"/>
      <c r="W26" s="1081"/>
      <c r="X26" s="53"/>
      <c r="Y26" s="4"/>
      <c r="AA26" s="1084" t="str">
        <f>Ceny_n!$B$215</f>
        <v>Typ kování</v>
      </c>
      <c r="AB26" s="1085"/>
      <c r="AC26" s="251" t="s">
        <v>735</v>
      </c>
      <c r="AD26" s="207" t="s">
        <v>1196</v>
      </c>
      <c r="AE26" s="208"/>
      <c r="AF26" s="106" t="str">
        <f>IF(AC23=AF24,"",AV_HF)</f>
        <v>AVENTOS HF</v>
      </c>
      <c r="AI26" s="4" t="e">
        <f>IF(AC23=AF24,0,VLOOKUP(AC23,#REF!,2,0))</f>
        <v>#REF!</v>
      </c>
      <c r="AJ26" s="235">
        <f>IF(AC26=AV_HF,HOR_DV,
IF(AC26=AV_HF_SD,HOR_DV,
IF(AC26=AV_OST,AV_HK,
IF(AC26=ZAVESY,PRAZDNE_1,""))))</f>
        <v>0</v>
      </c>
      <c r="AK26" s="236">
        <f t="shared" ref="AK26:AK37" si="1">IF(OR(ISNA(AJ26),AJ26=""),"",1)</f>
        <v>1</v>
      </c>
      <c r="AL26" s="948" t="s">
        <v>21</v>
      </c>
      <c r="AM26" s="948"/>
      <c r="AN26" s="948"/>
      <c r="AO26" s="222"/>
      <c r="AP26" s="4" t="e">
        <f>IF(AE28=AP27,1,
IF(AE28=AP28,2,
IF(AE28=AP29,3,
IF(AE28=AP30,4,
IF(AE28=AP31,5,
IF(AE28=AP32,6,
IF(AE28=AP33,7,
IF(AE28=AP34,8,
IF(AE28=AP35,9)))))))))</f>
        <v>#REF!</v>
      </c>
      <c r="AR26" s="218">
        <f>AC28</f>
        <v>0</v>
      </c>
      <c r="AS26" s="1100" t="s">
        <v>1180</v>
      </c>
      <c r="AT26" s="1100"/>
      <c r="AU26" s="4" t="e">
        <f>IF(AE29=AU27,1,IF(AE29=AU28,2,0))</f>
        <v>#REF!</v>
      </c>
      <c r="AW26" s="4" t="e">
        <f>VLOOKUP(AU26,AL27:AS28,6,0)</f>
        <v>#REF!</v>
      </c>
      <c r="AZ26" s="256"/>
      <c r="BA26" s="256"/>
      <c r="BB26" s="62" t="e">
        <v>#REF!</v>
      </c>
      <c r="BC26" s="228" t="e">
        <v>#REF!</v>
      </c>
      <c r="BD26" s="62" t="e">
        <v>#REF!</v>
      </c>
      <c r="BE26" s="178" t="e">
        <f t="shared" si="0"/>
        <v>#REF!</v>
      </c>
      <c r="BF26" s="62" t="e">
        <v>#REF!</v>
      </c>
      <c r="BG26" s="62" t="e">
        <v>#REF!</v>
      </c>
      <c r="BH26" s="52" t="e">
        <v>#REF!</v>
      </c>
    </row>
    <row r="27" spans="2:60" ht="18" x14ac:dyDescent="0.35">
      <c r="B27" s="97"/>
      <c r="D27" s="49">
        <f>IF(AG54=2,1,0)</f>
        <v>0</v>
      </c>
      <c r="E27" s="58"/>
      <c r="F27" s="59"/>
      <c r="G27" s="59"/>
      <c r="H27" s="59"/>
      <c r="I27" s="59"/>
      <c r="J27" s="59"/>
      <c r="K27" s="59"/>
      <c r="L27" s="59"/>
      <c r="M27" s="59"/>
      <c r="N27" s="59"/>
      <c r="O27" s="59"/>
      <c r="P27" s="59"/>
      <c r="Q27" s="59"/>
      <c r="R27" s="59"/>
      <c r="S27" s="59"/>
      <c r="T27" s="59"/>
      <c r="U27" s="59"/>
      <c r="V27" s="60"/>
      <c r="W27" s="49">
        <f>IF(AG54=1,1,0)</f>
        <v>0</v>
      </c>
      <c r="X27" s="53"/>
      <c r="Y27" s="4"/>
      <c r="AA27" s="1084" t="str">
        <f>IF(AC26=AV_HF,POZ_RAM,
IF(AC26=AV_HF_SD,POZ_RAM,
IF(AC26=ZAVESY,VYR_ZAVES,
IF(AC26=AV_OST,TYP_AV,0))))</f>
        <v>Výrobce závěsů</v>
      </c>
      <c r="AB27" s="1085"/>
      <c r="AC27" s="252" t="s">
        <v>14</v>
      </c>
      <c r="AD27" s="265" t="s">
        <v>1197</v>
      </c>
      <c r="AE27" s="209"/>
      <c r="AF27" s="106" t="str">
        <f>IF(AC23=AF24,"",AV_HF_SD)</f>
        <v>AVENTOS HF Servo Drive</v>
      </c>
      <c r="AH27" s="4">
        <f>IF(AC26=AV_HF,5,IF(AC26=AV_HF_SD,5,IF(AC26=AV_OST,5,8)))</f>
        <v>8</v>
      </c>
      <c r="AI27" s="232" t="e">
        <f>IF(AI26=1,$B$480,IF(AI26=2,$B$484,0))</f>
        <v>#REF!</v>
      </c>
      <c r="AJ27" s="237" t="str">
        <f>IF(AC26=AV_HF,DOL_DV,
IF(AC26=AV_HF_SD,DOL_DV,
IF(AC26=AV_OST,AV_HK_TIP,
IF(AC26=ZAVESY,BLUM,""))))</f>
        <v>BLUM</v>
      </c>
      <c r="AK27" s="238">
        <f t="shared" si="1"/>
        <v>1</v>
      </c>
      <c r="AL27" s="4">
        <v>1</v>
      </c>
      <c r="AM27" s="4" t="e">
        <f t="shared" ref="AM27:AM36" si="2">IF($AC$27=PRAZDNE_1,AI27,
IF($AC$27=BLUM,BC25,
IF($AC$27=STRONG_INT_TL,AI44,
IF($AC$27=STRONG_BINT_TL,AI40,
IF($AC$27=HETTICH,BB25,
IF($AC$27=STRONG_Plus,BH25))))))</f>
        <v>#REF!</v>
      </c>
      <c r="AN27" s="4" t="e">
        <f t="shared" ref="AN27:AN41" si="3">IF(ISNA(VLOOKUP(AM27,$B$480:$C$615,2,0)),"",VLOOKUP(AM27,$B$480:$C$615,2,0))</f>
        <v>#REF!</v>
      </c>
      <c r="AO27" s="4" t="e">
        <f t="shared" ref="AO27:AO52" si="4">CONCATENATE(AN27," (",AM27,")")</f>
        <v>#REF!</v>
      </c>
      <c r="AP27" s="241" t="e">
        <f t="array" ref="AP27:AP52">IF(OR(AC26=AV_HF,AC26=AV_HF_SD),HF_TYP_2_CILKA,
IF(AC27=AV_HL,TYP_RAM_AV_HL1,
IF(AC27=AV_HL_SD,TYP_RAM_AV_HL,
IF(OR(AC27=AV_HKXS,AC27=AV_HKXS_TIP),UMISTENI_RAM_HKXS,
IF(AC27=HETTICH,T1_PANT_HETTICH,
IF(AC27=BLUM,T1_PANT_BLUM,
IF(AC27=STRONG_BINT_TL,T1_PANT_STRONG_BTL,
IF(AC27=STRONG_INT_TL,T1_PANT_STRONG_STL,PRAZDNE_1))))))))</f>
        <v>#REF!</v>
      </c>
      <c r="AQ27" s="236" t="e">
        <f t="shared" ref="AQ27:AQ52" si="5">IF(OR(ISNA(AP27),AP27=0),"",1)</f>
        <v>#REF!</v>
      </c>
      <c r="AS27" s="244" t="e">
        <f>VLOOKUP(AR26,#REF!,8,0)</f>
        <v>#REF!</v>
      </c>
      <c r="AT27" s="236" t="e">
        <f t="shared" ref="AT27:AT36" si="6">IF(OR(ISNA(AS27),AS27=0),"",1)</f>
        <v>#REF!</v>
      </c>
      <c r="AU27" s="4" t="e">
        <f>IF(OR(ISNA(AS27),AS27=0),PRAZDNE_1,VLOOKUP(AR26,#REF!,5,FALSE))</f>
        <v>#REF!</v>
      </c>
      <c r="AZ27" s="256"/>
      <c r="BA27" s="256"/>
      <c r="BB27" s="62" t="e">
        <v>#REF!</v>
      </c>
      <c r="BC27" s="228" t="e">
        <v>#REF!</v>
      </c>
      <c r="BD27" s="62" t="e">
        <v>#REF!</v>
      </c>
      <c r="BE27" s="178" t="e">
        <f t="shared" si="0"/>
        <v>#REF!</v>
      </c>
      <c r="BF27" s="62" t="e">
        <v>#REF!</v>
      </c>
      <c r="BG27" s="62" t="e">
        <v>#REF!</v>
      </c>
      <c r="BH27" s="52" t="e">
        <v>#REF!</v>
      </c>
    </row>
    <row r="28" spans="2:60" ht="25.8" x14ac:dyDescent="0.5">
      <c r="B28" s="97"/>
      <c r="D28" s="49"/>
      <c r="E28" s="58"/>
      <c r="F28" s="59"/>
      <c r="G28" s="59"/>
      <c r="H28" s="59"/>
      <c r="I28" s="59"/>
      <c r="J28" s="59"/>
      <c r="K28" s="59"/>
      <c r="L28" s="59"/>
      <c r="M28" s="59"/>
      <c r="N28" s="59"/>
      <c r="O28" s="59"/>
      <c r="P28" s="59"/>
      <c r="Q28" s="59"/>
      <c r="R28" s="44"/>
      <c r="S28" s="44"/>
      <c r="T28" s="44"/>
      <c r="U28" s="44"/>
      <c r="V28" s="45"/>
      <c r="W28" s="49"/>
      <c r="X28" s="53"/>
      <c r="Y28" s="1086">
        <v>400</v>
      </c>
      <c r="Z28" s="1106"/>
      <c r="AA28" s="1084" t="str">
        <f>IF(AC27=AV_HF,HM_UCH,
IF(OR('Běžné rámečky'!AC27=AV_HKS,'Běžné rámečky'!AC27=AV_HS),HM_UCH,
IF(AC27=AV_HL,TYP_RAM,
IF(AC26=ZAVESY,TYP_ZAV,
IF(AC26=AV_HF,PROV_2_CILKA,
IF(AC26=AV_HF_SD,PROV_2_CILKA,
IF(AC27=AV_HK_SD,HM_UCH,
IF(AC27=AV_HK,HM_UCH,
IF(AC27=AV_HKXS,POZICE_RAMENE,
IF(AC27=AV_HKXS_TIP,POZICE_RAMENE,AF23))))))))))</f>
        <v>Typ závěsů</v>
      </c>
      <c r="AB28" s="1085"/>
      <c r="AC28" s="281"/>
      <c r="AD28" s="266" t="s">
        <v>1198</v>
      </c>
      <c r="AE28" s="210">
        <f>IF(AA28=HM_UCH,0,AC28)</f>
        <v>0</v>
      </c>
      <c r="AF28" s="106" t="str">
        <f>IF(AC23=AF24,"",AV_OST)</f>
        <v>Aventos ostatní</v>
      </c>
      <c r="AG28" s="4">
        <f>IF(AC27=AV_HL_SD,HM_UCH,IF(AC27=AV_HS_SD,HM_UCH,0))</f>
        <v>0</v>
      </c>
      <c r="AI28" s="233" t="e">
        <f>IF(AI26=1,$B$481,IF(AI26=2,$B$485,0))</f>
        <v>#REF!</v>
      </c>
      <c r="AJ28" s="237" t="str">
        <f>IF(AC26=AV_OST,AV_HK_SD,
IF(AC26=ZAVESY,HETTICH,""))</f>
        <v>HETTICH</v>
      </c>
      <c r="AK28" s="238">
        <f t="shared" si="1"/>
        <v>1</v>
      </c>
      <c r="AL28" s="4">
        <v>2</v>
      </c>
      <c r="AM28" s="4" t="e">
        <f t="shared" si="2"/>
        <v>#REF!</v>
      </c>
      <c r="AN28" s="4" t="e">
        <f t="shared" si="3"/>
        <v>#REF!</v>
      </c>
      <c r="AO28" s="4" t="e">
        <f t="shared" si="4"/>
        <v>#REF!</v>
      </c>
      <c r="AP28" s="242" t="e">
        <v>#REF!</v>
      </c>
      <c r="AQ28" s="238" t="e">
        <f t="shared" si="5"/>
        <v>#REF!</v>
      </c>
      <c r="AS28" s="245" t="e">
        <f>VLOOKUP(AR26,#REF!,9,0)</f>
        <v>#REF!</v>
      </c>
      <c r="AT28" s="238" t="e">
        <f t="shared" si="6"/>
        <v>#REF!</v>
      </c>
      <c r="AU28" s="4" t="e">
        <f>IF(OR(ISNA(AS28),AS28=0),PRAZDNE_1,VLOOKUP(AR27,#REF!,5,FALSE))</f>
        <v>#REF!</v>
      </c>
      <c r="AZ28" s="256"/>
      <c r="BA28" s="256"/>
      <c r="BB28" s="62" t="e">
        <v>#REF!</v>
      </c>
      <c r="BC28" s="228" t="e">
        <v>#REF!</v>
      </c>
      <c r="BD28" s="62" t="e">
        <v>#REF!</v>
      </c>
      <c r="BE28" s="178" t="e">
        <f t="shared" si="0"/>
        <v>#REF!</v>
      </c>
      <c r="BF28" s="62" t="e">
        <v>#REF!</v>
      </c>
      <c r="BG28" s="62" t="e">
        <v>#REF!</v>
      </c>
      <c r="BH28" s="52" t="e">
        <v>#REF!</v>
      </c>
    </row>
    <row r="29" spans="2:60" ht="25.8" x14ac:dyDescent="0.35">
      <c r="B29" s="97"/>
      <c r="D29" s="49"/>
      <c r="E29" s="58"/>
      <c r="F29" s="59"/>
      <c r="G29" s="59"/>
      <c r="H29" s="59"/>
      <c r="I29" s="59"/>
      <c r="J29" s="59"/>
      <c r="K29" s="59"/>
      <c r="L29" s="59"/>
      <c r="M29" s="59"/>
      <c r="N29" s="59"/>
      <c r="O29" s="59"/>
      <c r="P29" s="59"/>
      <c r="Q29" s="59"/>
      <c r="R29" s="46" t="s">
        <v>15</v>
      </c>
      <c r="S29" s="59"/>
      <c r="T29" s="59"/>
      <c r="U29" s="63"/>
      <c r="V29" s="60"/>
      <c r="W29" s="49"/>
      <c r="X29" s="4"/>
      <c r="Y29" s="1087"/>
      <c r="Z29" s="1106"/>
      <c r="AA29" s="1084" t="str">
        <f>IF(AC26=AV_HF,HM_UCH,
IF(AC27=AV_HL,HM_UCH,
IF('Běžné rámečky'!AC27=AV_HL_SD,HM_UCH,
IF(AC26=AV_HF_SD,HM_UCH,
IF(AC26=ZAVESY,TYP_PODL,IF(AC27=AV_HKXS,HM_UCH,0))))))</f>
        <v>Typ podložky</v>
      </c>
      <c r="AB29" s="1085"/>
      <c r="AC29" s="252"/>
      <c r="AD29" s="266" t="s">
        <v>1200</v>
      </c>
      <c r="AE29" s="210">
        <f>IF(AA29=HM_UCH,0,AC29)</f>
        <v>0</v>
      </c>
      <c r="AF29" s="106" t="str">
        <f>IF(AC23=$B$372,0,$J$353)</f>
        <v>Závěsy se zvedacím pístem</v>
      </c>
      <c r="AI29" s="233" t="e">
        <f>IF(AI26=1,$B$482,IF(AI26=2,$B$486,0))</f>
        <v>#REF!</v>
      </c>
      <c r="AJ29" s="237" t="str">
        <f>IF(AC26=AV_OST,AV_HL,
IF(AC26=ZAVESY,STRONG_INT_TL,""))</f>
        <v>STRONG s tlumením</v>
      </c>
      <c r="AK29" s="238">
        <f t="shared" si="1"/>
        <v>1</v>
      </c>
      <c r="AL29" s="4">
        <v>3</v>
      </c>
      <c r="AM29" s="4" t="e">
        <f t="shared" si="2"/>
        <v>#REF!</v>
      </c>
      <c r="AN29" s="4" t="e">
        <f t="shared" si="3"/>
        <v>#REF!</v>
      </c>
      <c r="AO29" s="4" t="e">
        <f t="shared" si="4"/>
        <v>#REF!</v>
      </c>
      <c r="AP29" s="242" t="e">
        <v>#REF!</v>
      </c>
      <c r="AQ29" s="238" t="e">
        <f t="shared" si="5"/>
        <v>#REF!</v>
      </c>
      <c r="AS29" s="245" t="e">
        <f>VLOOKUP(AR26,#REF!,10,0)</f>
        <v>#REF!</v>
      </c>
      <c r="AT29" s="238" t="e">
        <f t="shared" si="6"/>
        <v>#REF!</v>
      </c>
      <c r="AU29" s="4" t="e">
        <f>IF(OR(ISNA(AS29),AS29=0),PRAZDNE_1,VLOOKUP(AR28,#REF!,5,FALSE))</f>
        <v>#REF!</v>
      </c>
      <c r="AZ29" s="256"/>
      <c r="BA29" s="256"/>
      <c r="BB29" s="62" t="e">
        <v>#REF!</v>
      </c>
      <c r="BC29" s="228" t="e">
        <v>#REF!</v>
      </c>
      <c r="BD29" s="62" t="e">
        <v>#REF!</v>
      </c>
      <c r="BE29" s="178" t="e">
        <f t="shared" si="0"/>
        <v>#REF!</v>
      </c>
      <c r="BF29" s="62" t="e">
        <v>#REF!</v>
      </c>
      <c r="BG29" s="62" t="e">
        <v>#REF!</v>
      </c>
      <c r="BH29" s="52" t="e">
        <v>#REF!</v>
      </c>
    </row>
    <row r="30" spans="2:60" ht="18" customHeight="1" x14ac:dyDescent="0.3">
      <c r="B30" s="97"/>
      <c r="D30" s="49" t="b">
        <f>IF(AG54=2,IF(AC30=4,1,0))</f>
        <v>0</v>
      </c>
      <c r="E30" s="58"/>
      <c r="F30" s="59"/>
      <c r="G30" s="59"/>
      <c r="H30" s="59"/>
      <c r="I30" s="59"/>
      <c r="J30" s="59"/>
      <c r="K30" s="59"/>
      <c r="L30" s="59"/>
      <c r="M30" s="59"/>
      <c r="N30" s="59"/>
      <c r="O30" s="59"/>
      <c r="P30" s="59"/>
      <c r="Q30" s="59"/>
      <c r="R30" s="59"/>
      <c r="S30" s="64"/>
      <c r="T30" s="65"/>
      <c r="U30" s="63"/>
      <c r="V30" s="60"/>
      <c r="W30" s="49" t="b">
        <f>IF(AG54=1,IF(AC30=4,1,0))</f>
        <v>0</v>
      </c>
      <c r="X30" s="40"/>
      <c r="Y30" s="1087"/>
      <c r="Z30" s="1106"/>
      <c r="AA30" s="1084" t="str">
        <f>IF(AC26=ZAVESY,POC_ZAVES,0)</f>
        <v>Počet závěsu na 1 rámeček</v>
      </c>
      <c r="AB30" s="1085"/>
      <c r="AC30" s="251"/>
      <c r="AD30" s="207" t="s">
        <v>1201</v>
      </c>
      <c r="AE30" s="208"/>
      <c r="AI30" s="233" t="e">
        <f>IF(AI26=1,$B$483,IF(AI26=2,$B$487,0))</f>
        <v>#REF!</v>
      </c>
      <c r="AJ30" s="237" t="str">
        <f>IF(AC26=AV_OST,AV_HL_SD,
IF(AC26=ZAVESY,STRONG_BINT_TL,""))</f>
        <v>STRONG bez tlumení</v>
      </c>
      <c r="AK30" s="238">
        <f t="shared" si="1"/>
        <v>1</v>
      </c>
      <c r="AL30" s="4">
        <v>4</v>
      </c>
      <c r="AM30" s="4" t="e">
        <f t="shared" si="2"/>
        <v>#REF!</v>
      </c>
      <c r="AN30" s="4" t="e">
        <f t="shared" si="3"/>
        <v>#REF!</v>
      </c>
      <c r="AO30" s="4" t="e">
        <f t="shared" si="4"/>
        <v>#REF!</v>
      </c>
      <c r="AP30" s="242" t="e">
        <v>#REF!</v>
      </c>
      <c r="AQ30" s="238" t="e">
        <f t="shared" si="5"/>
        <v>#REF!</v>
      </c>
      <c r="AS30" s="245" t="e">
        <f>VLOOKUP(AR26,#REF!,11,0)</f>
        <v>#REF!</v>
      </c>
      <c r="AT30" s="238" t="e">
        <f t="shared" si="6"/>
        <v>#REF!</v>
      </c>
      <c r="AZ30" s="256"/>
      <c r="BA30" s="256"/>
      <c r="BB30" s="62" t="e">
        <v>#REF!</v>
      </c>
      <c r="BC30" s="228" t="e">
        <v>#REF!</v>
      </c>
      <c r="BD30" s="62" t="e">
        <v>#REF!</v>
      </c>
      <c r="BE30" s="178" t="e">
        <f t="shared" si="0"/>
        <v>#REF!</v>
      </c>
      <c r="BF30" s="62" t="e">
        <v>#REF!</v>
      </c>
      <c r="BG30" s="62" t="e">
        <v>#REF!</v>
      </c>
      <c r="BH30" s="52" t="e">
        <v>#REF!</v>
      </c>
    </row>
    <row r="31" spans="2:60" ht="16.5" customHeight="1" x14ac:dyDescent="0.3">
      <c r="B31" s="97"/>
      <c r="D31" s="49"/>
      <c r="E31" s="58"/>
      <c r="F31" s="59"/>
      <c r="G31" s="59"/>
      <c r="H31" s="59"/>
      <c r="I31" s="59"/>
      <c r="J31" s="59"/>
      <c r="K31" s="59"/>
      <c r="L31" s="59"/>
      <c r="M31" s="59"/>
      <c r="N31" s="59"/>
      <c r="O31" s="59"/>
      <c r="P31" s="59"/>
      <c r="Q31" s="59"/>
      <c r="R31" s="59"/>
      <c r="S31" s="1082"/>
      <c r="T31" s="65"/>
      <c r="U31" s="63"/>
      <c r="V31" s="60"/>
      <c r="W31" s="49"/>
      <c r="X31" s="4"/>
      <c r="Y31" s="1087"/>
      <c r="Z31" s="1106"/>
      <c r="AA31" s="1084" t="str">
        <f>IF(AC26=ZAVESY,VZD_ZAVES,0)</f>
        <v>Vzdálenost závěsu od kraje</v>
      </c>
      <c r="AB31" s="1085"/>
      <c r="AC31" s="253"/>
      <c r="AD31" s="207" t="s">
        <v>1202</v>
      </c>
      <c r="AE31" s="211"/>
      <c r="AF31" s="1089"/>
      <c r="AI31" s="233" t="e">
        <f>IF(AI26=2,$B$488,0)</f>
        <v>#REF!</v>
      </c>
      <c r="AJ31" s="237" t="e">
        <f>IF(AC26=AV_OST,AV_HS,
IF(AC26=ZAVESY,
IF(AI26=1,PANT_STRONG_PLUS_SLIM,PANT_STRONG_SLIM_BTL),""))</f>
        <v>#REF!</v>
      </c>
      <c r="AK31" s="238" t="e">
        <f t="shared" si="1"/>
        <v>#REF!</v>
      </c>
      <c r="AL31" s="4">
        <v>5</v>
      </c>
      <c r="AM31" s="4" t="e">
        <f t="shared" si="2"/>
        <v>#REF!</v>
      </c>
      <c r="AN31" s="4" t="e">
        <f t="shared" si="3"/>
        <v>#REF!</v>
      </c>
      <c r="AO31" s="4" t="e">
        <f t="shared" si="4"/>
        <v>#REF!</v>
      </c>
      <c r="AP31" s="242" t="e">
        <v>#REF!</v>
      </c>
      <c r="AQ31" s="238" t="e">
        <f t="shared" si="5"/>
        <v>#REF!</v>
      </c>
      <c r="AS31" s="245" t="e">
        <f>VLOOKUP(AR26,#REF!,12,0)</f>
        <v>#REF!</v>
      </c>
      <c r="AT31" s="238" t="e">
        <f t="shared" si="6"/>
        <v>#REF!</v>
      </c>
      <c r="AZ31" s="256"/>
      <c r="BA31" s="256"/>
      <c r="BB31" s="62" t="e">
        <v>#REF!</v>
      </c>
      <c r="BC31" s="228" t="e">
        <v>#REF!</v>
      </c>
      <c r="BD31" s="62" t="e">
        <v>#REF!</v>
      </c>
      <c r="BE31" s="178" t="e">
        <f t="shared" si="0"/>
        <v>#REF!</v>
      </c>
      <c r="BF31" s="62" t="e">
        <v>#REF!</v>
      </c>
      <c r="BG31" s="62" t="e">
        <v>#REF!</v>
      </c>
      <c r="BH31" s="52" t="e">
        <v>#REF!</v>
      </c>
    </row>
    <row r="32" spans="2:60" ht="16.5" customHeight="1" thickBot="1" x14ac:dyDescent="0.4">
      <c r="B32" s="97"/>
      <c r="D32" s="49"/>
      <c r="E32" s="58"/>
      <c r="F32" s="59"/>
      <c r="G32" s="59"/>
      <c r="H32" s="59"/>
      <c r="I32" s="59"/>
      <c r="J32" s="59"/>
      <c r="K32" s="59"/>
      <c r="L32" s="59"/>
      <c r="M32" s="59"/>
      <c r="N32" s="59"/>
      <c r="O32" s="59"/>
      <c r="P32" s="59"/>
      <c r="Q32" s="59"/>
      <c r="R32" s="59"/>
      <c r="S32" s="1088"/>
      <c r="T32" s="65"/>
      <c r="U32" s="63"/>
      <c r="V32" s="60"/>
      <c r="W32" s="49"/>
      <c r="X32" s="4"/>
      <c r="Y32" s="1087"/>
      <c r="Z32" s="1106"/>
      <c r="AA32" s="230"/>
      <c r="AB32" s="231"/>
      <c r="AC32" s="254"/>
      <c r="AD32" s="267"/>
      <c r="AE32" s="212"/>
      <c r="AF32" s="1089"/>
      <c r="AI32" s="234" t="e">
        <f>IF(AI26=2,$B$489,0)</f>
        <v>#REF!</v>
      </c>
      <c r="AJ32" s="237" t="str">
        <f>IF(AC26=AV_OST,AV_HS_SD,"")</f>
        <v/>
      </c>
      <c r="AK32" s="238" t="str">
        <f t="shared" si="1"/>
        <v/>
      </c>
      <c r="AL32" s="4">
        <v>6</v>
      </c>
      <c r="AM32" s="4" t="e">
        <f t="shared" si="2"/>
        <v>#REF!</v>
      </c>
      <c r="AN32" s="4" t="e">
        <f t="shared" si="3"/>
        <v>#REF!</v>
      </c>
      <c r="AO32" s="4" t="e">
        <f t="shared" si="4"/>
        <v>#REF!</v>
      </c>
      <c r="AP32" s="242" t="e">
        <v>#REF!</v>
      </c>
      <c r="AQ32" s="238" t="e">
        <f t="shared" si="5"/>
        <v>#REF!</v>
      </c>
      <c r="AS32" s="245" t="e">
        <f>VLOOKUP(AR26,#REF!,13,0)</f>
        <v>#REF!</v>
      </c>
      <c r="AT32" s="238" t="e">
        <f t="shared" si="6"/>
        <v>#REF!</v>
      </c>
      <c r="AZ32" s="256"/>
      <c r="BA32" s="256"/>
      <c r="BB32" s="62" t="e">
        <v>#REF!</v>
      </c>
      <c r="BC32" s="228" t="e">
        <v>#REF!</v>
      </c>
      <c r="BD32" s="62" t="e">
        <v>#REF!</v>
      </c>
      <c r="BE32" s="178" t="e">
        <f t="shared" si="0"/>
        <v>#REF!</v>
      </c>
      <c r="BF32" s="62" t="e">
        <v>#REF!</v>
      </c>
      <c r="BG32" s="62" t="e">
        <v>#REF!</v>
      </c>
      <c r="BH32" s="52" t="e">
        <v>#REF!</v>
      </c>
    </row>
    <row r="33" spans="2:60" ht="16.5" customHeight="1" x14ac:dyDescent="0.35">
      <c r="B33" s="97"/>
      <c r="D33" s="49"/>
      <c r="E33" s="58"/>
      <c r="F33" s="59"/>
      <c r="G33" s="59"/>
      <c r="H33" s="59"/>
      <c r="I33" s="59"/>
      <c r="J33" s="59"/>
      <c r="K33" s="59"/>
      <c r="L33" s="59"/>
      <c r="M33" s="59"/>
      <c r="N33" s="59"/>
      <c r="O33" s="59"/>
      <c r="P33" s="59"/>
      <c r="Q33" s="59"/>
      <c r="R33" s="59"/>
      <c r="S33" s="1088"/>
      <c r="T33" s="65"/>
      <c r="U33" s="63"/>
      <c r="V33" s="60"/>
      <c r="W33" s="49"/>
      <c r="X33" s="4"/>
      <c r="Y33" s="1087"/>
      <c r="Z33" s="1106"/>
      <c r="AA33" s="230"/>
      <c r="AB33" s="231"/>
      <c r="AC33" s="254"/>
      <c r="AD33" s="267"/>
      <c r="AE33" s="212"/>
      <c r="AF33" s="1089"/>
      <c r="AI33" s="232" t="e">
        <f>IF(AI26=1,$B$499,IF(AI26=2,$B$507,0))</f>
        <v>#REF!</v>
      </c>
      <c r="AJ33" s="237" t="str">
        <f>IF(AC26=AV_OST,AV_HKS,"")</f>
        <v/>
      </c>
      <c r="AK33" s="238" t="str">
        <f t="shared" si="1"/>
        <v/>
      </c>
      <c r="AL33" s="4">
        <v>7</v>
      </c>
      <c r="AM33" s="4" t="e">
        <f t="shared" si="2"/>
        <v>#REF!</v>
      </c>
      <c r="AN33" s="4" t="e">
        <f t="shared" si="3"/>
        <v>#REF!</v>
      </c>
      <c r="AO33" s="4" t="e">
        <f t="shared" si="4"/>
        <v>#REF!</v>
      </c>
      <c r="AP33" s="242" t="e">
        <v>#REF!</v>
      </c>
      <c r="AQ33" s="238" t="e">
        <f t="shared" si="5"/>
        <v>#REF!</v>
      </c>
      <c r="AS33" s="245"/>
      <c r="AT33" s="238" t="str">
        <f t="shared" si="6"/>
        <v/>
      </c>
      <c r="AZ33" s="256"/>
      <c r="BA33" s="256"/>
      <c r="BB33" s="62" t="e">
        <v>#REF!</v>
      </c>
      <c r="BC33" s="228" t="e">
        <v>#REF!</v>
      </c>
      <c r="BD33" s="62" t="e">
        <v>#REF!</v>
      </c>
      <c r="BE33" s="178" t="e">
        <f t="shared" si="0"/>
        <v>#REF!</v>
      </c>
      <c r="BF33" s="62" t="e">
        <v>#REF!</v>
      </c>
      <c r="BG33" s="62" t="e">
        <v>#REF!</v>
      </c>
      <c r="BH33" s="52" t="e">
        <v>#REF!</v>
      </c>
    </row>
    <row r="34" spans="2:60" ht="16.5" customHeight="1" x14ac:dyDescent="0.3">
      <c r="B34" s="97"/>
      <c r="D34" s="49" t="b">
        <f>IF(AG54=2,IF(AC30=3,1,0))</f>
        <v>0</v>
      </c>
      <c r="E34" s="58"/>
      <c r="F34" s="59"/>
      <c r="G34" s="59"/>
      <c r="H34" s="59"/>
      <c r="I34" s="59"/>
      <c r="J34" s="59"/>
      <c r="K34" s="59"/>
      <c r="L34" s="59"/>
      <c r="M34" s="59"/>
      <c r="N34" s="59"/>
      <c r="O34" s="59"/>
      <c r="P34" s="59"/>
      <c r="Q34" s="59"/>
      <c r="R34" s="59"/>
      <c r="S34" s="1088"/>
      <c r="T34" s="65"/>
      <c r="U34" s="63"/>
      <c r="V34" s="60"/>
      <c r="W34" s="49" t="b">
        <f>IF(AG54=1,IF(AC30=3,1,0))</f>
        <v>0</v>
      </c>
      <c r="X34" s="4"/>
      <c r="Y34" s="1087"/>
      <c r="Z34" s="1106"/>
      <c r="AA34" s="1084" t="str">
        <f>IF(AC26=ZAVESY,Ceny!$B$196,0)</f>
        <v>Umístění závěsů</v>
      </c>
      <c r="AB34" s="1085"/>
      <c r="AC34" s="251"/>
      <c r="AD34" s="207" t="s">
        <v>1203</v>
      </c>
      <c r="AE34" s="208"/>
      <c r="AG34" s="4">
        <v>2</v>
      </c>
      <c r="AH34" s="4">
        <f>IF(AC26=ZAVESY,AG34,0)</f>
        <v>2</v>
      </c>
      <c r="AI34" s="233" t="e">
        <f>IF(AI26=1,$B$500,IF(AI26=2,$B$508,0))</f>
        <v>#REF!</v>
      </c>
      <c r="AJ34" s="237" t="str">
        <f>IF(AC26=AV_OST,AV_HKS_TIP,"")</f>
        <v/>
      </c>
      <c r="AK34" s="238" t="str">
        <f t="shared" si="1"/>
        <v/>
      </c>
      <c r="AL34" s="4">
        <v>8</v>
      </c>
      <c r="AM34" s="4" t="e">
        <f t="shared" si="2"/>
        <v>#REF!</v>
      </c>
      <c r="AN34" s="4" t="e">
        <f t="shared" si="3"/>
        <v>#REF!</v>
      </c>
      <c r="AO34" s="4" t="e">
        <f t="shared" si="4"/>
        <v>#REF!</v>
      </c>
      <c r="AP34" s="242" t="e">
        <v>#REF!</v>
      </c>
      <c r="AQ34" s="238" t="e">
        <f t="shared" si="5"/>
        <v>#REF!</v>
      </c>
      <c r="AS34" s="245"/>
      <c r="AT34" s="238" t="str">
        <f t="shared" si="6"/>
        <v/>
      </c>
      <c r="AZ34" s="256"/>
      <c r="BA34" s="256"/>
      <c r="BB34" s="62" t="e">
        <v>#REF!</v>
      </c>
      <c r="BC34" s="228" t="e">
        <v>#REF!</v>
      </c>
      <c r="BD34" s="62" t="e">
        <v>#REF!</v>
      </c>
      <c r="BE34" s="178" t="e">
        <f t="shared" si="0"/>
        <v>#REF!</v>
      </c>
      <c r="BF34" s="62" t="e">
        <v>#REF!</v>
      </c>
      <c r="BG34" s="62" t="e">
        <v>#REF!</v>
      </c>
      <c r="BH34" s="52" t="e">
        <v>#REF!</v>
      </c>
    </row>
    <row r="35" spans="2:60" ht="18" customHeight="1" x14ac:dyDescent="0.3">
      <c r="B35" s="97"/>
      <c r="D35" s="49"/>
      <c r="E35" s="58"/>
      <c r="F35" s="59"/>
      <c r="G35" s="59"/>
      <c r="H35" s="59"/>
      <c r="I35" s="59"/>
      <c r="J35" s="59"/>
      <c r="K35" s="59"/>
      <c r="L35" s="59"/>
      <c r="M35" s="59"/>
      <c r="N35" s="59"/>
      <c r="O35" s="59"/>
      <c r="P35" s="59"/>
      <c r="Q35" s="59"/>
      <c r="R35" s="59"/>
      <c r="S35" s="1083"/>
      <c r="T35" s="65"/>
      <c r="U35" s="63"/>
      <c r="V35" s="60"/>
      <c r="W35" s="49"/>
      <c r="X35" s="4"/>
      <c r="Y35" s="1087"/>
      <c r="Z35" s="1106"/>
      <c r="AA35" s="1084" t="e">
        <f>IF(AG54=1,0,IF(AG54=2,0,IF(AC26=ZAVESY,IF(BD22=2,0,Ceny!$B$184),0)))</f>
        <v>#REF!</v>
      </c>
      <c r="AB35" s="1085"/>
      <c r="AC35" s="190"/>
      <c r="AD35" s="207" t="s">
        <v>1204</v>
      </c>
      <c r="AE35" s="208"/>
      <c r="AF35" s="106" t="b">
        <v>1</v>
      </c>
      <c r="AG35" s="4">
        <v>3</v>
      </c>
      <c r="AH35" s="4">
        <f>IF(AC26=ZAVESY,AG35,0)</f>
        <v>3</v>
      </c>
      <c r="AI35" s="233" t="e">
        <f>IF(AI26=1,$B$501,IF(AI26=2,$B$509,0))</f>
        <v>#REF!</v>
      </c>
      <c r="AJ35" s="237" t="str">
        <f>IF(AC26=AV_OST,AV_HKXS,"")</f>
        <v/>
      </c>
      <c r="AK35" s="238" t="str">
        <f t="shared" si="1"/>
        <v/>
      </c>
      <c r="AL35" s="4">
        <v>9</v>
      </c>
      <c r="AM35" s="4" t="e">
        <f t="shared" si="2"/>
        <v>#REF!</v>
      </c>
      <c r="AN35" s="4" t="e">
        <f t="shared" si="3"/>
        <v>#REF!</v>
      </c>
      <c r="AO35" s="4" t="e">
        <f t="shared" si="4"/>
        <v>#REF!</v>
      </c>
      <c r="AP35" s="242" t="e">
        <v>#REF!</v>
      </c>
      <c r="AQ35" s="238" t="e">
        <f t="shared" si="5"/>
        <v>#REF!</v>
      </c>
      <c r="AS35" s="245"/>
      <c r="AT35" s="238" t="str">
        <f t="shared" si="6"/>
        <v/>
      </c>
      <c r="AZ35" s="256"/>
      <c r="BA35" s="256"/>
      <c r="BB35" s="62" t="e">
        <v>#REF!</v>
      </c>
      <c r="BC35" s="228" t="e">
        <v>#REF!</v>
      </c>
      <c r="BD35" s="62" t="e">
        <v>#REF!</v>
      </c>
      <c r="BE35" s="178" t="e">
        <f t="shared" si="0"/>
        <v>#REF!</v>
      </c>
      <c r="BF35" s="62" t="e">
        <v>#REF!</v>
      </c>
      <c r="BG35" s="62" t="e">
        <v>#REF!</v>
      </c>
      <c r="BH35" s="52" t="e">
        <v>#REF!</v>
      </c>
    </row>
    <row r="36" spans="2:60" ht="18" customHeight="1" thickBot="1" x14ac:dyDescent="0.35">
      <c r="B36" s="97"/>
      <c r="D36" s="49" t="b">
        <f>IF(AG54=2,IF(AC30=4,1,0))</f>
        <v>0</v>
      </c>
      <c r="E36" s="58"/>
      <c r="F36" s="59"/>
      <c r="G36" s="59"/>
      <c r="H36" s="59"/>
      <c r="I36" s="59"/>
      <c r="J36" s="59"/>
      <c r="K36" s="59"/>
      <c r="L36" s="59"/>
      <c r="M36" s="59"/>
      <c r="N36" s="59"/>
      <c r="O36" s="59"/>
      <c r="P36" s="59"/>
      <c r="Q36" s="59"/>
      <c r="R36" s="59"/>
      <c r="S36" s="65"/>
      <c r="T36" s="65"/>
      <c r="U36" s="63"/>
      <c r="V36" s="60"/>
      <c r="W36" s="49" t="b">
        <f>IF(AG54=1,IF(AC30=4,1,0))</f>
        <v>0</v>
      </c>
      <c r="X36" s="4"/>
      <c r="Y36" s="1060" t="str">
        <f>Ceny_n!$B$136</f>
        <v>Výška</v>
      </c>
      <c r="Z36" s="1106"/>
      <c r="AA36" s="1061">
        <f>IF(AC35=0,0,Ceny!$B$186)</f>
        <v>0</v>
      </c>
      <c r="AB36" s="1062"/>
      <c r="AC36" s="191"/>
      <c r="AD36" s="207" t="s">
        <v>1205</v>
      </c>
      <c r="AE36" s="208"/>
      <c r="AG36" s="4">
        <v>4</v>
      </c>
      <c r="AH36" s="4">
        <f>IF(AC26=ZAVESY,AG36,0)</f>
        <v>4</v>
      </c>
      <c r="AI36" s="233" t="e">
        <f>IF(AI26=1,$B$502,IF(AI26=2,$B$510,0))</f>
        <v>#REF!</v>
      </c>
      <c r="AJ36" s="239" t="str">
        <f>IF(AC26=AV_OST,AV_HKXS_TIP,"")</f>
        <v/>
      </c>
      <c r="AK36" s="240" t="str">
        <f t="shared" si="1"/>
        <v/>
      </c>
      <c r="AL36" s="4">
        <v>10</v>
      </c>
      <c r="AM36" s="4" t="e">
        <f t="shared" si="2"/>
        <v>#REF!</v>
      </c>
      <c r="AN36" s="4" t="e">
        <f t="shared" si="3"/>
        <v>#REF!</v>
      </c>
      <c r="AO36" s="4" t="e">
        <f t="shared" si="4"/>
        <v>#REF!</v>
      </c>
      <c r="AP36" s="242" t="e">
        <v>#REF!</v>
      </c>
      <c r="AQ36" s="238" t="e">
        <f t="shared" si="5"/>
        <v>#REF!</v>
      </c>
      <c r="AS36" s="246"/>
      <c r="AT36" s="240" t="str">
        <f t="shared" si="6"/>
        <v/>
      </c>
      <c r="AZ36" s="256"/>
      <c r="BA36" s="256"/>
      <c r="BB36" s="62" t="e">
        <v>#REF!</v>
      </c>
      <c r="BC36" s="228" t="e">
        <v>#REF!</v>
      </c>
      <c r="BD36" s="62" t="e">
        <v>#REF!</v>
      </c>
      <c r="BE36" s="178" t="e">
        <f t="shared" si="0"/>
        <v>#REF!</v>
      </c>
      <c r="BF36" s="62" t="e">
        <v>#REF!</v>
      </c>
      <c r="BG36" s="62" t="e">
        <v>#REF!</v>
      </c>
      <c r="BH36" s="52" t="e">
        <v>#REF!</v>
      </c>
    </row>
    <row r="37" spans="2:60" ht="7.5" customHeight="1" x14ac:dyDescent="0.3">
      <c r="B37" s="97"/>
      <c r="D37" s="49"/>
      <c r="E37" s="58"/>
      <c r="F37" s="59"/>
      <c r="G37" s="59"/>
      <c r="H37" s="59"/>
      <c r="I37" s="59"/>
      <c r="J37" s="59"/>
      <c r="K37" s="59"/>
      <c r="L37" s="59"/>
      <c r="M37" s="59"/>
      <c r="N37" s="59"/>
      <c r="O37" s="59"/>
      <c r="P37" s="59"/>
      <c r="Q37" s="59"/>
      <c r="R37" s="59"/>
      <c r="S37" s="65"/>
      <c r="T37" s="65"/>
      <c r="U37" s="63"/>
      <c r="V37" s="60"/>
      <c r="W37" s="49"/>
      <c r="X37" s="4"/>
      <c r="Y37" s="1060"/>
      <c r="Z37" s="1106"/>
      <c r="AA37" s="1103"/>
      <c r="AB37" s="1066" t="str">
        <f>Ceny_n!$B$185</f>
        <v>Dodat včetně uvedeného kování</v>
      </c>
      <c r="AC37" s="1067"/>
      <c r="AD37" s="268"/>
      <c r="AE37" s="213"/>
      <c r="AG37" s="4">
        <v>5</v>
      </c>
      <c r="AH37" s="4">
        <f>IF(AC26=ZAVESY,AG37,0)</f>
        <v>5</v>
      </c>
      <c r="AI37" s="62" t="e">
        <f>IF(AI26=1,$B$503,IF(AI26=2,$B$511,0))</f>
        <v>#REF!</v>
      </c>
      <c r="AK37" s="178" t="str">
        <f t="shared" si="1"/>
        <v/>
      </c>
      <c r="AL37" s="4">
        <v>11</v>
      </c>
      <c r="AM37" s="4" t="e">
        <f>IF(AC27=HETTICH,BB35,IF(AC27=BLUM,BC35,))</f>
        <v>#REF!</v>
      </c>
      <c r="AN37" s="4" t="e">
        <f t="shared" si="3"/>
        <v>#REF!</v>
      </c>
      <c r="AO37" s="4" t="e">
        <f t="shared" si="4"/>
        <v>#REF!</v>
      </c>
      <c r="AP37" s="242" t="e">
        <v>#REF!</v>
      </c>
      <c r="AQ37" s="238" t="e">
        <f t="shared" si="5"/>
        <v>#REF!</v>
      </c>
      <c r="AZ37" s="256"/>
      <c r="BA37" s="256"/>
      <c r="BB37" s="62" t="e">
        <v>#REF!</v>
      </c>
      <c r="BC37" s="228" t="e">
        <v>#REF!</v>
      </c>
      <c r="BD37" s="62" t="e">
        <v>#REF!</v>
      </c>
      <c r="BE37" s="178" t="e">
        <f t="shared" si="0"/>
        <v>#REF!</v>
      </c>
      <c r="BF37" s="62" t="e">
        <v>#REF!</v>
      </c>
      <c r="BG37" s="62" t="e">
        <v>#REF!</v>
      </c>
      <c r="BH37" s="52" t="e">
        <v>#REF!</v>
      </c>
    </row>
    <row r="38" spans="2:60" ht="15.6" customHeight="1" x14ac:dyDescent="0.3">
      <c r="B38" s="97"/>
      <c r="D38" s="49"/>
      <c r="E38" s="58"/>
      <c r="F38" s="59"/>
      <c r="G38" s="59"/>
      <c r="H38" s="59"/>
      <c r="I38" s="59"/>
      <c r="J38" s="59"/>
      <c r="K38" s="59"/>
      <c r="L38" s="59"/>
      <c r="M38" s="59"/>
      <c r="N38" s="59"/>
      <c r="O38" s="59"/>
      <c r="P38" s="59"/>
      <c r="Q38" s="59"/>
      <c r="R38" s="59"/>
      <c r="S38" s="59"/>
      <c r="T38" s="59"/>
      <c r="U38" s="59"/>
      <c r="V38" s="60"/>
      <c r="W38" s="49"/>
      <c r="X38" s="4"/>
      <c r="Y38" s="1060"/>
      <c r="Z38" s="1106"/>
      <c r="AA38" s="1104"/>
      <c r="AB38" s="1068"/>
      <c r="AC38" s="1069"/>
      <c r="AD38" s="268"/>
      <c r="AE38" s="213"/>
      <c r="AI38" s="62" t="e">
        <f>IF(AI26=1,$B$504,IF(AI26=2,$B$513,0))</f>
        <v>#REF!</v>
      </c>
      <c r="AL38" s="4">
        <v>12</v>
      </c>
      <c r="AM38" s="4" t="e">
        <f>IF(AC27=HETTICH,BB36,IF(AC27=BLUM,BC36,""))</f>
        <v>#REF!</v>
      </c>
      <c r="AN38" s="4" t="e">
        <f t="shared" si="3"/>
        <v>#REF!</v>
      </c>
      <c r="AO38" s="4" t="e">
        <f t="shared" si="4"/>
        <v>#REF!</v>
      </c>
      <c r="AP38" s="242" t="e">
        <v>#REF!</v>
      </c>
      <c r="AQ38" s="238" t="e">
        <f t="shared" si="5"/>
        <v>#REF!</v>
      </c>
      <c r="AZ38" s="256"/>
      <c r="BA38" s="256"/>
      <c r="BB38" s="62" t="e">
        <v>#REF!</v>
      </c>
      <c r="BC38" s="228" t="e">
        <v>#REF!</v>
      </c>
      <c r="BD38" s="62" t="e">
        <v>#REF!</v>
      </c>
      <c r="BE38" s="178" t="e">
        <f t="shared" si="0"/>
        <v>#REF!</v>
      </c>
      <c r="BF38" s="62" t="e">
        <v>#REF!</v>
      </c>
      <c r="BG38" s="62" t="e">
        <v>#REF!</v>
      </c>
      <c r="BH38" s="52" t="e">
        <v>#REF!</v>
      </c>
    </row>
    <row r="39" spans="2:60" ht="12" customHeight="1" thickBot="1" x14ac:dyDescent="0.35">
      <c r="B39" s="97"/>
      <c r="D39" s="49"/>
      <c r="E39" s="58"/>
      <c r="F39" s="59"/>
      <c r="G39" s="59"/>
      <c r="H39" s="59"/>
      <c r="I39" s="59"/>
      <c r="J39" s="59"/>
      <c r="K39" s="59"/>
      <c r="L39" s="59"/>
      <c r="M39" s="59"/>
      <c r="N39" s="59"/>
      <c r="O39" s="59"/>
      <c r="P39" s="59"/>
      <c r="Q39" s="59"/>
      <c r="R39" s="59"/>
      <c r="S39" s="59"/>
      <c r="T39" s="59"/>
      <c r="U39" s="1072"/>
      <c r="V39" s="60"/>
      <c r="W39" s="49"/>
      <c r="X39" s="4"/>
      <c r="Y39" s="1060"/>
      <c r="Z39" s="1106"/>
      <c r="AA39" s="1104"/>
      <c r="AB39" s="1068"/>
      <c r="AC39" s="1069"/>
      <c r="AD39" s="268"/>
      <c r="AE39" s="213"/>
      <c r="AI39" s="66" t="e">
        <f>IF(AI26=1,$B$506,0)</f>
        <v>#REF!</v>
      </c>
      <c r="AL39" s="4">
        <v>13</v>
      </c>
      <c r="AM39" s="221"/>
      <c r="AN39" s="4" t="str">
        <f t="shared" si="3"/>
        <v/>
      </c>
      <c r="AO39" s="4" t="str">
        <f t="shared" si="4"/>
        <v xml:space="preserve"> ()</v>
      </c>
      <c r="AP39" s="242" t="e">
        <v>#REF!</v>
      </c>
      <c r="AQ39" s="238" t="e">
        <f t="shared" si="5"/>
        <v>#REF!</v>
      </c>
      <c r="AZ39" s="256"/>
      <c r="BA39" s="256"/>
      <c r="BB39" s="62" t="e">
        <v>#REF!</v>
      </c>
      <c r="BC39" s="228" t="e">
        <v>#REF!</v>
      </c>
      <c r="BD39" s="62" t="e">
        <v>#REF!</v>
      </c>
      <c r="BE39" s="178" t="e">
        <f t="shared" si="0"/>
        <v>#REF!</v>
      </c>
      <c r="BF39" s="62" t="e">
        <v>#REF!</v>
      </c>
      <c r="BG39" s="62" t="e">
        <v>#REF!</v>
      </c>
      <c r="BH39" s="52" t="e">
        <v>#REF!</v>
      </c>
    </row>
    <row r="40" spans="2:60" ht="1.5" customHeight="1" x14ac:dyDescent="0.3">
      <c r="B40" s="97"/>
      <c r="D40" s="49"/>
      <c r="E40" s="58"/>
      <c r="F40" s="59"/>
      <c r="G40" s="59"/>
      <c r="H40" s="59"/>
      <c r="I40" s="59"/>
      <c r="J40" s="59"/>
      <c r="K40" s="59"/>
      <c r="L40" s="59"/>
      <c r="M40" s="59"/>
      <c r="N40" s="59"/>
      <c r="O40" s="59"/>
      <c r="P40" s="59"/>
      <c r="Q40" s="59"/>
      <c r="R40" s="59"/>
      <c r="S40" s="59"/>
      <c r="T40" s="59"/>
      <c r="U40" s="1073"/>
      <c r="V40" s="60"/>
      <c r="W40" s="49"/>
      <c r="X40" s="4"/>
      <c r="Y40" s="1060"/>
      <c r="Z40" s="1106"/>
      <c r="AA40" s="1105"/>
      <c r="AB40" s="1070"/>
      <c r="AC40" s="1071"/>
      <c r="AD40" s="268"/>
      <c r="AE40" s="213"/>
      <c r="AI40" s="61" t="e">
        <f>IF(AI26=2,$B$520,0)</f>
        <v>#REF!</v>
      </c>
      <c r="AL40" s="4">
        <v>14</v>
      </c>
      <c r="AN40" s="4" t="str">
        <f t="shared" si="3"/>
        <v/>
      </c>
      <c r="AO40" s="4" t="str">
        <f t="shared" si="4"/>
        <v xml:space="preserve"> ()</v>
      </c>
      <c r="AP40" s="242" t="e">
        <v>#REF!</v>
      </c>
      <c r="AQ40" s="238" t="e">
        <f t="shared" si="5"/>
        <v>#REF!</v>
      </c>
      <c r="AZ40" s="256"/>
      <c r="BA40" s="256"/>
      <c r="BB40" s="62" t="e">
        <v>#REF!</v>
      </c>
      <c r="BC40" s="228" t="e">
        <v>#REF!</v>
      </c>
      <c r="BD40" s="62" t="e">
        <v>#REF!</v>
      </c>
      <c r="BE40" s="178" t="e">
        <f t="shared" si="0"/>
        <v>#REF!</v>
      </c>
      <c r="BF40" s="62" t="e">
        <v>#REF!</v>
      </c>
      <c r="BG40" s="62" t="e">
        <v>#REF!</v>
      </c>
      <c r="BH40" s="52" t="e">
        <v>#REF!</v>
      </c>
    </row>
    <row r="41" spans="2:60" ht="26.4" thickBot="1" x14ac:dyDescent="0.55000000000000004">
      <c r="B41" s="97"/>
      <c r="D41" s="49"/>
      <c r="E41" s="58"/>
      <c r="F41" s="59"/>
      <c r="G41" s="59"/>
      <c r="H41" s="59"/>
      <c r="I41" s="59"/>
      <c r="J41" s="59"/>
      <c r="K41" s="59"/>
      <c r="L41" s="59"/>
      <c r="M41" s="59"/>
      <c r="N41" s="59"/>
      <c r="O41" s="59"/>
      <c r="P41" s="59"/>
      <c r="Q41" s="59"/>
      <c r="R41" s="44" t="s">
        <v>15</v>
      </c>
      <c r="S41" s="59"/>
      <c r="T41" s="59"/>
      <c r="U41" s="59"/>
      <c r="V41" s="60"/>
      <c r="W41" s="49"/>
      <c r="X41" s="4"/>
      <c r="Y41" s="1060"/>
      <c r="Z41" s="1106"/>
      <c r="AC41" s="98"/>
      <c r="AI41" s="62" t="e">
        <f>IF(AI26=2,$B$521,0)</f>
        <v>#REF!</v>
      </c>
      <c r="AL41" s="4">
        <v>15</v>
      </c>
      <c r="AN41" s="4" t="str">
        <f t="shared" si="3"/>
        <v/>
      </c>
      <c r="AO41" s="4" t="str">
        <f t="shared" si="4"/>
        <v xml:space="preserve"> ()</v>
      </c>
      <c r="AP41" s="242" t="e">
        <v>#REF!</v>
      </c>
      <c r="AQ41" s="238" t="e">
        <f t="shared" si="5"/>
        <v>#REF!</v>
      </c>
      <c r="AZ41" s="256"/>
      <c r="BA41" s="256"/>
      <c r="BB41" s="62" t="e">
        <v>#REF!</v>
      </c>
      <c r="BC41" s="228" t="e">
        <v>#REF!</v>
      </c>
      <c r="BD41" s="62" t="e">
        <v>#REF!</v>
      </c>
      <c r="BE41" s="178" t="e">
        <f t="shared" si="0"/>
        <v>#REF!</v>
      </c>
      <c r="BF41" s="66" t="e">
        <v>#REF!</v>
      </c>
      <c r="BG41" s="66" t="e">
        <v>#REF!</v>
      </c>
      <c r="BH41" s="52" t="e">
        <v>#REF!</v>
      </c>
    </row>
    <row r="42" spans="2:60" ht="5.25" customHeight="1" thickBot="1" x14ac:dyDescent="1.1499999999999999">
      <c r="B42" s="97"/>
      <c r="D42" s="49"/>
      <c r="E42" s="58"/>
      <c r="F42" s="59"/>
      <c r="G42" s="59"/>
      <c r="H42" s="59"/>
      <c r="I42" s="59"/>
      <c r="J42" s="59"/>
      <c r="K42" s="59"/>
      <c r="L42" s="59"/>
      <c r="M42" s="59"/>
      <c r="N42" s="59"/>
      <c r="O42" s="59"/>
      <c r="P42" s="59"/>
      <c r="Q42" s="59"/>
      <c r="R42" s="44"/>
      <c r="S42" s="59"/>
      <c r="T42" s="59"/>
      <c r="U42" s="59"/>
      <c r="V42" s="60"/>
      <c r="W42" s="49"/>
      <c r="X42" s="4"/>
      <c r="Y42" s="1154"/>
      <c r="Z42" s="1106"/>
      <c r="AA42" s="104"/>
      <c r="AB42" s="53"/>
      <c r="AC42" s="93"/>
      <c r="AD42" s="264"/>
      <c r="AE42" s="206"/>
      <c r="AI42" s="62" t="e">
        <f>IF(AI26=2,$B$522,0)</f>
        <v>#REF!</v>
      </c>
      <c r="AL42" s="4">
        <v>16</v>
      </c>
      <c r="AO42" s="4" t="str">
        <f t="shared" si="4"/>
        <v xml:space="preserve"> ()</v>
      </c>
      <c r="AP42" s="242" t="e">
        <v>#REF!</v>
      </c>
      <c r="AQ42" s="238" t="e">
        <f t="shared" si="5"/>
        <v>#REF!</v>
      </c>
      <c r="AZ42" s="256"/>
      <c r="BA42" s="256"/>
      <c r="BB42" s="66" t="e">
        <v>#REF!</v>
      </c>
      <c r="BC42" s="229" t="e">
        <v>#REF!</v>
      </c>
      <c r="BD42" s="62" t="e">
        <v>#REF!</v>
      </c>
      <c r="BE42" s="178" t="e">
        <f t="shared" si="0"/>
        <v>#REF!</v>
      </c>
    </row>
    <row r="43" spans="2:60" ht="8.25" customHeight="1" thickBot="1" x14ac:dyDescent="0.55000000000000004">
      <c r="B43" s="97"/>
      <c r="D43" s="1074">
        <f>IF(AG54=2,1,0)</f>
        <v>0</v>
      </c>
      <c r="E43" s="58"/>
      <c r="F43" s="59"/>
      <c r="G43" s="59"/>
      <c r="H43" s="59"/>
      <c r="I43" s="59"/>
      <c r="J43" s="59"/>
      <c r="K43" s="59"/>
      <c r="L43" s="59"/>
      <c r="M43" s="59"/>
      <c r="N43" s="59"/>
      <c r="O43" s="59"/>
      <c r="P43" s="59"/>
      <c r="Q43" s="59"/>
      <c r="R43" s="44"/>
      <c r="S43" s="67"/>
      <c r="T43" s="67"/>
      <c r="U43" s="59"/>
      <c r="V43" s="60"/>
      <c r="W43" s="1074">
        <f>IF(AG54=1,1,0)</f>
        <v>0</v>
      </c>
      <c r="X43" s="4"/>
      <c r="Y43" s="68"/>
      <c r="AA43" s="53"/>
      <c r="AB43" s="53"/>
      <c r="AC43" s="93"/>
      <c r="AD43" s="264"/>
      <c r="AE43" s="206"/>
      <c r="AI43" s="66" t="e">
        <f>IF(AI26=2,$B$523,0)</f>
        <v>#REF!</v>
      </c>
      <c r="AL43" s="4">
        <v>17</v>
      </c>
      <c r="AO43" s="4" t="str">
        <f t="shared" si="4"/>
        <v xml:space="preserve"> ()</v>
      </c>
      <c r="AP43" s="242" t="e">
        <v>#REF!</v>
      </c>
      <c r="AQ43" s="238" t="e">
        <f t="shared" si="5"/>
        <v>#REF!</v>
      </c>
      <c r="AZ43" s="256"/>
      <c r="BA43" s="256"/>
      <c r="BC43" s="137"/>
      <c r="BD43" s="62" t="e">
        <v>#REF!</v>
      </c>
      <c r="BE43" s="178" t="e">
        <f t="shared" si="0"/>
        <v>#REF!</v>
      </c>
    </row>
    <row r="44" spans="2:60" ht="18" customHeight="1" x14ac:dyDescent="0.5">
      <c r="B44" s="97"/>
      <c r="D44" s="1074" t="e">
        <f>IF(#REF!=$Y$41,1,0)</f>
        <v>#REF!</v>
      </c>
      <c r="E44" s="58"/>
      <c r="F44" s="59"/>
      <c r="G44" s="127"/>
      <c r="H44" s="59"/>
      <c r="I44" s="48"/>
      <c r="J44" s="48"/>
      <c r="K44" s="48"/>
      <c r="L44" s="1075">
        <v>320</v>
      </c>
      <c r="M44" s="1076"/>
      <c r="N44" s="1077"/>
      <c r="O44" s="59"/>
      <c r="P44" s="59"/>
      <c r="Q44" s="59"/>
      <c r="R44" s="44"/>
      <c r="S44" s="1078"/>
      <c r="T44" s="69"/>
      <c r="U44" s="67"/>
      <c r="V44" s="45"/>
      <c r="W44" s="1074" t="e">
        <f>IF(#REF!=$Y$41,1,0)</f>
        <v>#REF!</v>
      </c>
      <c r="X44" s="53"/>
      <c r="Y44" s="70"/>
      <c r="AA44" s="1101" t="str">
        <f>IF(OR(Y28&gt;2500,L52&gt;2500),MAX_ROZ_RAM,IF(OR(AND(0.01&lt;Y28,Y28&lt;140),AND(0.01&lt;L52,L52&lt;140)),MIN_ROZ_RAM,""))</f>
        <v/>
      </c>
      <c r="AB44" s="1101"/>
      <c r="AC44" s="1102"/>
      <c r="AD44" s="264"/>
      <c r="AE44" s="206"/>
      <c r="AI44" s="61" t="e">
        <f>IF(AI26=1,$B$530,IF(AI26=2,$B$531,0))</f>
        <v>#REF!</v>
      </c>
      <c r="AL44" s="4">
        <v>18</v>
      </c>
      <c r="AO44" s="4" t="str">
        <f t="shared" si="4"/>
        <v xml:space="preserve"> ()</v>
      </c>
      <c r="AP44" s="242" t="e">
        <v>#REF!</v>
      </c>
      <c r="AQ44" s="238" t="e">
        <f t="shared" si="5"/>
        <v>#REF!</v>
      </c>
      <c r="AZ44" s="256"/>
      <c r="BA44" s="256"/>
      <c r="BC44" s="137"/>
      <c r="BD44" s="62" t="e">
        <v>#REF!</v>
      </c>
      <c r="BE44" s="178" t="e">
        <f t="shared" si="0"/>
        <v>#REF!</v>
      </c>
    </row>
    <row r="45" spans="2:60" ht="6" customHeight="1" x14ac:dyDescent="0.5">
      <c r="B45" s="97"/>
      <c r="D45" s="1081" t="str">
        <f>IF(D43=1,AC31,"")</f>
        <v/>
      </c>
      <c r="E45" s="58"/>
      <c r="F45" s="59"/>
      <c r="G45" s="71"/>
      <c r="H45" s="59"/>
      <c r="I45" s="48"/>
      <c r="J45" s="48"/>
      <c r="K45" s="48"/>
      <c r="L45" s="48"/>
      <c r="M45" s="71"/>
      <c r="N45" s="71"/>
      <c r="O45" s="59"/>
      <c r="P45" s="59"/>
      <c r="Q45" s="59"/>
      <c r="R45" s="44"/>
      <c r="S45" s="1079"/>
      <c r="T45" s="69"/>
      <c r="U45" s="67"/>
      <c r="V45" s="45"/>
      <c r="W45" s="1081" t="str">
        <f>IF(W43=1,AC31,"")</f>
        <v/>
      </c>
      <c r="X45" s="53"/>
      <c r="Y45" s="70"/>
      <c r="AA45" s="1101"/>
      <c r="AB45" s="1101"/>
      <c r="AC45" s="1102"/>
      <c r="AD45" s="264"/>
      <c r="AE45" s="206"/>
      <c r="AG45" s="4">
        <f>IF(AC36=$J$369,1,IF(AC36=$J$370,1,IF(AC36=$J$371,2,0)))</f>
        <v>0</v>
      </c>
      <c r="AI45" s="62" t="e">
        <f>IF(AI26=2,$B$532,0)</f>
        <v>#REF!</v>
      </c>
      <c r="AL45" s="4">
        <v>19</v>
      </c>
      <c r="AO45" s="4" t="str">
        <f t="shared" si="4"/>
        <v xml:space="preserve"> ()</v>
      </c>
      <c r="AP45" s="242" t="e">
        <v>#N/A</v>
      </c>
      <c r="AQ45" s="238" t="e">
        <f t="shared" si="5"/>
        <v>#N/A</v>
      </c>
      <c r="AZ45" s="256"/>
      <c r="BA45" s="256"/>
      <c r="BC45" s="137"/>
      <c r="BD45" s="62" t="e">
        <v>#REF!</v>
      </c>
      <c r="BE45" s="178" t="e">
        <f t="shared" si="0"/>
        <v>#REF!</v>
      </c>
    </row>
    <row r="46" spans="2:60" ht="22.5" customHeight="1" x14ac:dyDescent="0.5">
      <c r="B46" s="97"/>
      <c r="D46" s="1081"/>
      <c r="E46" s="58"/>
      <c r="F46" s="59"/>
      <c r="G46" s="59"/>
      <c r="H46" s="59"/>
      <c r="I46" s="44" t="s">
        <v>15</v>
      </c>
      <c r="J46" s="48"/>
      <c r="K46" s="48"/>
      <c r="L46" s="48"/>
      <c r="M46" s="48"/>
      <c r="N46" s="48"/>
      <c r="O46" s="59"/>
      <c r="P46" s="44" t="s">
        <v>15</v>
      </c>
      <c r="Q46" s="48"/>
      <c r="R46" s="44"/>
      <c r="S46" s="1080"/>
      <c r="T46" s="69"/>
      <c r="U46" s="44"/>
      <c r="V46" s="60"/>
      <c r="W46" s="1081"/>
      <c r="X46" s="53"/>
      <c r="Y46" s="70"/>
      <c r="AA46" s="1101"/>
      <c r="AB46" s="1101"/>
      <c r="AC46" s="1102"/>
      <c r="AD46" s="264"/>
      <c r="AE46" s="206"/>
      <c r="AG46" s="4">
        <f>IF(AC35=0,0,VPRAVO)</f>
        <v>0</v>
      </c>
      <c r="AI46" s="62" t="e">
        <f>IF(AI26=2,$B$533,0)</f>
        <v>#REF!</v>
      </c>
      <c r="AL46" s="4">
        <v>20</v>
      </c>
      <c r="AO46" s="4" t="str">
        <f t="shared" si="4"/>
        <v xml:space="preserve"> ()</v>
      </c>
      <c r="AP46" s="242" t="e">
        <v>#N/A</v>
      </c>
      <c r="AQ46" s="238" t="e">
        <f t="shared" si="5"/>
        <v>#N/A</v>
      </c>
      <c r="AZ46" s="256"/>
      <c r="BA46" s="256"/>
      <c r="BC46" s="137"/>
      <c r="BD46" s="62" t="e">
        <v>#REF!</v>
      </c>
      <c r="BE46" s="178" t="e">
        <f t="shared" si="0"/>
        <v>#REF!</v>
      </c>
    </row>
    <row r="47" spans="2:60" ht="26.4" thickBot="1" x14ac:dyDescent="0.55000000000000004">
      <c r="B47" s="97"/>
      <c r="D47" s="1081"/>
      <c r="E47" s="58"/>
      <c r="F47" s="59"/>
      <c r="G47" s="59"/>
      <c r="H47" s="59"/>
      <c r="I47" s="48"/>
      <c r="J47" s="1082">
        <v>100</v>
      </c>
      <c r="K47" s="48"/>
      <c r="L47" s="48"/>
      <c r="M47" s="48"/>
      <c r="N47" s="48"/>
      <c r="O47" s="59"/>
      <c r="P47" s="48"/>
      <c r="Q47" s="48"/>
      <c r="R47" s="59"/>
      <c r="S47" s="72"/>
      <c r="T47" s="72"/>
      <c r="U47" s="63"/>
      <c r="V47" s="60"/>
      <c r="W47" s="1081"/>
      <c r="X47" s="53"/>
      <c r="Y47" s="5"/>
      <c r="AA47" s="1101" t="str">
        <f>IF(AC31=0,"",IF(AND(OR(AC23="Palio (elox.)",AC23="Siena (elox.)"),AC31&lt;80),MIN_POZ_ZAVES_80,IF(AC31&lt;70,MIN_POZ_ZAVES,"")))</f>
        <v/>
      </c>
      <c r="AB47" s="1101"/>
      <c r="AC47" s="1102"/>
      <c r="AG47" s="4">
        <f>IF(AC35=0,0,VLEVO)</f>
        <v>0</v>
      </c>
      <c r="AI47" s="66" t="e">
        <f>IF(AI26=2,$B$534,0)</f>
        <v>#REF!</v>
      </c>
      <c r="AL47" s="4">
        <v>21</v>
      </c>
      <c r="AO47" s="4" t="str">
        <f t="shared" si="4"/>
        <v xml:space="preserve"> ()</v>
      </c>
      <c r="AP47" s="242" t="e">
        <v>#N/A</v>
      </c>
      <c r="AQ47" s="238" t="e">
        <f t="shared" si="5"/>
        <v>#N/A</v>
      </c>
      <c r="AZ47" s="256"/>
      <c r="BA47" s="256"/>
      <c r="BC47" s="137"/>
      <c r="BD47" s="62" t="e">
        <v>#REF!</v>
      </c>
      <c r="BE47" s="178" t="e">
        <f t="shared" si="0"/>
        <v>#REF!</v>
      </c>
    </row>
    <row r="48" spans="2:60" ht="25.8" x14ac:dyDescent="0.5">
      <c r="B48" s="97"/>
      <c r="D48" s="1081"/>
      <c r="E48" s="58"/>
      <c r="F48" s="59"/>
      <c r="G48" s="59"/>
      <c r="H48" s="59"/>
      <c r="I48" s="48"/>
      <c r="J48" s="1083"/>
      <c r="K48" s="48"/>
      <c r="L48" s="48"/>
      <c r="M48" s="48"/>
      <c r="N48" s="48"/>
      <c r="O48" s="59"/>
      <c r="P48" s="48"/>
      <c r="Q48" s="48"/>
      <c r="R48" s="59"/>
      <c r="S48" s="73"/>
      <c r="T48" s="73"/>
      <c r="U48" s="63"/>
      <c r="V48" s="60"/>
      <c r="W48" s="1081"/>
      <c r="X48" s="53"/>
      <c r="Y48" s="4"/>
      <c r="AC48" s="98"/>
      <c r="AG48" s="4">
        <f>IF(AC35=0,0,OBE_STRANY)</f>
        <v>0</v>
      </c>
      <c r="AJ48" s="4">
        <f>IF(AC35=0,0,VLOOKUP(AC35,AI49:AJ62,2,0))</f>
        <v>0</v>
      </c>
      <c r="AL48" s="4">
        <v>22</v>
      </c>
      <c r="AO48" s="4" t="str">
        <f t="shared" si="4"/>
        <v xml:space="preserve"> ()</v>
      </c>
      <c r="AP48" s="242" t="e">
        <v>#N/A</v>
      </c>
      <c r="AQ48" s="238" t="e">
        <f t="shared" si="5"/>
        <v>#N/A</v>
      </c>
      <c r="AZ48" s="256"/>
      <c r="BA48" s="256"/>
      <c r="BB48" s="4"/>
      <c r="BD48" s="62" t="e">
        <v>#REF!</v>
      </c>
      <c r="BE48" s="178" t="e">
        <f t="shared" si="0"/>
        <v>#REF!</v>
      </c>
    </row>
    <row r="49" spans="2:57" ht="15.75" customHeight="1" thickBot="1" x14ac:dyDescent="0.55000000000000004">
      <c r="B49" s="97"/>
      <c r="D49" s="1081"/>
      <c r="E49" s="74"/>
      <c r="F49" s="75"/>
      <c r="G49" s="75"/>
      <c r="H49" s="75"/>
      <c r="I49" s="47"/>
      <c r="J49" s="47"/>
      <c r="K49" s="47"/>
      <c r="L49" s="47"/>
      <c r="M49" s="47"/>
      <c r="N49" s="47"/>
      <c r="O49" s="75"/>
      <c r="P49" s="47"/>
      <c r="Q49" s="47"/>
      <c r="R49" s="75"/>
      <c r="S49" s="75"/>
      <c r="T49" s="75"/>
      <c r="U49" s="75"/>
      <c r="V49" s="76"/>
      <c r="W49" s="1081"/>
      <c r="X49" s="53"/>
      <c r="Y49" s="4"/>
      <c r="AC49" s="98"/>
      <c r="AH49" s="4" t="e">
        <f>IF(AA35=Ceny_n!$B$184,IF(AI26=1,Ceny!$F$919,IF(AI26=2,Ceny!$G$919,0)),0)</f>
        <v>#REF!</v>
      </c>
      <c r="AI49" s="4" t="e">
        <f>IF(AG54=3,AH49,AH68)</f>
        <v>#REF!</v>
      </c>
      <c r="AJ49" s="4">
        <f>IF(AC26=ZAVESY,Ceny!$E$948,0)</f>
        <v>199</v>
      </c>
      <c r="AL49" s="4">
        <v>22</v>
      </c>
      <c r="AO49" s="4" t="str">
        <f t="shared" si="4"/>
        <v xml:space="preserve"> ()</v>
      </c>
      <c r="AP49" s="242" t="e">
        <v>#N/A</v>
      </c>
      <c r="AQ49" s="238" t="e">
        <f t="shared" si="5"/>
        <v>#N/A</v>
      </c>
      <c r="AS49" s="4" t="e">
        <f>VLOOKUP(AL49,Ceny!$B$963:$E$970,4,0)</f>
        <v>#N/A</v>
      </c>
      <c r="AY49" s="4" t="e">
        <f t="shared" ref="AY49:AY63" si="7">AJ49+AS49+AT49+AU49+AW49</f>
        <v>#N/A</v>
      </c>
      <c r="AZ49" s="256"/>
      <c r="BA49" s="256"/>
      <c r="BB49" s="4"/>
      <c r="BD49" s="62" t="e">
        <v>#REF!</v>
      </c>
      <c r="BE49" s="178" t="e">
        <f t="shared" si="0"/>
        <v>#REF!</v>
      </c>
    </row>
    <row r="50" spans="2:57" ht="18.600000000000001" thickBot="1" x14ac:dyDescent="0.4">
      <c r="B50" s="97"/>
      <c r="D50" s="1036" t="str">
        <f>IF(H50=1,AC31,"")</f>
        <v/>
      </c>
      <c r="E50" s="1153"/>
      <c r="F50" s="1153"/>
      <c r="G50" s="1153"/>
      <c r="H50" s="51">
        <f>IF(AG54=4,1,0)</f>
        <v>0</v>
      </c>
      <c r="I50" s="51"/>
      <c r="J50" s="51"/>
      <c r="K50" s="51" t="b">
        <f>IF(AG54=4,IF(AC30=4,1,0))</f>
        <v>0</v>
      </c>
      <c r="L50" s="51"/>
      <c r="M50" s="51" t="b">
        <f>IF(AG54=4,IF(AC30=3,1,0))</f>
        <v>0</v>
      </c>
      <c r="N50" s="51"/>
      <c r="O50" s="51" t="b">
        <f>IF(AG54=4,IF(AC30=4,1,0))</f>
        <v>0</v>
      </c>
      <c r="P50" s="51"/>
      <c r="Q50" s="51"/>
      <c r="R50" s="51">
        <f>IF(AG54=4,1,0)</f>
        <v>0</v>
      </c>
      <c r="S50" s="1145" t="str">
        <f>IF(R50=1,AC31,"")</f>
        <v/>
      </c>
      <c r="T50" s="1145"/>
      <c r="U50" s="1145"/>
      <c r="V50" s="1145"/>
      <c r="W50" s="1039"/>
      <c r="X50" s="53"/>
      <c r="Y50" s="54"/>
      <c r="Z50" s="195" t="str">
        <f>IF(OR(AC23=Ceny_n!$B$18,AC23=Ceny_n!$B$19,AC23=Ceny_n!$B$20),Ceny!$B$498,"")</f>
        <v/>
      </c>
      <c r="AC50" s="98"/>
      <c r="AG50" s="4" t="str">
        <f>IF(AC26=ZAVESY,VPRAVO,0)</f>
        <v xml:space="preserve">Vpravo </v>
      </c>
      <c r="AH50" s="4" t="e">
        <f>IF(AA35=Ceny_n!$B$184,IF(AI26=1,Ceny!$F$920,IF(AI26=2,Ceny!$G$920,0)),0)</f>
        <v>#REF!</v>
      </c>
      <c r="AI50" s="4" t="e">
        <f>IF(AG54=3,AH50,AH69)</f>
        <v>#REF!</v>
      </c>
      <c r="AJ50" s="4">
        <f>IF(AC26=ZAVESY,Ceny!$E$949,0)</f>
        <v>199</v>
      </c>
      <c r="AL50" s="4">
        <v>22</v>
      </c>
      <c r="AO50" s="4" t="str">
        <f t="shared" si="4"/>
        <v xml:space="preserve"> ()</v>
      </c>
      <c r="AP50" s="242" t="e">
        <v>#N/A</v>
      </c>
      <c r="AQ50" s="238" t="e">
        <f t="shared" si="5"/>
        <v>#N/A</v>
      </c>
      <c r="AS50" s="4" t="e">
        <f>VLOOKUP(AL50,Ceny!$B$963:$E$970,4,0)</f>
        <v>#N/A</v>
      </c>
      <c r="AY50" s="4" t="e">
        <f t="shared" si="7"/>
        <v>#N/A</v>
      </c>
      <c r="AZ50" s="256"/>
      <c r="BA50" s="256"/>
      <c r="BB50" s="4"/>
      <c r="BD50" s="62" t="e">
        <v>#REF!</v>
      </c>
      <c r="BE50" s="178" t="e">
        <f t="shared" si="0"/>
        <v>#REF!</v>
      </c>
    </row>
    <row r="51" spans="2:57" ht="6" customHeight="1" x14ac:dyDescent="0.3">
      <c r="B51" s="97"/>
      <c r="D51" s="53"/>
      <c r="E51" s="53"/>
      <c r="F51" s="53"/>
      <c r="G51" s="53"/>
      <c r="H51" s="53"/>
      <c r="I51" s="4"/>
      <c r="J51" s="4"/>
      <c r="K51" s="4"/>
      <c r="L51" s="4"/>
      <c r="M51" s="4"/>
      <c r="N51" s="4"/>
      <c r="O51" s="4"/>
      <c r="P51" s="4"/>
      <c r="Q51" s="4"/>
      <c r="R51" s="53"/>
      <c r="S51" s="53"/>
      <c r="T51" s="53"/>
      <c r="U51" s="53"/>
      <c r="V51" s="53"/>
      <c r="W51" s="53"/>
      <c r="X51" s="4"/>
      <c r="Y51" s="4"/>
      <c r="AC51" s="98"/>
      <c r="AG51" s="4" t="str">
        <f>IF(AC26=ZAVESY,VLEVO,0)</f>
        <v>Vlevo</v>
      </c>
      <c r="AH51" s="4" t="e">
        <f>IF(AA35=Ceny_n!$B$184,IF(AI26=1,Ceny!$F$921,IF(AI26=2,Ceny!$G$921,0)),0)</f>
        <v>#REF!</v>
      </c>
      <c r="AI51" s="4" t="e">
        <f>IF(AG54=3,AH51,AH70)</f>
        <v>#REF!</v>
      </c>
      <c r="AJ51" s="4">
        <f>IF(AC26=ZAVESY,Ceny!$E$950,0)</f>
        <v>199</v>
      </c>
      <c r="AL51" s="4">
        <v>22</v>
      </c>
      <c r="AO51" s="4" t="str">
        <f t="shared" si="4"/>
        <v xml:space="preserve"> ()</v>
      </c>
      <c r="AP51" s="242" t="e">
        <v>#N/A</v>
      </c>
      <c r="AQ51" s="238" t="e">
        <f t="shared" si="5"/>
        <v>#N/A</v>
      </c>
      <c r="AS51" s="4" t="e">
        <f>VLOOKUP(AL51,Ceny!$B$963:$E$970,4,0)</f>
        <v>#N/A</v>
      </c>
      <c r="AY51" s="4" t="e">
        <f t="shared" si="7"/>
        <v>#N/A</v>
      </c>
      <c r="AZ51" s="256"/>
      <c r="BA51" s="256"/>
      <c r="BB51" s="4"/>
      <c r="BD51" s="62" t="e">
        <v>#REF!</v>
      </c>
      <c r="BE51" s="178" t="e">
        <f t="shared" si="0"/>
        <v>#REF!</v>
      </c>
    </row>
    <row r="52" spans="2:57" ht="20.25" customHeight="1" thickBot="1" x14ac:dyDescent="0.4">
      <c r="B52" s="97"/>
      <c r="D52" s="54"/>
      <c r="E52" s="54"/>
      <c r="F52" s="54"/>
      <c r="G52" s="54"/>
      <c r="H52" s="4"/>
      <c r="I52" s="1040" t="str">
        <f>Ceny_n!$B$135</f>
        <v xml:space="preserve">Šířka </v>
      </c>
      <c r="J52" s="1041"/>
      <c r="K52" s="1041"/>
      <c r="L52" s="1042">
        <v>600</v>
      </c>
      <c r="M52" s="1042"/>
      <c r="N52" s="1042"/>
      <c r="O52" s="1042"/>
      <c r="P52" s="1042"/>
      <c r="Q52" s="1043"/>
      <c r="R52" s="54"/>
      <c r="S52" s="54"/>
      <c r="T52" s="54"/>
      <c r="U52" s="54"/>
      <c r="V52" s="54"/>
      <c r="W52" s="54"/>
      <c r="X52" s="4"/>
      <c r="Y52" s="4"/>
      <c r="Z52" s="195" t="str">
        <f>IF(L52&gt;1500,Ceny!$B$290,IF(Y28&gt;1500,Ceny!$B$290,""))</f>
        <v/>
      </c>
      <c r="AC52" s="98"/>
      <c r="AG52" s="4" t="str">
        <f>IF(AC26=ZAVESY,NAHORE,0)</f>
        <v>Nahoře</v>
      </c>
      <c r="AH52" s="4" t="e">
        <f>IF(AA35=Ceny_n!$B$184,IF(AI26=1,Ceny!$F$922,IF(AI26=2,Ceny!$G$922,0)),0)</f>
        <v>#REF!</v>
      </c>
      <c r="AI52" s="4" t="e">
        <f>IF(AG54=3,AH52,AH71)</f>
        <v>#REF!</v>
      </c>
      <c r="AJ52" s="4">
        <f>IF(AC26=ZAVESY,Ceny!$E$951,0)</f>
        <v>199</v>
      </c>
      <c r="AL52" s="4">
        <v>22</v>
      </c>
      <c r="AO52" s="4" t="str">
        <f t="shared" si="4"/>
        <v xml:space="preserve"> ()</v>
      </c>
      <c r="AP52" s="243" t="e">
        <v>#N/A</v>
      </c>
      <c r="AQ52" s="240" t="e">
        <f t="shared" si="5"/>
        <v>#N/A</v>
      </c>
      <c r="AS52" s="4" t="e">
        <f>VLOOKUP(AL52,Ceny!$B$963:$E$970,4,0)</f>
        <v>#N/A</v>
      </c>
      <c r="AY52" s="4" t="e">
        <f t="shared" si="7"/>
        <v>#N/A</v>
      </c>
      <c r="AZ52" s="256"/>
      <c r="BA52" s="256"/>
      <c r="BD52" s="62" t="e">
        <v>#REF!</v>
      </c>
      <c r="BE52" s="178" t="e">
        <f t="shared" si="0"/>
        <v>#REF!</v>
      </c>
    </row>
    <row r="53" spans="2:57" ht="17.25" customHeight="1" x14ac:dyDescent="0.35">
      <c r="B53" s="97"/>
      <c r="D53" s="54"/>
      <c r="E53" s="54"/>
      <c r="F53" s="54"/>
      <c r="G53" s="54"/>
      <c r="H53" s="77"/>
      <c r="I53" s="77"/>
      <c r="J53" s="77"/>
      <c r="K53" s="78"/>
      <c r="L53" s="78"/>
      <c r="M53" s="79"/>
      <c r="N53" s="79"/>
      <c r="O53" s="79"/>
      <c r="P53" s="79"/>
      <c r="Q53" s="79"/>
      <c r="R53" s="54"/>
      <c r="S53" s="54"/>
      <c r="T53" s="54"/>
      <c r="U53" s="54"/>
      <c r="V53" s="54"/>
      <c r="W53" s="54"/>
      <c r="X53" s="4"/>
      <c r="Y53" s="4"/>
      <c r="Z53" s="1044" t="str">
        <f>Ceny_n!$B$138</f>
        <v>Cena rámečků celkem</v>
      </c>
      <c r="AA53" s="1045"/>
      <c r="AB53" s="1045"/>
      <c r="AC53" s="1048" t="e">
        <f>IF(AC23=$B$347,0,(AI23+AM23+AN23+AS23)-((AI23+AM23+AN23+AS23)*$AC$14))</f>
        <v>#REF!</v>
      </c>
      <c r="AD53" s="269"/>
      <c r="AE53" s="214"/>
      <c r="AG53" s="4" t="str">
        <f>IF(AC26=ZAVESY,DOLE,0)</f>
        <v>Dole</v>
      </c>
      <c r="AH53" s="4" t="e">
        <f>IF(AA35=Ceny_n!$B$184,IF(AI26=1,Ceny!$F$923,IF(AI26=2,Ceny!$G$923,0)),0)</f>
        <v>#REF!</v>
      </c>
      <c r="AI53" s="4" t="e">
        <f>IF(AG54=3,AH53,AH72)</f>
        <v>#REF!</v>
      </c>
      <c r="AJ53" s="4">
        <f>IF(AC26=ZAVESY,Ceny!$E$952,0)</f>
        <v>199</v>
      </c>
      <c r="AL53" s="4" t="e">
        <f>IF(AI26=1,Ceny!$B$964,0)</f>
        <v>#REF!</v>
      </c>
      <c r="AM53" s="4">
        <v>0</v>
      </c>
      <c r="AN53" s="4">
        <v>0</v>
      </c>
      <c r="AP53" s="4">
        <v>0</v>
      </c>
      <c r="AS53" s="4" t="e">
        <f>VLOOKUP(AL53,Ceny!$B$963:$E$970,4,0)</f>
        <v>#REF!</v>
      </c>
      <c r="AY53" s="4" t="e">
        <f t="shared" si="7"/>
        <v>#REF!</v>
      </c>
      <c r="AZ53" s="256"/>
      <c r="BA53" s="256"/>
      <c r="BD53" s="62" t="e">
        <v>#REF!</v>
      </c>
      <c r="BE53" s="178" t="e">
        <f t="shared" si="0"/>
        <v>#REF!</v>
      </c>
    </row>
    <row r="54" spans="2:57" ht="17.25" customHeight="1" x14ac:dyDescent="0.35">
      <c r="B54" s="97"/>
      <c r="D54" s="54"/>
      <c r="E54" s="54"/>
      <c r="F54" s="54"/>
      <c r="G54" s="54"/>
      <c r="H54" s="77"/>
      <c r="I54" s="77"/>
      <c r="J54" s="77"/>
      <c r="K54" s="78"/>
      <c r="L54" s="78"/>
      <c r="M54" s="79"/>
      <c r="N54" s="79"/>
      <c r="O54" s="79"/>
      <c r="P54" s="79"/>
      <c r="Q54" s="79"/>
      <c r="R54" s="54"/>
      <c r="S54" s="54"/>
      <c r="T54" s="54"/>
      <c r="U54" s="54"/>
      <c r="V54" s="54"/>
      <c r="W54" s="54"/>
      <c r="X54" s="4"/>
      <c r="Y54" s="4"/>
      <c r="Z54" s="1046"/>
      <c r="AA54" s="1047"/>
      <c r="AB54" s="1047"/>
      <c r="AC54" s="1049"/>
      <c r="AD54" s="269"/>
      <c r="AE54" s="214"/>
      <c r="AG54" s="4">
        <f>IF(AC34=VPRAVO,1,IF('Běžné rámečky'!AC34=VLEVO,2,IF('Běžné rámečky'!AC34=NAHORE,3,IF('Běžné rámečky'!AC34=DOLE,4,0))))</f>
        <v>0</v>
      </c>
      <c r="AH54" s="4" t="e">
        <f>IF(AA35=Ceny_n!$B$184,IF(AI26=1,Ceny!$F$924,IF(AI26=2,Ceny!$G$924,0)),0)</f>
        <v>#REF!</v>
      </c>
      <c r="AI54" s="4" t="str">
        <f>IF(AG54=3,AH54,AH73)</f>
        <v xml:space="preserve"> </v>
      </c>
      <c r="AJ54" s="4">
        <f>IF(AC26=ZAVESY,Ceny!$E$953,0)</f>
        <v>50</v>
      </c>
      <c r="AL54" s="80">
        <f>Ceny_n!$B$965</f>
        <v>15585</v>
      </c>
      <c r="AM54" s="4">
        <v>0</v>
      </c>
      <c r="AN54" s="4">
        <v>0</v>
      </c>
      <c r="AP54" s="4">
        <v>0</v>
      </c>
      <c r="AS54" s="4">
        <f>VLOOKUP(AL54,Ceny!$B$963:$E$970,4,0)</f>
        <v>3.1249699999999998</v>
      </c>
      <c r="AY54" s="4">
        <f t="shared" si="7"/>
        <v>53.124969999999998</v>
      </c>
      <c r="AZ54" s="256"/>
      <c r="BA54" s="256"/>
      <c r="BD54" s="62" t="e">
        <v>#REF!</v>
      </c>
      <c r="BE54" s="178" t="e">
        <f t="shared" si="0"/>
        <v>#REF!</v>
      </c>
    </row>
    <row r="55" spans="2:57" ht="13.5" customHeight="1" x14ac:dyDescent="0.35">
      <c r="B55" s="97"/>
      <c r="D55" s="54"/>
      <c r="E55" s="54"/>
      <c r="F55" s="54"/>
      <c r="G55" s="54"/>
      <c r="H55" s="77"/>
      <c r="I55" s="77"/>
      <c r="J55" s="77"/>
      <c r="K55" s="78"/>
      <c r="L55" s="78"/>
      <c r="M55" s="79"/>
      <c r="N55" s="79"/>
      <c r="O55" s="79"/>
      <c r="P55" s="79"/>
      <c r="Q55" s="79"/>
      <c r="R55" s="54"/>
      <c r="S55" s="54"/>
      <c r="T55" s="54"/>
      <c r="U55" s="54"/>
      <c r="V55" s="54"/>
      <c r="W55" s="54"/>
      <c r="X55" s="4"/>
      <c r="Y55" s="4"/>
      <c r="Z55" s="1050" t="str">
        <f>Ceny_n!$B$140</f>
        <v>Cena za kompletní objednávku</v>
      </c>
      <c r="AA55" s="1051"/>
      <c r="AB55" s="1051"/>
      <c r="AC55" s="1054" t="e">
        <f>SUM($AC$53,$AC$107,$AC$161,$AC$215,$AC$269,$AC$323)</f>
        <v>#REF!</v>
      </c>
      <c r="AD55" s="269"/>
      <c r="AE55" s="214"/>
      <c r="AH55" s="4" t="e">
        <f>IF(AA35=Ceny_n!$B$184,IF(AI26=1,Ceny!$F$925,IF(AI26=2,Ceny!$G$925,0)),0)</f>
        <v>#REF!</v>
      </c>
      <c r="AI55" s="4" t="str">
        <f>IF(AG54=3,AH55,AH73)</f>
        <v xml:space="preserve"> </v>
      </c>
      <c r="AJ55" s="4">
        <f>IF(AC26=ZAVESY,Ceny!$E$954,0)</f>
        <v>50</v>
      </c>
      <c r="AL55" s="80">
        <f>Ceny_n!$B$965</f>
        <v>15585</v>
      </c>
      <c r="AM55" s="4">
        <v>0</v>
      </c>
      <c r="AN55" s="4">
        <v>0</v>
      </c>
      <c r="AP55" s="4">
        <v>0</v>
      </c>
      <c r="AS55" s="4">
        <f>VLOOKUP(AL55,Ceny!$B$963:$E$970,4,0)</f>
        <v>3.1249699999999998</v>
      </c>
      <c r="AY55" s="4">
        <f t="shared" si="7"/>
        <v>53.124969999999998</v>
      </c>
      <c r="AZ55" s="256"/>
      <c r="BA55" s="256"/>
      <c r="BD55" s="62" t="e">
        <v>#REF!</v>
      </c>
      <c r="BE55" s="178" t="e">
        <f t="shared" si="0"/>
        <v>#REF!</v>
      </c>
    </row>
    <row r="56" spans="2:57" ht="17.25" customHeight="1" x14ac:dyDescent="0.35">
      <c r="B56" s="97"/>
      <c r="D56" s="54"/>
      <c r="E56" s="54"/>
      <c r="F56" s="54"/>
      <c r="G56" s="54"/>
      <c r="H56" s="77"/>
      <c r="I56" s="77"/>
      <c r="J56" s="77"/>
      <c r="K56" s="78"/>
      <c r="L56" s="78"/>
      <c r="M56" s="79"/>
      <c r="N56" s="79"/>
      <c r="O56" s="79"/>
      <c r="P56" s="79"/>
      <c r="Q56" s="79"/>
      <c r="R56" s="54"/>
      <c r="S56" s="54"/>
      <c r="T56" s="54"/>
      <c r="U56" s="54"/>
      <c r="V56" s="54"/>
      <c r="W56" s="54"/>
      <c r="X56" s="4"/>
      <c r="Y56" s="4"/>
      <c r="Z56" s="1052"/>
      <c r="AA56" s="1053"/>
      <c r="AB56" s="1053"/>
      <c r="AC56" s="1055"/>
      <c r="AD56" s="270"/>
      <c r="AE56" s="215"/>
      <c r="AH56" s="4" t="e">
        <f>IF(AA35=Ceny_n!$B$184,IF(AI26=1,Ceny!$F$926,IF(AI26=2,Ceny!$G$926,0)),0)</f>
        <v>#REF!</v>
      </c>
      <c r="AI56" s="4" t="str">
        <f>IF(AG54=3,AH56,AH73)</f>
        <v xml:space="preserve"> </v>
      </c>
      <c r="AJ56" s="4">
        <f>IF(AC26=ZAVESY,Ceny!$E$955,0)</f>
        <v>50</v>
      </c>
      <c r="AL56" s="80">
        <f>Ceny_n!$B$965</f>
        <v>15585</v>
      </c>
      <c r="AM56" s="4">
        <v>0</v>
      </c>
      <c r="AN56" s="4">
        <v>0</v>
      </c>
      <c r="AP56" s="4">
        <v>0</v>
      </c>
      <c r="AS56" s="4">
        <f>VLOOKUP(AL56,Ceny!$B$963:$E$970,4,0)</f>
        <v>3.1249699999999998</v>
      </c>
      <c r="AY56" s="4">
        <f t="shared" si="7"/>
        <v>53.124969999999998</v>
      </c>
      <c r="AZ56" s="256"/>
      <c r="BA56" s="256"/>
      <c r="BD56" s="62" t="e">
        <v>#REF!</v>
      </c>
      <c r="BE56" s="178" t="e">
        <f t="shared" si="0"/>
        <v>#REF!</v>
      </c>
    </row>
    <row r="57" spans="2:57" ht="7.5" customHeight="1" x14ac:dyDescent="0.3">
      <c r="B57" s="97"/>
      <c r="D57" s="54"/>
      <c r="E57" s="54"/>
      <c r="F57" s="54"/>
      <c r="G57" s="54"/>
      <c r="H57" s="77"/>
      <c r="I57" s="77"/>
      <c r="J57" s="77"/>
      <c r="K57" s="78"/>
      <c r="L57" s="78"/>
      <c r="M57" s="79"/>
      <c r="N57" s="79"/>
      <c r="O57" s="79"/>
      <c r="P57" s="79"/>
      <c r="Q57" s="79"/>
      <c r="R57" s="54"/>
      <c r="S57" s="54"/>
      <c r="T57" s="54"/>
      <c r="U57" s="54"/>
      <c r="V57" s="54"/>
      <c r="W57" s="54"/>
      <c r="X57" s="4"/>
      <c r="Y57" s="4"/>
      <c r="Z57" s="1056" t="str">
        <f>Ceny_n!$B$131</f>
        <v>Uvedené ceny jsou bez DPH a nezahrnují cenu požadovaného kování!</v>
      </c>
      <c r="AA57" s="1056"/>
      <c r="AB57" s="1056"/>
      <c r="AC57" s="1057"/>
      <c r="AH57" s="4" t="e">
        <f>IF(AA35=Ceny_n!$B$184,IF(AI26=1,Ceny!$F$927,IF(AI26=2,Ceny!$G$927,0)),0)</f>
        <v>#REF!</v>
      </c>
      <c r="AI57" s="4" t="str">
        <f>IF(AG54=3,AH57,AH73)</f>
        <v xml:space="preserve"> </v>
      </c>
      <c r="AJ57" s="4">
        <f>IF(AC26=ZAVESY,Ceny!$E$956,0)</f>
        <v>50</v>
      </c>
      <c r="AL57" s="80">
        <f>Ceny_n!$B$965</f>
        <v>15585</v>
      </c>
      <c r="AM57" s="4">
        <v>0</v>
      </c>
      <c r="AN57" s="4">
        <v>0</v>
      </c>
      <c r="AP57" s="4">
        <v>0</v>
      </c>
      <c r="AS57" s="4">
        <f>VLOOKUP(AL57,Ceny!$B$963:$E$970,4,0)</f>
        <v>3.1249699999999998</v>
      </c>
      <c r="AY57" s="4">
        <f t="shared" si="7"/>
        <v>53.124969999999998</v>
      </c>
      <c r="AZ57" s="256"/>
      <c r="BA57" s="256"/>
      <c r="BD57" s="62" t="e">
        <v>#REF!</v>
      </c>
      <c r="BE57" s="178" t="e">
        <f t="shared" si="0"/>
        <v>#REF!</v>
      </c>
    </row>
    <row r="58" spans="2:57" s="4" customFormat="1" ht="7.5" customHeight="1" x14ac:dyDescent="0.3">
      <c r="B58" s="99"/>
      <c r="C58" s="100"/>
      <c r="D58" s="100"/>
      <c r="E58" s="100"/>
      <c r="F58" s="100"/>
      <c r="G58" s="100"/>
      <c r="H58" s="100"/>
      <c r="I58" s="101"/>
      <c r="J58" s="101"/>
      <c r="K58" s="101"/>
      <c r="L58" s="101"/>
      <c r="M58" s="101"/>
      <c r="N58" s="101"/>
      <c r="O58" s="102"/>
      <c r="P58" s="100"/>
      <c r="Q58" s="100"/>
      <c r="R58" s="100"/>
      <c r="S58" s="100"/>
      <c r="T58" s="100"/>
      <c r="U58" s="100"/>
      <c r="V58" s="100"/>
      <c r="W58" s="100"/>
      <c r="X58" s="100"/>
      <c r="Y58" s="100"/>
      <c r="Z58" s="1058"/>
      <c r="AA58" s="1058"/>
      <c r="AB58" s="1058"/>
      <c r="AC58" s="1059"/>
      <c r="AD58" s="257"/>
      <c r="AE58" s="199"/>
      <c r="AF58" s="106"/>
      <c r="AH58" s="4" t="e">
        <f>IF(AA35=Ceny_n!$B$184,IF(AI26=1,Ceny!$F$928,IF(AI26=2,Ceny!$G$928,0)),0)</f>
        <v>#REF!</v>
      </c>
      <c r="AI58" s="4" t="str">
        <f>IF(AG54=3,AH58,AH73)</f>
        <v xml:space="preserve"> </v>
      </c>
      <c r="AJ58" s="4">
        <f>IF(AC26=ZAVESY,Ceny!$E$957,0)</f>
        <v>50</v>
      </c>
      <c r="AL58" s="80">
        <f>Ceny_n!$B$965</f>
        <v>15585</v>
      </c>
      <c r="AM58" s="4">
        <v>0</v>
      </c>
      <c r="AN58" s="4">
        <v>0</v>
      </c>
      <c r="AP58" s="4">
        <v>0</v>
      </c>
      <c r="AS58" s="4">
        <f>VLOOKUP(AL58,Ceny!$B$963:$E$970,4,0)</f>
        <v>3.1249699999999998</v>
      </c>
      <c r="AY58" s="4">
        <f t="shared" si="7"/>
        <v>53.124969999999998</v>
      </c>
      <c r="AZ58" s="256"/>
      <c r="BA58" s="256"/>
      <c r="BB58" s="52"/>
      <c r="BD58" s="62" t="e">
        <v>#REF!</v>
      </c>
      <c r="BE58" s="178" t="e">
        <f t="shared" si="0"/>
        <v>#REF!</v>
      </c>
    </row>
    <row r="59" spans="2:57" ht="6.9" customHeight="1" x14ac:dyDescent="0.3">
      <c r="B59" s="1024" t="str">
        <f>Ceny_n!$B$137</f>
        <v>Poznámky</v>
      </c>
      <c r="C59" s="1025"/>
      <c r="D59" s="1025"/>
      <c r="E59" s="1025"/>
      <c r="F59" s="1025"/>
      <c r="G59" s="1030"/>
      <c r="H59" s="1030"/>
      <c r="I59" s="1030"/>
      <c r="J59" s="1030"/>
      <c r="K59" s="1030"/>
      <c r="L59" s="1030"/>
      <c r="M59" s="1030"/>
      <c r="N59" s="1030"/>
      <c r="O59" s="1030"/>
      <c r="P59" s="1030"/>
      <c r="Q59" s="1030"/>
      <c r="R59" s="1030"/>
      <c r="S59" s="1030"/>
      <c r="T59" s="1030"/>
      <c r="U59" s="1030"/>
      <c r="V59" s="1030"/>
      <c r="W59" s="1030"/>
      <c r="X59" s="1030"/>
      <c r="Y59" s="1030"/>
      <c r="Z59" s="1030"/>
      <c r="AA59" s="1030"/>
      <c r="AB59" s="1030"/>
      <c r="AC59" s="1031"/>
      <c r="AD59" s="271"/>
      <c r="AE59" s="216"/>
      <c r="AH59" s="4" t="e">
        <f>IF(AA35=Ceny_n!$B$184,IF(AI26=1,Ceny!$F$929,IF(AI26=2,Ceny!$G$929,0)),0)</f>
        <v>#REF!</v>
      </c>
      <c r="AI59" s="4" t="str">
        <f>IF(AG54=3,AH59,AH73)</f>
        <v xml:space="preserve"> </v>
      </c>
      <c r="AJ59" s="4">
        <f>IF(AC26=ZAVESY,Ceny!$E$958,0)</f>
        <v>299.89999999999998</v>
      </c>
      <c r="AL59" s="52">
        <f>Ceny_n!$B$968</f>
        <v>15596</v>
      </c>
      <c r="AM59" s="4">
        <f>Ceny_n!$B$967</f>
        <v>15595</v>
      </c>
      <c r="AN59" s="81" t="e">
        <f>IF(AI26=1,Ceny!$B$967,0)</f>
        <v>#REF!</v>
      </c>
      <c r="AO59" s="81"/>
      <c r="AP59" s="81" t="e">
        <f>IF(AI26=1,Ceny!$B$968,0)</f>
        <v>#REF!</v>
      </c>
      <c r="AQ59" s="81"/>
      <c r="AR59" s="81" t="e">
        <f>IF(AI26=1,Ceny!$B$969,0)</f>
        <v>#REF!</v>
      </c>
      <c r="AS59" s="4">
        <f>VLOOKUP(AL59,Ceny!$B$963:$E$970,4,0)</f>
        <v>11.9</v>
      </c>
      <c r="AT59" s="4">
        <f>VLOOKUP(AM59,Ceny!$B$963:$E$970,4,0)</f>
        <v>13.4</v>
      </c>
      <c r="AU59" s="4" t="e">
        <f>VLOOKUP(AN59,Ceny!$B$963:$E$970,4,0)</f>
        <v>#REF!</v>
      </c>
      <c r="AW59" s="4" t="e">
        <f>2*(VLOOKUP(AP59,Ceny!$B$963:$E$970,4,0))</f>
        <v>#REF!</v>
      </c>
      <c r="AX59" s="4" t="e">
        <f>2*(VLOOKUP(AR59,Ceny!$B$963:$E$970,4,0))</f>
        <v>#REF!</v>
      </c>
      <c r="AY59" s="4" t="e">
        <f t="shared" si="7"/>
        <v>#REF!</v>
      </c>
      <c r="AZ59" s="256"/>
      <c r="BA59" s="256"/>
      <c r="BD59" s="62" t="e">
        <v>#REF!</v>
      </c>
      <c r="BE59" s="178" t="e">
        <f t="shared" si="0"/>
        <v>#REF!</v>
      </c>
    </row>
    <row r="60" spans="2:57" ht="6.9" customHeight="1" x14ac:dyDescent="0.3">
      <c r="B60" s="1026"/>
      <c r="C60" s="1027"/>
      <c r="D60" s="1027"/>
      <c r="E60" s="1027"/>
      <c r="F60" s="1027"/>
      <c r="G60" s="1032"/>
      <c r="H60" s="1032"/>
      <c r="I60" s="1032"/>
      <c r="J60" s="1032"/>
      <c r="K60" s="1032"/>
      <c r="L60" s="1032"/>
      <c r="M60" s="1032"/>
      <c r="N60" s="1032"/>
      <c r="O60" s="1032"/>
      <c r="P60" s="1032"/>
      <c r="Q60" s="1032"/>
      <c r="R60" s="1032"/>
      <c r="S60" s="1032"/>
      <c r="T60" s="1032"/>
      <c r="U60" s="1032"/>
      <c r="V60" s="1032"/>
      <c r="W60" s="1032"/>
      <c r="X60" s="1032"/>
      <c r="Y60" s="1032"/>
      <c r="Z60" s="1032"/>
      <c r="AA60" s="1032"/>
      <c r="AB60" s="1032"/>
      <c r="AC60" s="1033"/>
      <c r="AD60" s="271"/>
      <c r="AE60" s="216"/>
      <c r="AH60" s="4" t="e">
        <f>IF(AA35=Ceny_n!$B$184,IF(AI26=1,Ceny!$F$930,IF(AI26=2,Ceny!$G$930,0)),0)</f>
        <v>#REF!</v>
      </c>
      <c r="AI60" s="4" t="str">
        <f>IF(AG54=3,AH60,AH73)</f>
        <v xml:space="preserve"> </v>
      </c>
      <c r="AJ60" s="4">
        <f>IF(AC26=ZAVESY,Ceny!$E$959,0)</f>
        <v>299.89999999999998</v>
      </c>
      <c r="AL60" s="52">
        <f>Ceny_n!$B$968</f>
        <v>15596</v>
      </c>
      <c r="AM60" s="4">
        <f>Ceny_n!$B$967</f>
        <v>15595</v>
      </c>
      <c r="AN60" s="81" t="e">
        <f>IF(AI26=1,Ceny!$B$967,0)</f>
        <v>#REF!</v>
      </c>
      <c r="AO60" s="81"/>
      <c r="AP60" s="81" t="e">
        <f>IF(AI26=1,Ceny!$B$968,0)</f>
        <v>#REF!</v>
      </c>
      <c r="AQ60" s="81"/>
      <c r="AR60" s="81" t="e">
        <f>IF(AI26=1,Ceny!$B$969,0)</f>
        <v>#REF!</v>
      </c>
      <c r="AS60" s="4">
        <f>VLOOKUP(AL60,Ceny!$B$963:$E$970,4,0)</f>
        <v>11.9</v>
      </c>
      <c r="AT60" s="4">
        <f>VLOOKUP(AM60,Ceny!$B$963:$E$970,4,0)</f>
        <v>13.4</v>
      </c>
      <c r="AU60" s="4" t="e">
        <f>VLOOKUP(AN60,Ceny!$B$963:$E$970,4,0)</f>
        <v>#REF!</v>
      </c>
      <c r="AW60" s="4" t="e">
        <f>2*(VLOOKUP(AP60,Ceny!$B$963:$E$970,4,0))</f>
        <v>#REF!</v>
      </c>
      <c r="AX60" s="4" t="e">
        <f>2*(VLOOKUP(AR60,Ceny!$B$963:$E$970,4,0))</f>
        <v>#REF!</v>
      </c>
      <c r="AY60" s="4" t="e">
        <f t="shared" si="7"/>
        <v>#REF!</v>
      </c>
      <c r="AZ60" s="256"/>
      <c r="BA60" s="256"/>
      <c r="BD60" s="62" t="e">
        <v>#REF!</v>
      </c>
      <c r="BE60" s="178" t="e">
        <f t="shared" si="0"/>
        <v>#REF!</v>
      </c>
    </row>
    <row r="61" spans="2:57" ht="6.9" customHeight="1" x14ac:dyDescent="0.3">
      <c r="B61" s="1026"/>
      <c r="C61" s="1027"/>
      <c r="D61" s="1027"/>
      <c r="E61" s="1027"/>
      <c r="F61" s="1027"/>
      <c r="G61" s="1032"/>
      <c r="H61" s="1032"/>
      <c r="I61" s="1032"/>
      <c r="J61" s="1032"/>
      <c r="K61" s="1032"/>
      <c r="L61" s="1032"/>
      <c r="M61" s="1032"/>
      <c r="N61" s="1032"/>
      <c r="O61" s="1032"/>
      <c r="P61" s="1032"/>
      <c r="Q61" s="1032"/>
      <c r="R61" s="1032"/>
      <c r="S61" s="1032"/>
      <c r="T61" s="1032"/>
      <c r="U61" s="1032"/>
      <c r="V61" s="1032"/>
      <c r="W61" s="1032"/>
      <c r="X61" s="1032"/>
      <c r="Y61" s="1032"/>
      <c r="Z61" s="1032"/>
      <c r="AA61" s="1032"/>
      <c r="AB61" s="1032"/>
      <c r="AC61" s="1033"/>
      <c r="AD61" s="271"/>
      <c r="AE61" s="216"/>
      <c r="AH61" s="4" t="e">
        <f>IF(AA35=Ceny_n!$B$184,IF(AI26=1,Ceny!$F$931,IF(AI26=2,Ceny!$G$931,0)),0)</f>
        <v>#REF!</v>
      </c>
      <c r="AI61" s="4" t="str">
        <f>IF(AG54=3,AH61,AH73)</f>
        <v xml:space="preserve"> </v>
      </c>
      <c r="AJ61" s="4">
        <f>IF(AC26=ZAVESY,Ceny!$E$960,0)</f>
        <v>299.89999999999998</v>
      </c>
      <c r="AL61" s="52">
        <f>Ceny_n!$B$968</f>
        <v>15596</v>
      </c>
      <c r="AM61" s="4">
        <f>Ceny_n!$B$967</f>
        <v>15595</v>
      </c>
      <c r="AN61" s="81" t="e">
        <f>IF(AI26=1,Ceny!$B$967,0)</f>
        <v>#REF!</v>
      </c>
      <c r="AO61" s="81"/>
      <c r="AP61" s="81" t="e">
        <f>IF(AI26=1,Ceny!$B$968,0)</f>
        <v>#REF!</v>
      </c>
      <c r="AQ61" s="81"/>
      <c r="AR61" s="81" t="e">
        <f>IF(AI26=1,Ceny!$B$969,0)</f>
        <v>#REF!</v>
      </c>
      <c r="AS61" s="4">
        <f>VLOOKUP(AL61,Ceny!$B$963:$E$970,4,0)</f>
        <v>11.9</v>
      </c>
      <c r="AT61" s="4">
        <f>VLOOKUP(AM61,Ceny!$B$963:$E$970,4,0)</f>
        <v>13.4</v>
      </c>
      <c r="AU61" s="4" t="e">
        <f>VLOOKUP(AN61,Ceny!$B$963:$E$970,4,0)</f>
        <v>#REF!</v>
      </c>
      <c r="AW61" s="4" t="e">
        <f>2*(VLOOKUP(AP61,Ceny!$B$963:$E$970,4,0))</f>
        <v>#REF!</v>
      </c>
      <c r="AX61" s="4" t="e">
        <f>2*(VLOOKUP(AR61,Ceny!$B$963:$E$970,4,0))</f>
        <v>#REF!</v>
      </c>
      <c r="AY61" s="4" t="e">
        <f t="shared" si="7"/>
        <v>#REF!</v>
      </c>
      <c r="AZ61" s="256"/>
      <c r="BA61" s="256"/>
      <c r="BD61" s="62" t="e">
        <v>#REF!</v>
      </c>
      <c r="BE61" s="178" t="e">
        <f t="shared" si="0"/>
        <v>#REF!</v>
      </c>
    </row>
    <row r="62" spans="2:57" ht="6.9" customHeight="1" x14ac:dyDescent="0.3">
      <c r="B62" s="1026"/>
      <c r="C62" s="1027"/>
      <c r="D62" s="1027"/>
      <c r="E62" s="1027"/>
      <c r="F62" s="1027"/>
      <c r="G62" s="1032"/>
      <c r="H62" s="1032"/>
      <c r="I62" s="1032"/>
      <c r="J62" s="1032"/>
      <c r="K62" s="1032"/>
      <c r="L62" s="1032"/>
      <c r="M62" s="1032"/>
      <c r="N62" s="1032"/>
      <c r="O62" s="1032"/>
      <c r="P62" s="1032"/>
      <c r="Q62" s="1032"/>
      <c r="R62" s="1032"/>
      <c r="S62" s="1032"/>
      <c r="T62" s="1032"/>
      <c r="U62" s="1032"/>
      <c r="V62" s="1032"/>
      <c r="W62" s="1032"/>
      <c r="X62" s="1032"/>
      <c r="Y62" s="1032"/>
      <c r="Z62" s="1032"/>
      <c r="AA62" s="1032"/>
      <c r="AB62" s="1032"/>
      <c r="AC62" s="1033"/>
      <c r="AD62" s="271"/>
      <c r="AE62" s="216"/>
      <c r="AH62" s="4" t="e">
        <f>IF(AA35=Ceny_n!$B$184,IF(AI26=1,Ceny!$F$932,IF(AI26=2,Ceny!$G$932,0)),0)</f>
        <v>#REF!</v>
      </c>
      <c r="AI62" s="4" t="str">
        <f>IF(AG54=3,AH62,AH73)</f>
        <v xml:space="preserve"> </v>
      </c>
      <c r="AJ62" s="4">
        <f>IF(AC26=ZAVESY,Ceny!$E$961,0)</f>
        <v>299.89999999999998</v>
      </c>
      <c r="AL62" s="52">
        <f>Ceny_n!$B$968</f>
        <v>15596</v>
      </c>
      <c r="AM62" s="4">
        <f>Ceny_n!$B$967</f>
        <v>15595</v>
      </c>
      <c r="AN62" s="81" t="e">
        <f>IF(AI26=1,Ceny!$B$967,0)</f>
        <v>#REF!</v>
      </c>
      <c r="AO62" s="81"/>
      <c r="AP62" s="81" t="e">
        <f>IF(AI26=1,Ceny!$B$968,0)</f>
        <v>#REF!</v>
      </c>
      <c r="AQ62" s="81"/>
      <c r="AR62" s="81" t="e">
        <f>IF(AI26=1,Ceny!$B$969,0)</f>
        <v>#REF!</v>
      </c>
      <c r="AS62" s="4">
        <f>VLOOKUP(AL62,Ceny!$B$963:$E$970,4,0)</f>
        <v>11.9</v>
      </c>
      <c r="AT62" s="4">
        <f>VLOOKUP(AM62,Ceny!$B$963:$E$970,4,0)</f>
        <v>13.4</v>
      </c>
      <c r="AU62" s="4" t="e">
        <f>VLOOKUP(AN62,Ceny!$B$963:$E$970,4,0)</f>
        <v>#REF!</v>
      </c>
      <c r="AW62" s="4" t="e">
        <f>2*(VLOOKUP(AP62,Ceny!$B$963:$E$970,4,0))</f>
        <v>#REF!</v>
      </c>
      <c r="AX62" s="4" t="e">
        <f>2*(VLOOKUP(AR62,Ceny!$B$963:$E$970,4,0))</f>
        <v>#REF!</v>
      </c>
      <c r="AY62" s="4" t="e">
        <f t="shared" si="7"/>
        <v>#REF!</v>
      </c>
      <c r="AZ62" s="256"/>
      <c r="BA62" s="256"/>
      <c r="BD62" s="62" t="e">
        <v>#REF!</v>
      </c>
      <c r="BE62" s="178" t="e">
        <f t="shared" si="0"/>
        <v>#REF!</v>
      </c>
    </row>
    <row r="63" spans="2:57" ht="6.9" customHeight="1" x14ac:dyDescent="0.3">
      <c r="B63" s="1026"/>
      <c r="C63" s="1027"/>
      <c r="D63" s="1027"/>
      <c r="E63" s="1027"/>
      <c r="F63" s="1027"/>
      <c r="G63" s="1032"/>
      <c r="H63" s="1032"/>
      <c r="I63" s="1032"/>
      <c r="J63" s="1032"/>
      <c r="K63" s="1032"/>
      <c r="L63" s="1032"/>
      <c r="M63" s="1032"/>
      <c r="N63" s="1032"/>
      <c r="O63" s="1032"/>
      <c r="P63" s="1032"/>
      <c r="Q63" s="1032"/>
      <c r="R63" s="1032"/>
      <c r="S63" s="1032"/>
      <c r="T63" s="1032"/>
      <c r="U63" s="1032"/>
      <c r="V63" s="1032"/>
      <c r="W63" s="1032"/>
      <c r="X63" s="1032"/>
      <c r="Y63" s="1032"/>
      <c r="Z63" s="1032"/>
      <c r="AA63" s="1032"/>
      <c r="AB63" s="1032"/>
      <c r="AC63" s="1033"/>
      <c r="AD63" s="271"/>
      <c r="AE63" s="216"/>
      <c r="AH63" s="4" t="e">
        <f>IF(AA35=Ceny_n!$B$184,IF(AI26=1,Ceny!$F$933,IF(AI26=2,Ceny!$G$933,0)),0)</f>
        <v>#REF!</v>
      </c>
      <c r="AI63" s="4" t="str">
        <f>IF(AG54=3,AH63,AH73)</f>
        <v xml:space="preserve"> </v>
      </c>
      <c r="AJ63" s="4">
        <f>IF(AC26=ZAVESY,Ceny!$E$962,0)</f>
        <v>159</v>
      </c>
      <c r="AY63" s="4">
        <f t="shared" si="7"/>
        <v>159</v>
      </c>
      <c r="AZ63" s="256"/>
      <c r="BA63" s="256"/>
      <c r="BB63" s="4"/>
      <c r="BD63" s="62" t="e">
        <v>#REF!</v>
      </c>
      <c r="BE63" s="178" t="e">
        <f t="shared" si="0"/>
        <v>#REF!</v>
      </c>
    </row>
    <row r="64" spans="2:57" ht="6" customHeight="1" x14ac:dyDescent="0.3">
      <c r="B64" s="1026"/>
      <c r="C64" s="1027"/>
      <c r="D64" s="1027"/>
      <c r="E64" s="1027"/>
      <c r="F64" s="1027"/>
      <c r="G64" s="1032"/>
      <c r="H64" s="1032"/>
      <c r="I64" s="1032"/>
      <c r="J64" s="1032"/>
      <c r="K64" s="1032"/>
      <c r="L64" s="1032"/>
      <c r="M64" s="1032"/>
      <c r="N64" s="1032"/>
      <c r="O64" s="1032"/>
      <c r="P64" s="1032"/>
      <c r="Q64" s="1032"/>
      <c r="R64" s="1032"/>
      <c r="S64" s="1032"/>
      <c r="T64" s="1032"/>
      <c r="U64" s="1032"/>
      <c r="V64" s="1032"/>
      <c r="W64" s="1032"/>
      <c r="X64" s="1032"/>
      <c r="Y64" s="1032"/>
      <c r="Z64" s="1032"/>
      <c r="AA64" s="1032"/>
      <c r="AB64" s="1032"/>
      <c r="AC64" s="1033"/>
      <c r="AD64" s="271"/>
      <c r="AE64" s="216"/>
      <c r="AH64" s="4" t="e">
        <f>IF(AA35=Ceny_n!$B$184,IF(AI26=1,Ceny!$F$934,IF(AI26=2,Ceny!$G$934,0)),0)</f>
        <v>#REF!</v>
      </c>
      <c r="AI64" s="4" t="str">
        <f>IF(AG54=3,AH64,AH73)</f>
        <v xml:space="preserve"> </v>
      </c>
      <c r="AZ64" s="256"/>
      <c r="BA64" s="256"/>
      <c r="BB64" s="4"/>
      <c r="BD64" s="62" t="e">
        <v>#REF!</v>
      </c>
      <c r="BE64" s="178" t="e">
        <f t="shared" si="0"/>
        <v>#REF!</v>
      </c>
    </row>
    <row r="65" spans="2:59" ht="6.9" customHeight="1" thickBot="1" x14ac:dyDescent="0.35">
      <c r="B65" s="1026"/>
      <c r="C65" s="1027"/>
      <c r="D65" s="1027"/>
      <c r="E65" s="1027"/>
      <c r="F65" s="1027"/>
      <c r="G65" s="1032"/>
      <c r="H65" s="1032"/>
      <c r="I65" s="1032"/>
      <c r="J65" s="1032"/>
      <c r="K65" s="1032"/>
      <c r="L65" s="1032"/>
      <c r="M65" s="1032"/>
      <c r="N65" s="1032"/>
      <c r="O65" s="1032"/>
      <c r="P65" s="1032"/>
      <c r="Q65" s="1032"/>
      <c r="R65" s="1032"/>
      <c r="S65" s="1032"/>
      <c r="T65" s="1032"/>
      <c r="U65" s="1032"/>
      <c r="V65" s="1032"/>
      <c r="W65" s="1032"/>
      <c r="X65" s="1032"/>
      <c r="Y65" s="1032"/>
      <c r="Z65" s="1032"/>
      <c r="AA65" s="1032"/>
      <c r="AB65" s="1032"/>
      <c r="AC65" s="1033"/>
      <c r="AD65" s="271"/>
      <c r="AE65" s="216"/>
      <c r="AH65" s="4" t="e">
        <f>IF(AA35=Ceny_n!$B$184,IF(AI26=1,Ceny!$F$935,IF(AI26=2,Ceny!$G$935,0)),0)</f>
        <v>#REF!</v>
      </c>
      <c r="AI65" s="4" t="str">
        <f>IF(AG54=3,AH65,AH73)</f>
        <v xml:space="preserve"> </v>
      </c>
      <c r="AZ65" s="256"/>
      <c r="BA65" s="256"/>
      <c r="BD65" s="66" t="e">
        <v>#REF!</v>
      </c>
      <c r="BE65" s="178" t="e">
        <f t="shared" si="0"/>
        <v>#REF!</v>
      </c>
    </row>
    <row r="66" spans="2:59" ht="6.9" customHeight="1" x14ac:dyDescent="0.3">
      <c r="B66" s="1026"/>
      <c r="C66" s="1027"/>
      <c r="D66" s="1027"/>
      <c r="E66" s="1027"/>
      <c r="F66" s="1027"/>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3"/>
      <c r="AD66" s="271"/>
      <c r="AE66" s="216"/>
      <c r="AH66" s="4" t="e">
        <f>IF(AA35=Ceny_n!$B$184,IF(AI26=1,Ceny!$F$936,IF(AI26=2,Ceny!$G$936,0)),0)</f>
        <v>#REF!</v>
      </c>
      <c r="AI66" s="4" t="str">
        <f>IF(AG54=3,AH66,AH73)</f>
        <v xml:space="preserve"> </v>
      </c>
      <c r="AZ66" s="256"/>
      <c r="BA66" s="256"/>
    </row>
    <row r="67" spans="2:59" ht="6.9" customHeight="1" x14ac:dyDescent="0.3">
      <c r="B67" s="1026"/>
      <c r="C67" s="1027"/>
      <c r="D67" s="1027"/>
      <c r="E67" s="1027"/>
      <c r="F67" s="1027"/>
      <c r="G67" s="1032"/>
      <c r="H67" s="1032"/>
      <c r="I67" s="1032"/>
      <c r="J67" s="1032"/>
      <c r="K67" s="1032"/>
      <c r="L67" s="1032"/>
      <c r="M67" s="1032"/>
      <c r="N67" s="1032"/>
      <c r="O67" s="1032"/>
      <c r="P67" s="1032"/>
      <c r="Q67" s="1032"/>
      <c r="R67" s="1032"/>
      <c r="S67" s="1032"/>
      <c r="T67" s="1032"/>
      <c r="U67" s="1032"/>
      <c r="V67" s="1032"/>
      <c r="W67" s="1032"/>
      <c r="X67" s="1032"/>
      <c r="Y67" s="1032"/>
      <c r="Z67" s="1032"/>
      <c r="AA67" s="1032"/>
      <c r="AB67" s="1032"/>
      <c r="AC67" s="1033"/>
      <c r="AD67" s="271"/>
      <c r="AE67" s="216"/>
      <c r="AH67" s="4" t="e">
        <f>IF(AA35=Ceny_n!$B$184,IF(AI26=1,Ceny!$F$937,IF(AI26=2,Ceny!$G$937,0)),0)</f>
        <v>#REF!</v>
      </c>
      <c r="AI67" s="4" t="str">
        <f>IF(AG54=3,AH67,AH73)</f>
        <v xml:space="preserve"> </v>
      </c>
      <c r="AZ67" s="256"/>
      <c r="BA67" s="256"/>
    </row>
    <row r="68" spans="2:59" ht="20.25" customHeight="1" x14ac:dyDescent="0.3">
      <c r="B68" s="1026"/>
      <c r="C68" s="1027"/>
      <c r="D68" s="1027"/>
      <c r="E68" s="1027"/>
      <c r="F68" s="1027"/>
      <c r="G68" s="1032"/>
      <c r="H68" s="1032"/>
      <c r="I68" s="1032"/>
      <c r="J68" s="1032"/>
      <c r="K68" s="1032"/>
      <c r="L68" s="1032"/>
      <c r="M68" s="1032"/>
      <c r="N68" s="1032"/>
      <c r="O68" s="1032"/>
      <c r="P68" s="1032"/>
      <c r="Q68" s="1032"/>
      <c r="R68" s="1032"/>
      <c r="S68" s="1032"/>
      <c r="T68" s="1032"/>
      <c r="U68" s="1032"/>
      <c r="V68" s="1032"/>
      <c r="W68" s="1032"/>
      <c r="X68" s="1032"/>
      <c r="Y68" s="1032"/>
      <c r="Z68" s="1032"/>
      <c r="AA68" s="1032"/>
      <c r="AB68" s="1032"/>
      <c r="AC68" s="1033"/>
      <c r="AD68" s="271"/>
      <c r="AE68" s="216"/>
      <c r="AH68" s="4" t="e">
        <f>IF(AA35=Ceny_n!$B$184,IF(AI26=1,Ceny!$F$938,IF(AI26=2,Ceny!$G$938,0)),0)</f>
        <v>#REF!</v>
      </c>
      <c r="AI68" s="4" t="str">
        <f>IF(AG54=3,AH68,AH73)</f>
        <v xml:space="preserve"> </v>
      </c>
      <c r="AZ68" s="256"/>
      <c r="BA68" s="256"/>
    </row>
    <row r="69" spans="2:59" ht="6.9" customHeight="1" x14ac:dyDescent="0.3">
      <c r="B69" s="1026"/>
      <c r="C69" s="1027"/>
      <c r="D69" s="1027"/>
      <c r="E69" s="1027"/>
      <c r="F69" s="1027"/>
      <c r="G69" s="1032"/>
      <c r="H69" s="1032"/>
      <c r="I69" s="1032"/>
      <c r="J69" s="1032"/>
      <c r="K69" s="1032"/>
      <c r="L69" s="1032"/>
      <c r="M69" s="1032"/>
      <c r="N69" s="1032"/>
      <c r="O69" s="1032"/>
      <c r="P69" s="1032"/>
      <c r="Q69" s="1032"/>
      <c r="R69" s="1032"/>
      <c r="S69" s="1032"/>
      <c r="T69" s="1032"/>
      <c r="U69" s="1032"/>
      <c r="V69" s="1032"/>
      <c r="W69" s="1032"/>
      <c r="X69" s="1032"/>
      <c r="Y69" s="1032"/>
      <c r="Z69" s="1032"/>
      <c r="AA69" s="1032"/>
      <c r="AB69" s="1032"/>
      <c r="AC69" s="1033"/>
      <c r="AD69" s="271"/>
      <c r="AE69" s="216"/>
      <c r="AH69" s="4" t="e">
        <f>IF(AA35=Ceny_n!$B$184,IF(AI26=1,Ceny!$F$939,IF(AI26=2,Ceny!$G$939,0)),0)</f>
        <v>#REF!</v>
      </c>
      <c r="AZ69" s="256"/>
      <c r="BA69" s="256"/>
    </row>
    <row r="70" spans="2:59" ht="6.9" customHeight="1" x14ac:dyDescent="0.3">
      <c r="B70" s="1026"/>
      <c r="C70" s="1027"/>
      <c r="D70" s="1027"/>
      <c r="E70" s="1027"/>
      <c r="F70" s="1027"/>
      <c r="G70" s="1032"/>
      <c r="H70" s="1032"/>
      <c r="I70" s="1032"/>
      <c r="J70" s="1032"/>
      <c r="K70" s="1032"/>
      <c r="L70" s="1032"/>
      <c r="M70" s="1032"/>
      <c r="N70" s="1032"/>
      <c r="O70" s="1032"/>
      <c r="P70" s="1032"/>
      <c r="Q70" s="1032"/>
      <c r="R70" s="1032"/>
      <c r="S70" s="1032"/>
      <c r="T70" s="1032"/>
      <c r="U70" s="1032"/>
      <c r="V70" s="1032"/>
      <c r="W70" s="1032"/>
      <c r="X70" s="1032"/>
      <c r="Y70" s="1032"/>
      <c r="Z70" s="1032"/>
      <c r="AA70" s="1032"/>
      <c r="AB70" s="1032"/>
      <c r="AC70" s="1033"/>
      <c r="AD70" s="271"/>
      <c r="AE70" s="216"/>
      <c r="AH70" s="4" t="e">
        <f>IF(AA35=Ceny_n!$B$184,IF(AI26=1,Ceny!$F$940,IF(AI26=2,Ceny!$G$940,0)),0)</f>
        <v>#REF!</v>
      </c>
      <c r="AZ70" s="256"/>
      <c r="BA70" s="256"/>
    </row>
    <row r="71" spans="2:59" ht="6.9" customHeight="1" x14ac:dyDescent="0.3">
      <c r="B71" s="1026"/>
      <c r="C71" s="1027"/>
      <c r="D71" s="1027"/>
      <c r="E71" s="1027"/>
      <c r="F71" s="1027"/>
      <c r="G71" s="1032"/>
      <c r="H71" s="1032"/>
      <c r="I71" s="1032"/>
      <c r="J71" s="1032"/>
      <c r="K71" s="1032"/>
      <c r="L71" s="1032"/>
      <c r="M71" s="1032"/>
      <c r="N71" s="1032"/>
      <c r="O71" s="1032"/>
      <c r="P71" s="1032"/>
      <c r="Q71" s="1032"/>
      <c r="R71" s="1032"/>
      <c r="S71" s="1032"/>
      <c r="T71" s="1032"/>
      <c r="U71" s="1032"/>
      <c r="V71" s="1032"/>
      <c r="W71" s="1032"/>
      <c r="X71" s="1032"/>
      <c r="Y71" s="1032"/>
      <c r="Z71" s="1032"/>
      <c r="AA71" s="1032"/>
      <c r="AB71" s="1032"/>
      <c r="AC71" s="1033"/>
      <c r="AD71" s="271"/>
      <c r="AE71" s="216"/>
      <c r="AH71" s="4" t="e">
        <f>IF(AA35=Ceny_n!$B$184,IF(AI26=1,Ceny!$F$941,IF(AI26=2,Ceny!$G$941,0)),0)</f>
        <v>#REF!</v>
      </c>
      <c r="AZ71" s="256"/>
      <c r="BA71" s="256"/>
    </row>
    <row r="72" spans="2:59" ht="6.9" customHeight="1" x14ac:dyDescent="0.3">
      <c r="B72" s="1028"/>
      <c r="C72" s="1029"/>
      <c r="D72" s="1029"/>
      <c r="E72" s="1029"/>
      <c r="F72" s="1029"/>
      <c r="G72" s="1034"/>
      <c r="H72" s="1034"/>
      <c r="I72" s="1034"/>
      <c r="J72" s="1034"/>
      <c r="K72" s="1034"/>
      <c r="L72" s="1034"/>
      <c r="M72" s="1034"/>
      <c r="N72" s="1034"/>
      <c r="O72" s="1034"/>
      <c r="P72" s="1034"/>
      <c r="Q72" s="1034"/>
      <c r="R72" s="1034"/>
      <c r="S72" s="1034"/>
      <c r="T72" s="1034"/>
      <c r="U72" s="1034"/>
      <c r="V72" s="1034"/>
      <c r="W72" s="1034"/>
      <c r="X72" s="1034"/>
      <c r="Y72" s="1034"/>
      <c r="Z72" s="1034"/>
      <c r="AA72" s="1034"/>
      <c r="AB72" s="1034"/>
      <c r="AC72" s="1035"/>
      <c r="AD72" s="271"/>
      <c r="AE72" s="216"/>
      <c r="AH72" s="4" t="e">
        <f>IF(AA35=Ceny_n!$B$184,IF(AI26=1,Ceny!$F$942,IF(AI26=2,Ceny!$G$942,0)),0)</f>
        <v>#REF!</v>
      </c>
      <c r="AZ72" s="256"/>
      <c r="BA72" s="256"/>
    </row>
    <row r="73" spans="2:59" ht="7.5" customHeight="1" x14ac:dyDescent="0.3">
      <c r="B73" s="111"/>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3"/>
      <c r="AD73" s="272"/>
      <c r="AE73" s="217"/>
      <c r="AH73" s="4" t="s">
        <v>684</v>
      </c>
      <c r="AZ73" s="256"/>
      <c r="BA73" s="256"/>
    </row>
    <row r="74" spans="2:59" s="4" customFormat="1" ht="25.8" x14ac:dyDescent="0.3">
      <c r="B74" s="141" t="s">
        <v>1</v>
      </c>
      <c r="C74" s="1090" t="str">
        <f>Ceny_n!$B$129</f>
        <v>Rámeček</v>
      </c>
      <c r="D74" s="1090"/>
      <c r="E74" s="1090"/>
      <c r="F74" s="1090"/>
      <c r="G74" s="1090"/>
      <c r="H74" s="1090"/>
      <c r="I74" s="1090"/>
      <c r="J74" s="1090"/>
      <c r="K74" s="1090"/>
      <c r="L74" s="1090"/>
      <c r="M74" s="1090"/>
      <c r="N74" s="1090"/>
      <c r="O74" s="1090"/>
      <c r="P74" s="1090"/>
      <c r="Q74" s="1090"/>
      <c r="R74" s="1090"/>
      <c r="S74" s="1090"/>
      <c r="T74" s="1090"/>
      <c r="U74" s="1090"/>
      <c r="V74" s="1090"/>
      <c r="W74" s="1090"/>
      <c r="X74" s="1090"/>
      <c r="Y74" s="1090"/>
      <c r="Z74" s="1090"/>
      <c r="AA74" s="1090"/>
      <c r="AB74" s="1090"/>
      <c r="AC74" s="1091"/>
      <c r="AD74" s="263"/>
      <c r="AE74" s="205"/>
      <c r="AF74" s="106"/>
      <c r="AZ74" s="256"/>
      <c r="BA74" s="256"/>
    </row>
    <row r="75" spans="2:59" s="4" customFormat="1" ht="15" thickBot="1" x14ac:dyDescent="0.35">
      <c r="B75" s="96"/>
      <c r="Y75" s="53"/>
      <c r="Z75" s="53"/>
      <c r="AA75" s="53"/>
      <c r="AB75" s="53"/>
      <c r="AC75" s="93"/>
      <c r="AD75" s="273" t="s">
        <v>1199</v>
      </c>
      <c r="AE75" s="206"/>
      <c r="AF75" s="106"/>
      <c r="AJ75" s="1092" t="s">
        <v>1518</v>
      </c>
      <c r="AK75" s="1092"/>
      <c r="AZ75" s="256"/>
      <c r="BA75" s="256"/>
    </row>
    <row r="76" spans="2:59" s="178" customFormat="1" ht="15" thickBot="1" x14ac:dyDescent="0.35">
      <c r="B76" s="97"/>
      <c r="C76" s="4"/>
      <c r="D76" s="1093" t="str">
        <f>IF(H76=1,AC85,"")</f>
        <v/>
      </c>
      <c r="E76" s="1094"/>
      <c r="F76" s="1094"/>
      <c r="G76" s="1094"/>
      <c r="H76" s="50">
        <f>IF(AG108=3,1,0)</f>
        <v>0</v>
      </c>
      <c r="I76" s="50"/>
      <c r="J76" s="50"/>
      <c r="K76" s="50" t="b">
        <f>IF(AG108=3,IF(AC84=4,1,0))</f>
        <v>0</v>
      </c>
      <c r="L76" s="50"/>
      <c r="M76" s="50" t="b">
        <f>IF(AG108=3,IF(AC84=3,1,0))</f>
        <v>0</v>
      </c>
      <c r="N76" s="50"/>
      <c r="O76" s="50" t="b">
        <f>IF(AG108=3,IF(AC84=4,1,0))</f>
        <v>0</v>
      </c>
      <c r="P76" s="50"/>
      <c r="Q76" s="50"/>
      <c r="R76" s="50">
        <f>IF(AG108=3,1,0)</f>
        <v>0</v>
      </c>
      <c r="S76" s="1095" t="str">
        <f>IF(R76=1,AC85,"")</f>
        <v/>
      </c>
      <c r="T76" s="1095"/>
      <c r="U76" s="1095"/>
      <c r="V76" s="1095"/>
      <c r="W76" s="1096"/>
      <c r="X76" s="53"/>
      <c r="Y76" s="54"/>
      <c r="Z76" s="4"/>
      <c r="AA76" s="948"/>
      <c r="AB76" s="948"/>
      <c r="AC76" s="98"/>
      <c r="AD76" s="257"/>
      <c r="AE76" s="199"/>
      <c r="AF76" s="106"/>
      <c r="AG76" s="4" t="s">
        <v>87</v>
      </c>
      <c r="AH76" s="4" t="s">
        <v>88</v>
      </c>
      <c r="AI76" s="4" t="s">
        <v>89</v>
      </c>
      <c r="AJ76" s="4" t="s">
        <v>6</v>
      </c>
      <c r="AK76" s="4"/>
      <c r="AL76" s="4" t="s">
        <v>99</v>
      </c>
      <c r="AM76" s="4" t="s">
        <v>90</v>
      </c>
      <c r="AN76" s="4" t="s">
        <v>109</v>
      </c>
      <c r="AO76" s="4"/>
      <c r="AP76" s="4" t="s">
        <v>91</v>
      </c>
      <c r="AQ76" s="4"/>
      <c r="AR76" s="4" t="s">
        <v>93</v>
      </c>
      <c r="AS76" s="4" t="s">
        <v>92</v>
      </c>
      <c r="AT76" s="4"/>
      <c r="AU76" s="4"/>
      <c r="AV76" s="4"/>
      <c r="AW76" s="4"/>
      <c r="AX76" s="4"/>
      <c r="AY76" s="4"/>
      <c r="AZ76" s="256"/>
      <c r="BA76" s="256"/>
      <c r="BB76" s="178">
        <v>0</v>
      </c>
      <c r="BD76" s="178" t="e">
        <f>IF(ISNA(VLOOKUP(AC82,#REF!,14,FALSE)),2,IF(VLOOKUP(AC82,#REF!,14,FALSE)="N",1,2))</f>
        <v>#REF!</v>
      </c>
    </row>
    <row r="77" spans="2:59" s="178" customFormat="1" ht="18" customHeight="1" x14ac:dyDescent="0.4">
      <c r="B77" s="97"/>
      <c r="C77" s="4"/>
      <c r="D77" s="1081" t="str">
        <f>IF(D81=1,AC85,"")</f>
        <v/>
      </c>
      <c r="E77" s="55"/>
      <c r="F77" s="56"/>
      <c r="G77" s="56"/>
      <c r="H77" s="56"/>
      <c r="I77" s="56"/>
      <c r="J77" s="56"/>
      <c r="K77" s="56"/>
      <c r="L77" s="56"/>
      <c r="M77" s="56"/>
      <c r="N77" s="56"/>
      <c r="O77" s="56"/>
      <c r="P77" s="56"/>
      <c r="Q77" s="56"/>
      <c r="R77" s="56"/>
      <c r="S77" s="56"/>
      <c r="T77" s="56"/>
      <c r="U77" s="56"/>
      <c r="V77" s="57"/>
      <c r="W77" s="1081" t="str">
        <f>IF(W81=1,AC85,"")</f>
        <v/>
      </c>
      <c r="X77" s="53"/>
      <c r="Y77" s="4"/>
      <c r="Z77" s="4"/>
      <c r="AA77" s="1097" t="str">
        <f>Ceny_n!$B$132</f>
        <v>Typ profilu</v>
      </c>
      <c r="AB77" s="1098"/>
      <c r="AC77" s="250" t="s">
        <v>1004</v>
      </c>
      <c r="AD77" s="207" t="s">
        <v>1686</v>
      </c>
      <c r="AE77" s="207"/>
      <c r="AF77" s="106">
        <f>IF(AC81=AV_HL_SD,TYP_RAM,AG82)</f>
        <v>0</v>
      </c>
      <c r="AG77" s="4">
        <f>VLOOKUP(AC77,$B$348:$D$391,2,0)</f>
        <v>385.22</v>
      </c>
      <c r="AH77" s="4">
        <f>AG77*(((L106/1000)+(Y82/1000))*2)</f>
        <v>0</v>
      </c>
      <c r="AI77" s="4">
        <f>AH77*AC79</f>
        <v>0</v>
      </c>
      <c r="AJ77" s="4">
        <f>VLOOKUP(AC77,$B$348:$D$391,3,0)</f>
        <v>156.56</v>
      </c>
      <c r="AK77" s="4"/>
      <c r="AL77" s="4">
        <f>VLOOKUP(AC77,$B$348:$I$392,AH81,0)</f>
        <v>0</v>
      </c>
      <c r="AM77" s="4">
        <f>AJ77*AC79</f>
        <v>0</v>
      </c>
      <c r="AN77" s="4">
        <f>AL77*AC79</f>
        <v>0</v>
      </c>
      <c r="AO77" s="4"/>
      <c r="AP77" s="4">
        <f>VLOOKUP(AC78,$B$403:$C$477,2,0)</f>
        <v>0</v>
      </c>
      <c r="AQ77" s="4"/>
      <c r="AR77" s="4">
        <f>(L106/1000)*(Y82/1000)*AP77</f>
        <v>0</v>
      </c>
      <c r="AS77" s="4">
        <f>AR77*AC79</f>
        <v>0</v>
      </c>
      <c r="AT77" s="4"/>
      <c r="AU77" s="4"/>
      <c r="AV77" s="4"/>
      <c r="AW77" s="4"/>
      <c r="AX77" s="4"/>
      <c r="AY77" s="4"/>
      <c r="AZ77" s="256"/>
      <c r="BA77" s="256"/>
      <c r="BB77" s="1099" t="s">
        <v>1177</v>
      </c>
      <c r="BC77" s="1099"/>
      <c r="BD77" s="1099"/>
      <c r="BE77" s="1099"/>
      <c r="BF77" s="1099"/>
      <c r="BG77" s="1099"/>
    </row>
    <row r="78" spans="2:59" s="178" customFormat="1" ht="18" customHeight="1" thickBot="1" x14ac:dyDescent="0.35">
      <c r="B78" s="97"/>
      <c r="C78" s="4"/>
      <c r="D78" s="1081"/>
      <c r="E78" s="58"/>
      <c r="F78" s="59"/>
      <c r="G78" s="59"/>
      <c r="H78" s="59"/>
      <c r="I78" s="59"/>
      <c r="J78" s="59"/>
      <c r="K78" s="59"/>
      <c r="L78" s="59"/>
      <c r="M78" s="59"/>
      <c r="N78" s="59"/>
      <c r="O78" s="59"/>
      <c r="P78" s="59"/>
      <c r="Q78" s="59"/>
      <c r="R78" s="59"/>
      <c r="S78" s="59"/>
      <c r="T78" s="59"/>
      <c r="U78" s="59"/>
      <c r="V78" s="60"/>
      <c r="W78" s="1081"/>
      <c r="X78" s="53"/>
      <c r="Y78" s="4"/>
      <c r="Z78" s="4"/>
      <c r="AA78" s="1084" t="str">
        <f>Ceny_n!$B$133</f>
        <v>Typ skla</v>
      </c>
      <c r="AB78" s="1085"/>
      <c r="AC78" s="251"/>
      <c r="AD78" s="207" t="s">
        <v>1524</v>
      </c>
      <c r="AE78" s="208"/>
      <c r="AF78" s="178" t="str">
        <f>Ceny_n!$B$199</f>
        <v>Vyberte ze seznamu</v>
      </c>
      <c r="AG78" s="4" t="s">
        <v>220</v>
      </c>
      <c r="AH78" s="4" t="s">
        <v>226</v>
      </c>
      <c r="AI78" s="4" t="s">
        <v>227</v>
      </c>
      <c r="AJ78" s="4" t="s">
        <v>371</v>
      </c>
      <c r="AK78" s="4"/>
      <c r="AL78" s="4" t="s">
        <v>29</v>
      </c>
      <c r="AM78" s="4"/>
      <c r="AN78" s="4"/>
      <c r="AO78" s="4"/>
      <c r="AP78" s="4"/>
      <c r="AQ78" s="4"/>
      <c r="AR78" s="4"/>
      <c r="AS78" s="4"/>
      <c r="AT78" s="4"/>
      <c r="AU78" s="4"/>
      <c r="AV78" s="4"/>
      <c r="AW78" s="4"/>
      <c r="AX78" s="4"/>
      <c r="AY78" s="4"/>
      <c r="AZ78" s="256"/>
      <c r="BA78" s="256"/>
      <c r="BB78" s="219" t="s">
        <v>1058</v>
      </c>
      <c r="BC78" s="220" t="s">
        <v>1064</v>
      </c>
      <c r="BD78" s="223" t="s">
        <v>1085</v>
      </c>
      <c r="BE78" s="223"/>
      <c r="BF78" s="178" t="s">
        <v>1173</v>
      </c>
      <c r="BG78" s="178" t="s">
        <v>1174</v>
      </c>
    </row>
    <row r="79" spans="2:59" s="178" customFormat="1" ht="18" customHeight="1" thickBot="1" x14ac:dyDescent="0.35">
      <c r="B79" s="97"/>
      <c r="C79" s="4"/>
      <c r="D79" s="1081"/>
      <c r="E79" s="58"/>
      <c r="F79" s="59"/>
      <c r="G79" s="59"/>
      <c r="H79" s="59"/>
      <c r="I79" s="59"/>
      <c r="J79" s="59"/>
      <c r="K79" s="59"/>
      <c r="L79" s="59"/>
      <c r="M79" s="59"/>
      <c r="N79" s="59"/>
      <c r="O79" s="59"/>
      <c r="P79" s="59"/>
      <c r="Q79" s="59"/>
      <c r="R79" s="59"/>
      <c r="S79" s="59"/>
      <c r="T79" s="59"/>
      <c r="U79" s="59"/>
      <c r="V79" s="60"/>
      <c r="W79" s="1081"/>
      <c r="X79" s="53"/>
      <c r="Y79" s="4"/>
      <c r="Z79" s="4"/>
      <c r="AA79" s="1084" t="str">
        <f>Ceny_n!$B$134</f>
        <v>Počet kusů</v>
      </c>
      <c r="AB79" s="1085"/>
      <c r="AC79" s="251"/>
      <c r="AD79" s="207" t="s">
        <v>1202</v>
      </c>
      <c r="AE79" s="208"/>
      <c r="AF79" s="178" t="str">
        <f>IF(AC77=AF78,"",Ceny!$B$141)</f>
        <v>Závěsy</v>
      </c>
      <c r="AG79" s="4">
        <f>VLOOKUP(AR80,Ceny!$B$847:$D$917,3,0)</f>
        <v>0</v>
      </c>
      <c r="AH79" s="4" t="e">
        <f>VLOOKUP(AW80,Ceny!$B$847:$D$917,3,0)</f>
        <v>#REF!</v>
      </c>
      <c r="AI79" s="4" t="e">
        <f>(AG79+AH79)*AC79*AC84</f>
        <v>#REF!</v>
      </c>
      <c r="AJ79" s="4">
        <f>IF(AC89=0,0,VLOOKUP(AC89,AI103:AY117,13,0))</f>
        <v>0</v>
      </c>
      <c r="AK79" s="4"/>
      <c r="AL79" s="4">
        <f>AG99*AC79*AJ79</f>
        <v>0</v>
      </c>
      <c r="AM79" s="4"/>
      <c r="AN79" s="4"/>
      <c r="AO79" s="4"/>
      <c r="AP79" s="1092" t="s">
        <v>1519</v>
      </c>
      <c r="AQ79" s="1092"/>
      <c r="AR79" s="4"/>
      <c r="AS79" s="4"/>
      <c r="AT79" s="4"/>
      <c r="AU79" s="4"/>
      <c r="AV79" s="4"/>
      <c r="AW79" s="4"/>
      <c r="AX79" s="4"/>
      <c r="AY79" s="4"/>
      <c r="AZ79" s="256"/>
      <c r="BA79" s="256"/>
      <c r="BB79" s="61" t="e">
        <f t="array" ref="BB79:BB96">IF(AI80=1,PANT_HETTICH_WIDE,PANT_HETTICH_SLIM)</f>
        <v>#REF!</v>
      </c>
      <c r="BC79" s="227" t="e">
        <f t="array" ref="BC79:BC96">IF(AI80=2,PANT_BLUM_WIDE,PANT_BLUM_SLIM)</f>
        <v>#REF!</v>
      </c>
      <c r="BD79" s="61" t="e">
        <f t="array" ref="BD79:BD119">IF(ISNA(IF(AND(AI80=2,AC88=NAHORE),VYKLOP_UP_WIDE,
IF(AND(AI80=2,AC88=DOLE),VYKLOP_DWN_WIDE,
IF(AND(AI80=1,AC88=NAHORE),VYKLOP_UP_SLIM,
IF(AND(AI80=1,AC88=DOLE),VYKLOP_DWN_SLIM,""))))),"",IF(BD76=2,"",IF(AND(AI80=2,AC88=NAHORE),VYKLOP_UP_WIDE,
IF(AND(AI80=2,AC88=DOLE),VYKLOP_DWN_WIDE,
IF(AND(AI80=1,AC88=NAHORE),VYKLOP_UP_SLIM,
IF(AND(AI80=1,AC88=DOLE),VYKLOP_DWN_SLIM,""))))))</f>
        <v>#REF!</v>
      </c>
      <c r="BE79" s="178" t="e">
        <f>IF(OR(ISNA(BD79),BD79="",BD79=0),"",1)</f>
        <v>#REF!</v>
      </c>
      <c r="BF79" s="61" t="e">
        <f t="array" ref="BF79:BF95">IF(AI80=1,PANT_STRONG_SLIM_BTL,PANT_STRONG_WIDE_BTL)</f>
        <v>#REF!</v>
      </c>
      <c r="BG79" s="61" t="e">
        <f t="array" ref="BG79:BG95">IF(AI80=1,PANT_STRONG_SLIM_STL,PANT_STRONG_WIDE_STL)</f>
        <v>#REF!</v>
      </c>
    </row>
    <row r="80" spans="2:59" s="178" customFormat="1" ht="18" customHeight="1" thickBot="1" x14ac:dyDescent="0.45">
      <c r="B80" s="97"/>
      <c r="C80" s="4"/>
      <c r="D80" s="1081"/>
      <c r="E80" s="58"/>
      <c r="F80" s="59"/>
      <c r="G80" s="59"/>
      <c r="H80" s="59"/>
      <c r="I80" s="59"/>
      <c r="J80" s="59"/>
      <c r="K80" s="59"/>
      <c r="L80" s="59"/>
      <c r="M80" s="59"/>
      <c r="N80" s="59"/>
      <c r="O80" s="59"/>
      <c r="P80" s="59"/>
      <c r="Q80" s="59"/>
      <c r="R80" s="59"/>
      <c r="S80" s="59"/>
      <c r="T80" s="59"/>
      <c r="U80" s="59"/>
      <c r="V80" s="60"/>
      <c r="W80" s="1081"/>
      <c r="X80" s="53"/>
      <c r="Y80" s="4"/>
      <c r="Z80" s="4"/>
      <c r="AA80" s="1084" t="str">
        <f>Ceny_n!$B$215</f>
        <v>Typ kování</v>
      </c>
      <c r="AB80" s="1085"/>
      <c r="AC80" s="251"/>
      <c r="AD80" s="207" t="s">
        <v>1196</v>
      </c>
      <c r="AE80" s="208"/>
      <c r="AF80" s="106" t="str">
        <f>IF(AC77=AF78,"",AV_HF)</f>
        <v>AVENTOS HF</v>
      </c>
      <c r="AG80" s="4"/>
      <c r="AH80" s="4"/>
      <c r="AI80" s="4" t="e">
        <f>IF(AC77=AF78,0,VLOOKUP(AC77,#REF!,2,0))</f>
        <v>#REF!</v>
      </c>
      <c r="AJ80" s="235" t="str">
        <f>IF(AC80=AV_HF,HOR_DV,
IF(AC80=AV_HF_SD,HOR_DV,
IF(AC80=AV_OST,AV_HK,
IF(AC80=ZAVESY,PRAZDNE_1,""))))</f>
        <v/>
      </c>
      <c r="AK80" s="236" t="str">
        <f t="shared" ref="AK80:AK91" si="8">IF(OR(ISNA(AJ80),AJ80=""),"",1)</f>
        <v/>
      </c>
      <c r="AL80" s="948" t="s">
        <v>21</v>
      </c>
      <c r="AM80" s="948"/>
      <c r="AN80" s="948"/>
      <c r="AO80" s="247"/>
      <c r="AP80" s="4">
        <f>IF(AE82=AP81,1,IF(AE82=AP82,2,IF(AE82=AP83,3,IF(AE82=AP84,4,IF(AE82=AP85,5,IF(AE82=AP86,6,IF(AE82=AP87,7,0)))))))</f>
        <v>1</v>
      </c>
      <c r="AQ80" s="4"/>
      <c r="AR80" s="218">
        <f>VLOOKUP(AP80,AL81:AR396,5,0)</f>
        <v>0</v>
      </c>
      <c r="AS80" s="1100" t="s">
        <v>1181</v>
      </c>
      <c r="AT80" s="1100"/>
      <c r="AU80" s="4" t="e">
        <f>IF(AE83=AU81,1,IF(AE83=AU82,2,0))</f>
        <v>#REF!</v>
      </c>
      <c r="AV80" s="4"/>
      <c r="AW80" s="4" t="e">
        <f>VLOOKUP(AU80,AL81:AS82,6,0)</f>
        <v>#REF!</v>
      </c>
      <c r="AX80" s="4"/>
      <c r="AY80" s="4"/>
      <c r="AZ80" s="256"/>
      <c r="BA80" s="256"/>
      <c r="BB80" s="62" t="e">
        <v>#REF!</v>
      </c>
      <c r="BC80" s="228" t="e">
        <v>#REF!</v>
      </c>
      <c r="BD80" s="62" t="e">
        <v>#REF!</v>
      </c>
      <c r="BE80" s="178" t="e">
        <f t="shared" ref="BE80:BE119" si="9">IF(OR(ISNA(BD80),BD80="",BD80=0),"",1)</f>
        <v>#REF!</v>
      </c>
      <c r="BF80" s="62" t="e">
        <v>#REF!</v>
      </c>
      <c r="BG80" s="62" t="e">
        <v>#REF!</v>
      </c>
    </row>
    <row r="81" spans="2:59" s="178" customFormat="1" ht="18" customHeight="1" x14ac:dyDescent="0.35">
      <c r="B81" s="97"/>
      <c r="C81" s="4"/>
      <c r="D81" s="49">
        <f>IF(AG108=2,1,0)</f>
        <v>0</v>
      </c>
      <c r="E81" s="58"/>
      <c r="F81" s="59"/>
      <c r="G81" s="59"/>
      <c r="H81" s="59"/>
      <c r="I81" s="59"/>
      <c r="J81" s="59"/>
      <c r="K81" s="59"/>
      <c r="L81" s="59"/>
      <c r="M81" s="59"/>
      <c r="N81" s="59"/>
      <c r="O81" s="59"/>
      <c r="P81" s="59"/>
      <c r="Q81" s="59"/>
      <c r="R81" s="59"/>
      <c r="S81" s="59"/>
      <c r="T81" s="59"/>
      <c r="U81" s="59"/>
      <c r="V81" s="60"/>
      <c r="W81" s="49">
        <f>IF(AG108=1,1,0)</f>
        <v>0</v>
      </c>
      <c r="X81" s="53"/>
      <c r="Y81" s="4"/>
      <c r="Z81" s="4"/>
      <c r="AA81" s="1084">
        <f>IF(AC80=AV_HF,POZ_RAM,
IF(AC80=AV_HF_SD,POZ_RAM,
IF(AC80=ZAVESY,VYR_ZAVES,
IF(AC80=AV_OST,TYP_AV,0))))</f>
        <v>0</v>
      </c>
      <c r="AB81" s="1085"/>
      <c r="AC81" s="252"/>
      <c r="AD81" s="265" t="s">
        <v>1206</v>
      </c>
      <c r="AE81" s="209"/>
      <c r="AF81" s="106" t="str">
        <f>IF(AC77=AF78,"",AV_HF_SD)</f>
        <v>AVENTOS HF Servo Drive</v>
      </c>
      <c r="AG81" s="4"/>
      <c r="AH81" s="4">
        <f>IF(AC80=AV_HF,5,IF(AC80=AV_HF_SD,5,IF(AC80=AV_OST,5,8)))</f>
        <v>8</v>
      </c>
      <c r="AI81" s="232" t="e">
        <f>IF(AI80=1,$B$480,IF(AI80=2,$B$484,0))</f>
        <v>#REF!</v>
      </c>
      <c r="AJ81" s="237" t="str">
        <f>IF(AC80=AV_HF,DOL_DV,
IF(AC80=AV_HF_SD,DOL_DV,
IF(AC80=AV_OST,AV_HK_TIP,
IF(AC80=ZAVESY,BLUM,""))))</f>
        <v/>
      </c>
      <c r="AK81" s="238" t="str">
        <f t="shared" si="8"/>
        <v/>
      </c>
      <c r="AL81" s="4">
        <v>1</v>
      </c>
      <c r="AM81" s="4" t="e">
        <f>IF(AC81=PRAZDNE_1,AI81,IF(AC81=BLUM,BC79,IF(AC81=STRONG_INT_TL,AI98,IF(AC81=STRONG_BINT_TL,AI94,IF(AC81=HETTICH,BB79,"")))))</f>
        <v>#REF!</v>
      </c>
      <c r="AN81" s="4" t="e">
        <f t="shared" ref="AN81:AN95" si="10">IF(ISNA(VLOOKUP(AM81,$B$480:$C$615,2,0)),"",VLOOKUP(AM81,$B$480:$C$615,2,0))</f>
        <v>#REF!</v>
      </c>
      <c r="AO81" s="4" t="e">
        <f>CONCATENATE(AN81," (",AM81,")")</f>
        <v>#REF!</v>
      </c>
      <c r="AP81" s="241">
        <f t="array" ref="AP81:AP106">IF(OR(AC80=AV_HF,AC80=AV_HF_SD),HF_TYP_2_CILKA,
IF(AC81=AV_HL,TYP_RAM_AV_HL1,
IF(AC81=AV_HL_SD,TYP_RAM_AV_HL,
IF(OR(AC81=AV_HKXS,AC81=AV_HKXS_TIP),UMISTENI_RAM_HKXS,
IF(AC81=HETTICH,T1_PANT_HETTICH,
IF(AC81=BLUM,T1_PANT_BLUM,
IF(AC81=STRONG_BINT_TL,T1_PANT_STRONG_BTL,
IF(AC81=STRONG_INT_TL,T1_PANT_STRONG_STL,PRAZDNE_1))))))))</f>
        <v>0</v>
      </c>
      <c r="AQ81" s="236" t="str">
        <f>IF(OR(ISNA(AP81),AP81=0),"",1)</f>
        <v/>
      </c>
      <c r="AR81" s="4"/>
      <c r="AS81" s="244" t="e">
        <f>VLOOKUP(AR80,#REF!,8,0)</f>
        <v>#REF!</v>
      </c>
      <c r="AT81" s="236" t="e">
        <f>IF(OR(ISNA(AS81),AS81=0),"",1)</f>
        <v>#REF!</v>
      </c>
      <c r="AU81" s="4" t="e">
        <f>IF(OR(ISNA(AS81),AS81=0),PRAZDNE_1,VLOOKUP(AR80,#REF!,5,FALSE))</f>
        <v>#REF!</v>
      </c>
      <c r="AV81" s="4"/>
      <c r="AW81" s="4"/>
      <c r="AX81" s="4"/>
      <c r="AY81" s="4"/>
      <c r="AZ81" s="256"/>
      <c r="BA81" s="256"/>
      <c r="BB81" s="62" t="e">
        <v>#REF!</v>
      </c>
      <c r="BC81" s="228" t="e">
        <v>#REF!</v>
      </c>
      <c r="BD81" s="62" t="e">
        <v>#REF!</v>
      </c>
      <c r="BE81" s="178" t="e">
        <f t="shared" si="9"/>
        <v>#REF!</v>
      </c>
      <c r="BF81" s="62" t="e">
        <v>#REF!</v>
      </c>
      <c r="BG81" s="62" t="e">
        <v>#REF!</v>
      </c>
    </row>
    <row r="82" spans="2:59" s="178" customFormat="1" ht="18" customHeight="1" x14ac:dyDescent="0.5">
      <c r="B82" s="97"/>
      <c r="C82" s="4"/>
      <c r="D82" s="49"/>
      <c r="E82" s="58"/>
      <c r="F82" s="59"/>
      <c r="G82" s="59"/>
      <c r="H82" s="59"/>
      <c r="I82" s="59"/>
      <c r="J82" s="59"/>
      <c r="K82" s="59"/>
      <c r="L82" s="59"/>
      <c r="M82" s="59"/>
      <c r="N82" s="59"/>
      <c r="O82" s="59"/>
      <c r="P82" s="59"/>
      <c r="Q82" s="59"/>
      <c r="R82" s="44"/>
      <c r="S82" s="44"/>
      <c r="T82" s="44"/>
      <c r="U82" s="44"/>
      <c r="V82" s="45"/>
      <c r="W82" s="49"/>
      <c r="X82" s="53"/>
      <c r="Y82" s="1086"/>
      <c r="Z82" s="1106"/>
      <c r="AA82" s="1084">
        <f>IF(AC81=AV_HF,HM_UCH,
IF(OR('Běžné rámečky'!AC81=AV_HKS,'Běžné rámečky'!AC81=AV_HS),HM_UCH,
IF(AC81=AV_HL,TYP_RAM,
IF(AC80=ZAVESY,TYP_ZAV,
IF(AC80=AV_HF,PROV_2_CILKA,
IF(AC80=AV_HF_SD,PROV_2_CILKA,
IF(AC81=AV_HK_SD,HM_UCH,
IF(AC81=AV_HK,HM_UCH,
IF(AC81=AV_HKXS,POZICE_RAMENE,
IF(AC81=AV_HKXS_TIP,POZICE_RAMENE,AF77))))))))))</f>
        <v>0</v>
      </c>
      <c r="AB82" s="1085"/>
      <c r="AC82" s="281"/>
      <c r="AD82" s="266" t="s">
        <v>1207</v>
      </c>
      <c r="AE82" s="210">
        <f>IF(AA82=HM_UCH,0,AC82)</f>
        <v>0</v>
      </c>
      <c r="AF82" s="106" t="str">
        <f>IF(AC77=AF78,"",AV_OST)</f>
        <v>Aventos ostatní</v>
      </c>
      <c r="AG82" s="4">
        <f>IF(AC81=AV_HL_SD,HM_UCH,IF(AC81=AV_HS_SD,HM_UCH,0))</f>
        <v>0</v>
      </c>
      <c r="AH82" s="4"/>
      <c r="AI82" s="233" t="e">
        <f>IF(AI80=1,$B$481,IF(AI80=2,$B$485,0))</f>
        <v>#REF!</v>
      </c>
      <c r="AJ82" s="237" t="str">
        <f>IF(AC80=AV_OST,AV_HK_SD,
IF(AC80=ZAVESY,HETTICH,""))</f>
        <v/>
      </c>
      <c r="AK82" s="238" t="str">
        <f t="shared" si="8"/>
        <v/>
      </c>
      <c r="AL82" s="4">
        <v>2</v>
      </c>
      <c r="AM82" s="4" t="e">
        <f>IF(AC81=PRAZDNE_1,AI82,IF(AC81=BLUM,BC80,IF(AC81=STRONG_INT_TL,AI99,IF(AC81=STRONG_BINT_TL,AI95,IF(AC81=HETTICH,BB80,"")))))</f>
        <v>#REF!</v>
      </c>
      <c r="AN82" s="4" t="e">
        <f t="shared" si="10"/>
        <v>#REF!</v>
      </c>
      <c r="AO82" s="4" t="e">
        <f t="shared" ref="AO82:AO106" si="11">CONCATENATE(AN82," (",AM82,")")</f>
        <v>#REF!</v>
      </c>
      <c r="AP82" s="242">
        <v>0</v>
      </c>
      <c r="AQ82" s="238" t="str">
        <f t="shared" ref="AQ82:AQ106" si="12">IF(OR(ISNA(AP82),AP82=0),"",1)</f>
        <v/>
      </c>
      <c r="AR82" s="4"/>
      <c r="AS82" s="245" t="e">
        <f>VLOOKUP(AR80,#REF!,9,0)</f>
        <v>#REF!</v>
      </c>
      <c r="AT82" s="238" t="e">
        <f t="shared" ref="AT82:AT90" si="13">IF(OR(ISNA(AS82),AS82=0),"",1)</f>
        <v>#REF!</v>
      </c>
      <c r="AU82" s="4" t="e">
        <f>IF(OR(ISNA(AS82),AS82=0),PRAZDNE_1,VLOOKUP(AR81,#REF!,5,FALSE))</f>
        <v>#REF!</v>
      </c>
      <c r="AV82" s="4"/>
      <c r="AW82" s="4"/>
      <c r="AX82" s="4"/>
      <c r="AY82" s="4"/>
      <c r="AZ82" s="256"/>
      <c r="BA82" s="256"/>
      <c r="BB82" s="62" t="e">
        <v>#REF!</v>
      </c>
      <c r="BC82" s="228" t="e">
        <v>#REF!</v>
      </c>
      <c r="BD82" s="62" t="e">
        <v>#REF!</v>
      </c>
      <c r="BE82" s="178" t="e">
        <f t="shared" si="9"/>
        <v>#REF!</v>
      </c>
      <c r="BF82" s="62" t="e">
        <v>#REF!</v>
      </c>
      <c r="BG82" s="62" t="e">
        <v>#REF!</v>
      </c>
    </row>
    <row r="83" spans="2:59" s="178" customFormat="1" ht="18" customHeight="1" x14ac:dyDescent="0.35">
      <c r="B83" s="97"/>
      <c r="C83" s="4"/>
      <c r="D83" s="49"/>
      <c r="E83" s="58"/>
      <c r="F83" s="59"/>
      <c r="G83" s="59"/>
      <c r="H83" s="59"/>
      <c r="I83" s="59"/>
      <c r="J83" s="59"/>
      <c r="K83" s="59"/>
      <c r="L83" s="59"/>
      <c r="M83" s="59"/>
      <c r="N83" s="59"/>
      <c r="O83" s="59"/>
      <c r="P83" s="59"/>
      <c r="Q83" s="59"/>
      <c r="R83" s="46" t="s">
        <v>15</v>
      </c>
      <c r="S83" s="59"/>
      <c r="T83" s="59"/>
      <c r="U83" s="63"/>
      <c r="V83" s="60"/>
      <c r="W83" s="49"/>
      <c r="X83" s="4"/>
      <c r="Y83" s="1087"/>
      <c r="Z83" s="1107"/>
      <c r="AA83" s="1084">
        <f>IF(AC80=AV_HF,HM_UCH,
IF(AC81=AV_HL,HM_UCH,
IF('Běžné rámečky'!AC81=AV_HL_SD,HM_UCH,
IF(AC80=AV_HF_SD,HM_UCH,
IF(AC80=ZAVESY,TYP_PODL,IF(AC81=AV_HKXS,HM_UCH,0))))))</f>
        <v>0</v>
      </c>
      <c r="AB83" s="1085"/>
      <c r="AC83" s="252"/>
      <c r="AD83" s="266" t="s">
        <v>1216</v>
      </c>
      <c r="AE83" s="210">
        <f>IF(AA83=HM_UCH,0,AC83)</f>
        <v>0</v>
      </c>
      <c r="AF83" s="106" t="str">
        <f>IF(AC77=$B$372,0,$J$353)</f>
        <v>Závěsy se zvedacím pístem</v>
      </c>
      <c r="AG83" s="4"/>
      <c r="AH83" s="4"/>
      <c r="AI83" s="233" t="e">
        <f>IF(AI80=1,$B$482,IF(AI80=2,$B$486,0))</f>
        <v>#REF!</v>
      </c>
      <c r="AJ83" s="237" t="str">
        <f>IF(AC80=AV_OST,AV_HL,
IF(AC80=ZAVESY,STRONG_INT_TL,""))</f>
        <v/>
      </c>
      <c r="AK83" s="238" t="str">
        <f t="shared" si="8"/>
        <v/>
      </c>
      <c r="AL83" s="4">
        <v>3</v>
      </c>
      <c r="AM83" s="4" t="e">
        <f>IF(AC81=PRAZDNE_1,AI83,IF(AC81=BLUM,BC81,IF(AC81=STRONG_INT_TL,AI100,IF(AC81=STRONG_BINT_TL,AI96,IF(AC81=HETTICH,BB81,"")))))</f>
        <v>#REF!</v>
      </c>
      <c r="AN83" s="4" t="e">
        <f t="shared" si="10"/>
        <v>#REF!</v>
      </c>
      <c r="AO83" s="4" t="e">
        <f t="shared" si="11"/>
        <v>#REF!</v>
      </c>
      <c r="AP83" s="242">
        <v>0</v>
      </c>
      <c r="AQ83" s="238" t="str">
        <f t="shared" si="12"/>
        <v/>
      </c>
      <c r="AR83" s="4"/>
      <c r="AS83" s="245" t="e">
        <f>VLOOKUP(AR80,#REF!,10,0)</f>
        <v>#REF!</v>
      </c>
      <c r="AT83" s="238" t="e">
        <f t="shared" si="13"/>
        <v>#REF!</v>
      </c>
      <c r="AU83" s="4" t="e">
        <f>IF(OR(ISNA(AS83),AS83=0),PRAZDNE_1,VLOOKUP(AR82,#REF!,5,FALSE))</f>
        <v>#REF!</v>
      </c>
      <c r="AV83" s="4"/>
      <c r="AW83" s="4"/>
      <c r="AX83" s="4"/>
      <c r="AY83" s="4"/>
      <c r="AZ83" s="256"/>
      <c r="BA83" s="256"/>
      <c r="BB83" s="62" t="e">
        <v>#REF!</v>
      </c>
      <c r="BC83" s="228" t="e">
        <v>#REF!</v>
      </c>
      <c r="BD83" s="62" t="e">
        <v>#REF!</v>
      </c>
      <c r="BE83" s="178" t="e">
        <f t="shared" si="9"/>
        <v>#REF!</v>
      </c>
      <c r="BF83" s="62" t="e">
        <v>#REF!</v>
      </c>
      <c r="BG83" s="62" t="e">
        <v>#REF!</v>
      </c>
    </row>
    <row r="84" spans="2:59" s="178" customFormat="1" ht="18" customHeight="1" x14ac:dyDescent="0.3">
      <c r="B84" s="97"/>
      <c r="C84" s="4"/>
      <c r="D84" s="49" t="b">
        <f>IF(AG108=2,IF(AC84=4,1,0))</f>
        <v>0</v>
      </c>
      <c r="E84" s="58"/>
      <c r="F84" s="59"/>
      <c r="G84" s="59"/>
      <c r="H84" s="59"/>
      <c r="I84" s="59"/>
      <c r="J84" s="59"/>
      <c r="K84" s="59"/>
      <c r="L84" s="59"/>
      <c r="M84" s="59"/>
      <c r="N84" s="59"/>
      <c r="O84" s="59"/>
      <c r="P84" s="59"/>
      <c r="Q84" s="59"/>
      <c r="R84" s="59"/>
      <c r="S84" s="64"/>
      <c r="T84" s="65"/>
      <c r="U84" s="63"/>
      <c r="V84" s="60"/>
      <c r="W84" s="49" t="b">
        <f>IF(AG108=1,IF(AC84=4,1,0))</f>
        <v>0</v>
      </c>
      <c r="X84" s="40"/>
      <c r="Y84" s="1087"/>
      <c r="Z84" s="1107"/>
      <c r="AA84" s="1084">
        <f>IF(AC80=ZAVESY,POC_ZAVES,0)</f>
        <v>0</v>
      </c>
      <c r="AB84" s="1085"/>
      <c r="AC84" s="251"/>
      <c r="AD84" s="207" t="s">
        <v>1201</v>
      </c>
      <c r="AE84" s="208"/>
      <c r="AF84" s="106"/>
      <c r="AG84" s="4"/>
      <c r="AH84" s="4"/>
      <c r="AI84" s="233" t="e">
        <f>IF(AI80=1,$B$483,IF(AI80=2,$B$487,0))</f>
        <v>#REF!</v>
      </c>
      <c r="AJ84" s="237" t="str">
        <f>IF(AC80=AV_OST,AV_HL_SD,
IF(AC80=ZAVESY,STRONG_BINT_TL,""))</f>
        <v/>
      </c>
      <c r="AK84" s="238" t="str">
        <f t="shared" si="8"/>
        <v/>
      </c>
      <c r="AL84" s="4">
        <v>4</v>
      </c>
      <c r="AM84" s="4" t="e">
        <f>IF(AC81=PRAZDNE_1,AI84,IF(AC81=BLUM,BC82,IF(AC81=STRONG_INT_TL,AI101,IF(AC81=STRONG_BINT_TL,AI97,IF(AC81=HETTICH,BB82,"")))))</f>
        <v>#REF!</v>
      </c>
      <c r="AN84" s="4" t="e">
        <f t="shared" si="10"/>
        <v>#REF!</v>
      </c>
      <c r="AO84" s="4" t="e">
        <f t="shared" si="11"/>
        <v>#REF!</v>
      </c>
      <c r="AP84" s="242">
        <v>0</v>
      </c>
      <c r="AQ84" s="238" t="str">
        <f t="shared" si="12"/>
        <v/>
      </c>
      <c r="AR84" s="4"/>
      <c r="AS84" s="245" t="e">
        <f>VLOOKUP(AR80,#REF!,11,0)</f>
        <v>#REF!</v>
      </c>
      <c r="AT84" s="238" t="e">
        <f t="shared" si="13"/>
        <v>#REF!</v>
      </c>
      <c r="AU84" s="4"/>
      <c r="AV84" s="4"/>
      <c r="AW84" s="4"/>
      <c r="AX84" s="4"/>
      <c r="AY84" s="4"/>
      <c r="AZ84" s="256"/>
      <c r="BA84" s="256"/>
      <c r="BB84" s="62" t="e">
        <v>#REF!</v>
      </c>
      <c r="BC84" s="228" t="e">
        <v>#REF!</v>
      </c>
      <c r="BD84" s="62" t="e">
        <v>#REF!</v>
      </c>
      <c r="BE84" s="178" t="e">
        <f t="shared" si="9"/>
        <v>#REF!</v>
      </c>
      <c r="BF84" s="62" t="e">
        <v>#REF!</v>
      </c>
      <c r="BG84" s="62" t="e">
        <v>#REF!</v>
      </c>
    </row>
    <row r="85" spans="2:59" s="178" customFormat="1" ht="18" customHeight="1" x14ac:dyDescent="0.3">
      <c r="B85" s="97"/>
      <c r="C85" s="4"/>
      <c r="D85" s="49"/>
      <c r="E85" s="58"/>
      <c r="F85" s="59"/>
      <c r="G85" s="59"/>
      <c r="H85" s="59"/>
      <c r="I85" s="59"/>
      <c r="J85" s="59"/>
      <c r="K85" s="59"/>
      <c r="L85" s="59"/>
      <c r="M85" s="59"/>
      <c r="N85" s="59"/>
      <c r="O85" s="59"/>
      <c r="P85" s="59"/>
      <c r="Q85" s="59"/>
      <c r="R85" s="59"/>
      <c r="S85" s="1088"/>
      <c r="T85" s="65"/>
      <c r="U85" s="63"/>
      <c r="V85" s="60"/>
      <c r="W85" s="49"/>
      <c r="X85" s="4"/>
      <c r="Y85" s="1087"/>
      <c r="Z85" s="1107"/>
      <c r="AA85" s="1084">
        <f>IF(AC80=ZAVESY,VZD_ZAVES,0)</f>
        <v>0</v>
      </c>
      <c r="AB85" s="1085"/>
      <c r="AC85" s="253"/>
      <c r="AD85" s="207" t="s">
        <v>1202</v>
      </c>
      <c r="AE85" s="211"/>
      <c r="AF85" s="1089"/>
      <c r="AG85" s="4"/>
      <c r="AH85" s="4"/>
      <c r="AI85" s="233" t="e">
        <f>IF(AI80=2,$B$488,0)</f>
        <v>#REF!</v>
      </c>
      <c r="AJ85" s="237" t="str">
        <f>IF(AC80=AV_OST,AV_HS,
IF(AC80=ZAVESY,
IF(AI80=1,PANT_STRONG_PLUS_SLIM,PANT_STRONG_SLIM_BTL),""))</f>
        <v/>
      </c>
      <c r="AK85" s="238" t="str">
        <f t="shared" si="8"/>
        <v/>
      </c>
      <c r="AL85" s="4">
        <v>5</v>
      </c>
      <c r="AM85" s="4" t="e">
        <f>IF(AC81=PRAZDNE_1,AI85,IF(AC81=BLUM,BC83,IF(AC81=HETTICH,BB83,"")))</f>
        <v>#REF!</v>
      </c>
      <c r="AN85" s="4" t="e">
        <f t="shared" si="10"/>
        <v>#REF!</v>
      </c>
      <c r="AO85" s="4" t="e">
        <f t="shared" si="11"/>
        <v>#REF!</v>
      </c>
      <c r="AP85" s="242">
        <v>0</v>
      </c>
      <c r="AQ85" s="238" t="str">
        <f t="shared" si="12"/>
        <v/>
      </c>
      <c r="AR85" s="4"/>
      <c r="AS85" s="245" t="e">
        <f>VLOOKUP(AR80,#REF!,12,0)</f>
        <v>#REF!</v>
      </c>
      <c r="AT85" s="238" t="e">
        <f t="shared" si="13"/>
        <v>#REF!</v>
      </c>
      <c r="AU85" s="4"/>
      <c r="AV85" s="4"/>
      <c r="AW85" s="4"/>
      <c r="AX85" s="4"/>
      <c r="AY85" s="4"/>
      <c r="AZ85" s="256"/>
      <c r="BA85" s="256"/>
      <c r="BB85" s="62" t="e">
        <v>#REF!</v>
      </c>
      <c r="BC85" s="228" t="e">
        <v>#REF!</v>
      </c>
      <c r="BD85" s="62" t="e">
        <v>#REF!</v>
      </c>
      <c r="BE85" s="178" t="e">
        <f t="shared" si="9"/>
        <v>#REF!</v>
      </c>
      <c r="BF85" s="62" t="e">
        <v>#REF!</v>
      </c>
      <c r="BG85" s="62" t="e">
        <v>#REF!</v>
      </c>
    </row>
    <row r="86" spans="2:59" s="178" customFormat="1" ht="24.75" customHeight="1" thickBot="1" x14ac:dyDescent="0.4">
      <c r="B86" s="97"/>
      <c r="C86" s="4"/>
      <c r="D86" s="49"/>
      <c r="E86" s="58"/>
      <c r="F86" s="59"/>
      <c r="G86" s="59"/>
      <c r="H86" s="59"/>
      <c r="I86" s="59"/>
      <c r="J86" s="59"/>
      <c r="K86" s="59"/>
      <c r="L86" s="59"/>
      <c r="M86" s="59"/>
      <c r="N86" s="59"/>
      <c r="O86" s="59"/>
      <c r="P86" s="59"/>
      <c r="Q86" s="59"/>
      <c r="R86" s="59"/>
      <c r="S86" s="1088"/>
      <c r="T86" s="65"/>
      <c r="U86" s="63"/>
      <c r="V86" s="60"/>
      <c r="W86" s="49"/>
      <c r="X86" s="4"/>
      <c r="Y86" s="1087"/>
      <c r="Z86" s="1107"/>
      <c r="AA86" s="230"/>
      <c r="AB86" s="231"/>
      <c r="AC86" s="254"/>
      <c r="AD86" s="267"/>
      <c r="AE86" s="212"/>
      <c r="AF86" s="1089"/>
      <c r="AG86" s="4"/>
      <c r="AH86" s="4"/>
      <c r="AI86" s="234" t="e">
        <f>IF(AI80=2,$B$489,0)</f>
        <v>#REF!</v>
      </c>
      <c r="AJ86" s="237" t="str">
        <f>IF(AC80=AV_OST,AV_HS_SD,"")</f>
        <v/>
      </c>
      <c r="AK86" s="238" t="str">
        <f t="shared" si="8"/>
        <v/>
      </c>
      <c r="AL86" s="4">
        <v>6</v>
      </c>
      <c r="AM86" s="4" t="e">
        <f>IF(AC81=PRAZDNE_1,AI86,IF(AC81=BLUM,BC84,IF(AC81=HETTICH,BB84,"")))</f>
        <v>#REF!</v>
      </c>
      <c r="AN86" s="4" t="e">
        <f t="shared" si="10"/>
        <v>#REF!</v>
      </c>
      <c r="AO86" s="4" t="e">
        <f t="shared" si="11"/>
        <v>#REF!</v>
      </c>
      <c r="AP86" s="242">
        <v>0</v>
      </c>
      <c r="AQ86" s="238" t="str">
        <f t="shared" si="12"/>
        <v/>
      </c>
      <c r="AR86" s="4"/>
      <c r="AS86" s="245" t="e">
        <f>VLOOKUP(AR80,#REF!,13,0)</f>
        <v>#REF!</v>
      </c>
      <c r="AT86" s="238" t="e">
        <f t="shared" si="13"/>
        <v>#REF!</v>
      </c>
      <c r="AU86" s="4"/>
      <c r="AV86" s="4"/>
      <c r="AW86" s="4"/>
      <c r="AX86" s="4"/>
      <c r="AY86" s="4"/>
      <c r="AZ86" s="256"/>
      <c r="BA86" s="256"/>
      <c r="BB86" s="62" t="e">
        <v>#REF!</v>
      </c>
      <c r="BC86" s="228" t="e">
        <v>#REF!</v>
      </c>
      <c r="BD86" s="62" t="e">
        <v>#REF!</v>
      </c>
      <c r="BE86" s="178" t="e">
        <f t="shared" si="9"/>
        <v>#REF!</v>
      </c>
      <c r="BF86" s="62" t="e">
        <v>#REF!</v>
      </c>
      <c r="BG86" s="62" t="e">
        <v>#REF!</v>
      </c>
    </row>
    <row r="87" spans="2:59" s="178" customFormat="1" ht="18.75" customHeight="1" x14ac:dyDescent="0.35">
      <c r="B87" s="97"/>
      <c r="C87" s="4"/>
      <c r="D87" s="49"/>
      <c r="E87" s="58"/>
      <c r="F87" s="59"/>
      <c r="G87" s="59"/>
      <c r="H87" s="59"/>
      <c r="I87" s="59"/>
      <c r="J87" s="59"/>
      <c r="K87" s="59"/>
      <c r="L87" s="59"/>
      <c r="M87" s="59"/>
      <c r="N87" s="59"/>
      <c r="O87" s="59"/>
      <c r="P87" s="59"/>
      <c r="Q87" s="59"/>
      <c r="R87" s="59"/>
      <c r="S87" s="1088"/>
      <c r="T87" s="65"/>
      <c r="U87" s="63"/>
      <c r="V87" s="60"/>
      <c r="W87" s="49"/>
      <c r="X87" s="4"/>
      <c r="Y87" s="1087"/>
      <c r="Z87" s="1107"/>
      <c r="AA87" s="230"/>
      <c r="AB87" s="231"/>
      <c r="AC87" s="254"/>
      <c r="AD87" s="267"/>
      <c r="AE87" s="212"/>
      <c r="AF87" s="1089"/>
      <c r="AG87" s="4"/>
      <c r="AH87" s="4"/>
      <c r="AI87" s="232" t="e">
        <f>IF(AI80=1,$B$499,IF(AI80=2,$B$507,0))</f>
        <v>#REF!</v>
      </c>
      <c r="AJ87" s="237" t="str">
        <f>IF(AC80=AV_OST,AV_HKS,"")</f>
        <v/>
      </c>
      <c r="AK87" s="238" t="str">
        <f t="shared" si="8"/>
        <v/>
      </c>
      <c r="AL87" s="4">
        <v>7</v>
      </c>
      <c r="AM87" s="4" t="str">
        <f>IF(AC81=HETTICH,BB85,IF(AC81=BLUM,BC85,""))</f>
        <v/>
      </c>
      <c r="AN87" s="4" t="str">
        <f t="shared" si="10"/>
        <v/>
      </c>
      <c r="AO87" s="4" t="str">
        <f t="shared" si="11"/>
        <v xml:space="preserve"> ()</v>
      </c>
      <c r="AP87" s="242">
        <v>0</v>
      </c>
      <c r="AQ87" s="238" t="str">
        <f t="shared" si="12"/>
        <v/>
      </c>
      <c r="AR87" s="4"/>
      <c r="AS87" s="245"/>
      <c r="AT87" s="238" t="str">
        <f t="shared" si="13"/>
        <v/>
      </c>
      <c r="AU87" s="4"/>
      <c r="AV87" s="4"/>
      <c r="AW87" s="4"/>
      <c r="AX87" s="4"/>
      <c r="AY87" s="4"/>
      <c r="AZ87" s="256"/>
      <c r="BA87" s="256"/>
      <c r="BB87" s="62" t="e">
        <v>#REF!</v>
      </c>
      <c r="BC87" s="228" t="e">
        <v>#REF!</v>
      </c>
      <c r="BD87" s="62" t="e">
        <v>#REF!</v>
      </c>
      <c r="BE87" s="178" t="e">
        <f t="shared" si="9"/>
        <v>#REF!</v>
      </c>
      <c r="BF87" s="62" t="e">
        <v>#REF!</v>
      </c>
      <c r="BG87" s="62" t="e">
        <v>#REF!</v>
      </c>
    </row>
    <row r="88" spans="2:59" s="178" customFormat="1" ht="18" customHeight="1" x14ac:dyDescent="0.3">
      <c r="B88" s="97"/>
      <c r="C88" s="4"/>
      <c r="D88" s="49" t="b">
        <f>IF(AG108=2,IF(AC84=3,1,0))</f>
        <v>0</v>
      </c>
      <c r="E88" s="58"/>
      <c r="F88" s="59"/>
      <c r="G88" s="59"/>
      <c r="H88" s="59"/>
      <c r="I88" s="59"/>
      <c r="J88" s="59"/>
      <c r="K88" s="59"/>
      <c r="L88" s="59"/>
      <c r="M88" s="59"/>
      <c r="N88" s="59"/>
      <c r="O88" s="59"/>
      <c r="P88" s="59"/>
      <c r="Q88" s="59"/>
      <c r="R88" s="59"/>
      <c r="S88" s="1088"/>
      <c r="T88" s="65"/>
      <c r="U88" s="63"/>
      <c r="V88" s="60"/>
      <c r="W88" s="49" t="b">
        <f>IF(AG108=1,IF(AC84=3,1,0))</f>
        <v>0</v>
      </c>
      <c r="X88" s="4"/>
      <c r="Y88" s="1087"/>
      <c r="Z88" s="1107"/>
      <c r="AA88" s="1084">
        <f>IF(AC80=ZAVESY,Ceny!$B$196,0)</f>
        <v>0</v>
      </c>
      <c r="AB88" s="1085"/>
      <c r="AC88" s="251"/>
      <c r="AD88" s="207" t="s">
        <v>1203</v>
      </c>
      <c r="AE88" s="208"/>
      <c r="AF88" s="106"/>
      <c r="AG88" s="4">
        <v>2</v>
      </c>
      <c r="AH88" s="4">
        <f>IF(AC80=ZAVESY,AG88,0)</f>
        <v>0</v>
      </c>
      <c r="AI88" s="233" t="e">
        <f>IF(AI80=1,$B$500,IF(AI80=2,$B$508,0))</f>
        <v>#REF!</v>
      </c>
      <c r="AJ88" s="237" t="str">
        <f>IF(AC80=AV_OST,AV_HKS_TIP,"")</f>
        <v/>
      </c>
      <c r="AK88" s="238" t="str">
        <f t="shared" si="8"/>
        <v/>
      </c>
      <c r="AL88" s="4">
        <v>8</v>
      </c>
      <c r="AM88" s="4" t="str">
        <f>IF(AC81=HETTICH,BB86,IF(AC81=BLUM,BC86,""))</f>
        <v/>
      </c>
      <c r="AN88" s="4" t="str">
        <f t="shared" si="10"/>
        <v/>
      </c>
      <c r="AO88" s="4" t="str">
        <f t="shared" si="11"/>
        <v xml:space="preserve"> ()</v>
      </c>
      <c r="AP88" s="242">
        <v>0</v>
      </c>
      <c r="AQ88" s="238" t="str">
        <f t="shared" si="12"/>
        <v/>
      </c>
      <c r="AR88" s="4"/>
      <c r="AS88" s="245"/>
      <c r="AT88" s="238" t="str">
        <f t="shared" si="13"/>
        <v/>
      </c>
      <c r="AU88" s="4"/>
      <c r="AV88" s="4"/>
      <c r="AW88" s="4"/>
      <c r="AX88" s="4"/>
      <c r="AY88" s="4"/>
      <c r="AZ88" s="256"/>
      <c r="BA88" s="256"/>
      <c r="BB88" s="62" t="e">
        <v>#REF!</v>
      </c>
      <c r="BC88" s="228" t="e">
        <v>#REF!</v>
      </c>
      <c r="BD88" s="62" t="e">
        <v>#REF!</v>
      </c>
      <c r="BE88" s="178" t="e">
        <f t="shared" si="9"/>
        <v>#REF!</v>
      </c>
      <c r="BF88" s="62" t="e">
        <v>#REF!</v>
      </c>
      <c r="BG88" s="62" t="e">
        <v>#REF!</v>
      </c>
    </row>
    <row r="89" spans="2:59" s="178" customFormat="1" ht="18" customHeight="1" x14ac:dyDescent="0.3">
      <c r="B89" s="97"/>
      <c r="C89" s="4"/>
      <c r="D89" s="49"/>
      <c r="E89" s="58"/>
      <c r="F89" s="59"/>
      <c r="G89" s="59"/>
      <c r="H89" s="59"/>
      <c r="I89" s="59"/>
      <c r="J89" s="59"/>
      <c r="K89" s="59"/>
      <c r="L89" s="59"/>
      <c r="M89" s="59"/>
      <c r="N89" s="59"/>
      <c r="O89" s="59"/>
      <c r="P89" s="59"/>
      <c r="Q89" s="59"/>
      <c r="R89" s="59"/>
      <c r="S89" s="1083"/>
      <c r="T89" s="65"/>
      <c r="U89" s="63"/>
      <c r="V89" s="60"/>
      <c r="W89" s="49"/>
      <c r="X89" s="4"/>
      <c r="Y89" s="1087"/>
      <c r="Z89" s="1107"/>
      <c r="AA89" s="1084">
        <f>IF(AG108=1,0,IF(AG108=2,0,IF(AC80=ZAVESY,IF(BD76=2,0,Ceny!$B$184),0)))</f>
        <v>0</v>
      </c>
      <c r="AB89" s="1085"/>
      <c r="AC89" s="190"/>
      <c r="AD89" s="207" t="s">
        <v>1522</v>
      </c>
      <c r="AE89" s="208"/>
      <c r="AF89" s="106" t="b">
        <v>1</v>
      </c>
      <c r="AG89" s="4">
        <v>3</v>
      </c>
      <c r="AH89" s="4">
        <f>IF(AC80=ZAVESY,AG89,0)</f>
        <v>0</v>
      </c>
      <c r="AI89" s="233" t="e">
        <f>IF(AI80=1,$B$501,IF(AI80=2,$B$509,0))</f>
        <v>#REF!</v>
      </c>
      <c r="AJ89" s="237" t="str">
        <f>IF(AC80=AV_OST,AV_HKXS,"")</f>
        <v/>
      </c>
      <c r="AK89" s="238" t="str">
        <f t="shared" si="8"/>
        <v/>
      </c>
      <c r="AL89" s="4">
        <v>9</v>
      </c>
      <c r="AM89" s="4" t="str">
        <f>IF(AC81=HETTICH,BB87,IF(AC81=BLUM,BC87,""))</f>
        <v/>
      </c>
      <c r="AN89" s="4" t="str">
        <f t="shared" si="10"/>
        <v/>
      </c>
      <c r="AO89" s="4" t="str">
        <f t="shared" si="11"/>
        <v xml:space="preserve"> ()</v>
      </c>
      <c r="AP89" s="242">
        <v>0</v>
      </c>
      <c r="AQ89" s="238" t="str">
        <f t="shared" si="12"/>
        <v/>
      </c>
      <c r="AR89" s="4"/>
      <c r="AS89" s="245"/>
      <c r="AT89" s="238" t="str">
        <f t="shared" si="13"/>
        <v/>
      </c>
      <c r="AU89" s="4"/>
      <c r="AV89" s="4"/>
      <c r="AW89" s="4"/>
      <c r="AX89" s="4"/>
      <c r="AY89" s="4"/>
      <c r="AZ89" s="256"/>
      <c r="BA89" s="256"/>
      <c r="BB89" s="62" t="e">
        <v>#REF!</v>
      </c>
      <c r="BC89" s="228" t="e">
        <v>#REF!</v>
      </c>
      <c r="BD89" s="62" t="e">
        <v>#REF!</v>
      </c>
      <c r="BE89" s="178" t="e">
        <f t="shared" si="9"/>
        <v>#REF!</v>
      </c>
      <c r="BF89" s="62" t="e">
        <v>#REF!</v>
      </c>
      <c r="BG89" s="62" t="e">
        <v>#REF!</v>
      </c>
    </row>
    <row r="90" spans="2:59" s="178" customFormat="1" ht="18" customHeight="1" thickBot="1" x14ac:dyDescent="0.35">
      <c r="B90" s="97"/>
      <c r="C90" s="4"/>
      <c r="D90" s="49" t="b">
        <f>IF(AG108=2,IF(AC84=4,1,0))</f>
        <v>0</v>
      </c>
      <c r="E90" s="58"/>
      <c r="F90" s="59"/>
      <c r="G90" s="59"/>
      <c r="H90" s="59"/>
      <c r="I90" s="59"/>
      <c r="J90" s="59"/>
      <c r="K90" s="59"/>
      <c r="L90" s="59"/>
      <c r="M90" s="59"/>
      <c r="N90" s="59"/>
      <c r="O90" s="59"/>
      <c r="P90" s="59"/>
      <c r="Q90" s="59"/>
      <c r="R90" s="59"/>
      <c r="S90" s="65"/>
      <c r="T90" s="65"/>
      <c r="U90" s="63"/>
      <c r="V90" s="60"/>
      <c r="W90" s="49" t="b">
        <f>IF(AG108=1,IF(AC84=4,1,0))</f>
        <v>0</v>
      </c>
      <c r="X90" s="4"/>
      <c r="Y90" s="1060" t="str">
        <f>Ceny_n!$B$136</f>
        <v>Výška</v>
      </c>
      <c r="Z90" s="1107"/>
      <c r="AA90" s="1061">
        <f>IF(AC89=0,0,Ceny!$B$186)</f>
        <v>0</v>
      </c>
      <c r="AB90" s="1062"/>
      <c r="AC90" s="191"/>
      <c r="AD90" s="207" t="s">
        <v>1205</v>
      </c>
      <c r="AE90" s="208"/>
      <c r="AF90" s="106"/>
      <c r="AG90" s="4">
        <v>4</v>
      </c>
      <c r="AH90" s="4">
        <f>IF(AC80=ZAVESY,AG90,0)</f>
        <v>0</v>
      </c>
      <c r="AI90" s="233" t="e">
        <f>IF(AI80=1,$B$502,IF(AI80=2,$B$510,0))</f>
        <v>#REF!</v>
      </c>
      <c r="AJ90" s="239" t="str">
        <f>IF(AC80=AV_OST,AV_HKXS_TIP,"")</f>
        <v/>
      </c>
      <c r="AK90" s="240" t="str">
        <f t="shared" si="8"/>
        <v/>
      </c>
      <c r="AL90" s="4">
        <v>10</v>
      </c>
      <c r="AM90" s="4" t="str">
        <f>IF(AC81=HETTICH,BB88,IF(AC81=BLUM,BC88,""))</f>
        <v/>
      </c>
      <c r="AN90" s="4" t="str">
        <f t="shared" si="10"/>
        <v/>
      </c>
      <c r="AO90" s="4" t="str">
        <f t="shared" si="11"/>
        <v xml:space="preserve"> ()</v>
      </c>
      <c r="AP90" s="242">
        <v>0</v>
      </c>
      <c r="AQ90" s="238" t="str">
        <f t="shared" si="12"/>
        <v/>
      </c>
      <c r="AR90" s="4"/>
      <c r="AS90" s="246"/>
      <c r="AT90" s="240" t="str">
        <f t="shared" si="13"/>
        <v/>
      </c>
      <c r="AU90" s="4"/>
      <c r="AV90" s="4"/>
      <c r="AW90" s="4"/>
      <c r="AX90" s="4"/>
      <c r="AY90" s="4"/>
      <c r="AZ90" s="256"/>
      <c r="BA90" s="256"/>
      <c r="BB90" s="62" t="e">
        <v>#REF!</v>
      </c>
      <c r="BC90" s="228" t="e">
        <v>#REF!</v>
      </c>
      <c r="BD90" s="62" t="e">
        <v>#REF!</v>
      </c>
      <c r="BE90" s="178" t="e">
        <f t="shared" si="9"/>
        <v>#REF!</v>
      </c>
      <c r="BF90" s="62" t="e">
        <v>#REF!</v>
      </c>
      <c r="BG90" s="62" t="e">
        <v>#REF!</v>
      </c>
    </row>
    <row r="91" spans="2:59" s="178" customFormat="1" ht="4.5" customHeight="1" x14ac:dyDescent="0.3">
      <c r="B91" s="97"/>
      <c r="C91" s="4"/>
      <c r="D91" s="49"/>
      <c r="E91" s="58"/>
      <c r="F91" s="59"/>
      <c r="G91" s="59"/>
      <c r="H91" s="59"/>
      <c r="I91" s="59"/>
      <c r="J91" s="59"/>
      <c r="K91" s="59"/>
      <c r="L91" s="59"/>
      <c r="M91" s="59"/>
      <c r="N91" s="59"/>
      <c r="O91" s="59"/>
      <c r="P91" s="59"/>
      <c r="Q91" s="59"/>
      <c r="R91" s="59"/>
      <c r="S91" s="65"/>
      <c r="T91" s="65"/>
      <c r="U91" s="63"/>
      <c r="V91" s="60"/>
      <c r="W91" s="49"/>
      <c r="X91" s="4"/>
      <c r="Y91" s="1060"/>
      <c r="Z91" s="1107"/>
      <c r="AA91" s="1103"/>
      <c r="AB91" s="1066" t="str">
        <f>Ceny_n!$B$185</f>
        <v>Dodat včetně uvedeného kování</v>
      </c>
      <c r="AC91" s="1067"/>
      <c r="AD91" s="268"/>
      <c r="AE91" s="213"/>
      <c r="AF91" s="106"/>
      <c r="AG91" s="4">
        <v>5</v>
      </c>
      <c r="AH91" s="4">
        <f>IF(AC80=ZAVESY,AG91,0)</f>
        <v>0</v>
      </c>
      <c r="AI91" s="62" t="e">
        <f>IF(AI80=1,$B$503,IF(AI80=2,$B$511,0))</f>
        <v>#REF!</v>
      </c>
      <c r="AJ91" s="4"/>
      <c r="AK91" s="178" t="str">
        <f t="shared" si="8"/>
        <v/>
      </c>
      <c r="AL91" s="4">
        <v>11</v>
      </c>
      <c r="AM91" s="4">
        <f>IF(AC81=HETTICH,BB89,IF(AC81=BLUM,BC89,))</f>
        <v>0</v>
      </c>
      <c r="AN91" s="4" t="str">
        <f t="shared" si="10"/>
        <v/>
      </c>
      <c r="AO91" s="4" t="str">
        <f t="shared" si="11"/>
        <v xml:space="preserve"> (0)</v>
      </c>
      <c r="AP91" s="242">
        <v>0</v>
      </c>
      <c r="AQ91" s="238" t="str">
        <f t="shared" si="12"/>
        <v/>
      </c>
      <c r="AR91" s="4"/>
      <c r="AS91" s="4"/>
      <c r="AT91" s="4"/>
      <c r="AU91" s="4"/>
      <c r="AV91" s="4"/>
      <c r="AW91" s="4"/>
      <c r="AX91" s="4"/>
      <c r="AY91" s="4"/>
      <c r="AZ91" s="256"/>
      <c r="BA91" s="256"/>
      <c r="BB91" s="62" t="e">
        <v>#REF!</v>
      </c>
      <c r="BC91" s="228" t="e">
        <v>#REF!</v>
      </c>
      <c r="BD91" s="62" t="e">
        <v>#REF!</v>
      </c>
      <c r="BE91" s="178" t="e">
        <f t="shared" si="9"/>
        <v>#REF!</v>
      </c>
      <c r="BF91" s="62" t="e">
        <v>#REF!</v>
      </c>
      <c r="BG91" s="62" t="e">
        <v>#REF!</v>
      </c>
    </row>
    <row r="92" spans="2:59" s="178" customFormat="1" ht="15.75" customHeight="1" x14ac:dyDescent="0.3">
      <c r="B92" s="97"/>
      <c r="C92" s="4"/>
      <c r="D92" s="49"/>
      <c r="E92" s="58"/>
      <c r="F92" s="59"/>
      <c r="G92" s="59"/>
      <c r="H92" s="59"/>
      <c r="I92" s="59"/>
      <c r="J92" s="59"/>
      <c r="K92" s="59"/>
      <c r="L92" s="59"/>
      <c r="M92" s="59"/>
      <c r="N92" s="59"/>
      <c r="O92" s="59"/>
      <c r="P92" s="59"/>
      <c r="Q92" s="59"/>
      <c r="R92" s="59"/>
      <c r="S92" s="59"/>
      <c r="T92" s="59"/>
      <c r="U92" s="59"/>
      <c r="V92" s="60"/>
      <c r="W92" s="49"/>
      <c r="X92" s="4"/>
      <c r="Y92" s="1060"/>
      <c r="Z92" s="1107"/>
      <c r="AA92" s="1104"/>
      <c r="AB92" s="1068"/>
      <c r="AC92" s="1069"/>
      <c r="AD92" s="268"/>
      <c r="AE92" s="213"/>
      <c r="AF92" s="106"/>
      <c r="AG92" s="4"/>
      <c r="AH92" s="4"/>
      <c r="AI92" s="62" t="e">
        <f>IF(AI80=1,$B$504,IF(AI80=2,$B$513,0))</f>
        <v>#REF!</v>
      </c>
      <c r="AJ92" s="4"/>
      <c r="AK92" s="4"/>
      <c r="AL92" s="4">
        <v>12</v>
      </c>
      <c r="AM92" s="4" t="str">
        <f>IF(AC81=HETTICH,BB90,IF(AC81=BLUM,BC90,""))</f>
        <v/>
      </c>
      <c r="AN92" s="4" t="str">
        <f t="shared" si="10"/>
        <v/>
      </c>
      <c r="AO92" s="4" t="str">
        <f t="shared" si="11"/>
        <v xml:space="preserve"> ()</v>
      </c>
      <c r="AP92" s="242">
        <v>0</v>
      </c>
      <c r="AQ92" s="238" t="str">
        <f t="shared" si="12"/>
        <v/>
      </c>
      <c r="AR92" s="4"/>
      <c r="AS92" s="4"/>
      <c r="AT92" s="4"/>
      <c r="AU92" s="4"/>
      <c r="AV92" s="4"/>
      <c r="AW92" s="4"/>
      <c r="AX92" s="4"/>
      <c r="AY92" s="4"/>
      <c r="AZ92" s="256"/>
      <c r="BA92" s="256"/>
      <c r="BB92" s="62" t="e">
        <v>#REF!</v>
      </c>
      <c r="BC92" s="228" t="e">
        <v>#REF!</v>
      </c>
      <c r="BD92" s="62" t="e">
        <v>#REF!</v>
      </c>
      <c r="BE92" s="178" t="e">
        <f t="shared" si="9"/>
        <v>#REF!</v>
      </c>
      <c r="BF92" s="62" t="e">
        <v>#REF!</v>
      </c>
      <c r="BG92" s="62" t="e">
        <v>#REF!</v>
      </c>
    </row>
    <row r="93" spans="2:59" s="178" customFormat="1" ht="3" customHeight="1" thickBot="1" x14ac:dyDescent="0.35">
      <c r="B93" s="97"/>
      <c r="C93" s="4"/>
      <c r="D93" s="49"/>
      <c r="E93" s="58"/>
      <c r="F93" s="59"/>
      <c r="G93" s="59"/>
      <c r="H93" s="59"/>
      <c r="I93" s="59"/>
      <c r="J93" s="59"/>
      <c r="K93" s="59"/>
      <c r="L93" s="59"/>
      <c r="M93" s="59"/>
      <c r="N93" s="59"/>
      <c r="O93" s="59"/>
      <c r="P93" s="59"/>
      <c r="Q93" s="59"/>
      <c r="R93" s="59"/>
      <c r="S93" s="59"/>
      <c r="T93" s="59"/>
      <c r="U93" s="1072"/>
      <c r="V93" s="60"/>
      <c r="W93" s="49"/>
      <c r="X93" s="4"/>
      <c r="Y93" s="1060"/>
      <c r="Z93" s="1107"/>
      <c r="AA93" s="1104"/>
      <c r="AB93" s="1068"/>
      <c r="AC93" s="1069"/>
      <c r="AD93" s="268"/>
      <c r="AE93" s="213"/>
      <c r="AF93" s="106"/>
      <c r="AG93" s="4"/>
      <c r="AH93" s="4"/>
      <c r="AI93" s="66" t="e">
        <f>IF(AI80=1,$B$506,0)</f>
        <v>#REF!</v>
      </c>
      <c r="AJ93" s="4"/>
      <c r="AK93" s="4"/>
      <c r="AL93" s="4">
        <v>13</v>
      </c>
      <c r="AM93" s="221"/>
      <c r="AN93" s="4" t="str">
        <f t="shared" si="10"/>
        <v/>
      </c>
      <c r="AO93" s="4" t="str">
        <f t="shared" si="11"/>
        <v xml:space="preserve"> ()</v>
      </c>
      <c r="AP93" s="242">
        <v>0</v>
      </c>
      <c r="AQ93" s="238" t="str">
        <f t="shared" si="12"/>
        <v/>
      </c>
      <c r="AR93" s="4"/>
      <c r="AS93" s="4"/>
      <c r="AT93" s="4"/>
      <c r="AU93" s="4"/>
      <c r="AV93" s="4"/>
      <c r="AW93" s="4"/>
      <c r="AX93" s="4"/>
      <c r="AY93" s="4"/>
      <c r="AZ93" s="256"/>
      <c r="BA93" s="256"/>
      <c r="BB93" s="62" t="e">
        <v>#REF!</v>
      </c>
      <c r="BC93" s="228" t="e">
        <v>#REF!</v>
      </c>
      <c r="BD93" s="62" t="e">
        <v>#REF!</v>
      </c>
      <c r="BE93" s="178" t="e">
        <f t="shared" si="9"/>
        <v>#REF!</v>
      </c>
      <c r="BF93" s="62" t="e">
        <v>#REF!</v>
      </c>
      <c r="BG93" s="62" t="e">
        <v>#REF!</v>
      </c>
    </row>
    <row r="94" spans="2:59" s="178" customFormat="1" ht="12" customHeight="1" x14ac:dyDescent="0.3">
      <c r="B94" s="97"/>
      <c r="C94" s="4"/>
      <c r="D94" s="49"/>
      <c r="E94" s="58"/>
      <c r="F94" s="59"/>
      <c r="G94" s="59"/>
      <c r="H94" s="59"/>
      <c r="I94" s="59"/>
      <c r="J94" s="59"/>
      <c r="K94" s="59"/>
      <c r="L94" s="59"/>
      <c r="M94" s="59"/>
      <c r="N94" s="59"/>
      <c r="O94" s="59"/>
      <c r="P94" s="59"/>
      <c r="Q94" s="59"/>
      <c r="R94" s="59"/>
      <c r="S94" s="59"/>
      <c r="T94" s="59"/>
      <c r="U94" s="1073"/>
      <c r="V94" s="60"/>
      <c r="W94" s="49"/>
      <c r="X94" s="4"/>
      <c r="Y94" s="1060"/>
      <c r="Z94" s="1107"/>
      <c r="AA94" s="1105"/>
      <c r="AB94" s="1070"/>
      <c r="AC94" s="1071"/>
      <c r="AD94" s="268"/>
      <c r="AE94" s="213"/>
      <c r="AF94" s="106"/>
      <c r="AG94" s="4"/>
      <c r="AH94" s="4"/>
      <c r="AI94" s="61" t="e">
        <f>IF(AI80=2,$B$520,0)</f>
        <v>#REF!</v>
      </c>
      <c r="AJ94" s="4"/>
      <c r="AK94" s="4"/>
      <c r="AL94" s="4">
        <v>14</v>
      </c>
      <c r="AM94" s="4"/>
      <c r="AN94" s="4" t="str">
        <f t="shared" si="10"/>
        <v/>
      </c>
      <c r="AO94" s="4" t="str">
        <f t="shared" si="11"/>
        <v xml:space="preserve"> ()</v>
      </c>
      <c r="AP94" s="242">
        <v>0</v>
      </c>
      <c r="AQ94" s="238" t="str">
        <f t="shared" si="12"/>
        <v/>
      </c>
      <c r="AR94" s="4"/>
      <c r="AS94" s="4"/>
      <c r="AT94" s="4"/>
      <c r="AU94" s="4"/>
      <c r="AV94" s="4"/>
      <c r="AW94" s="4"/>
      <c r="AX94" s="4"/>
      <c r="AY94" s="4"/>
      <c r="AZ94" s="256"/>
      <c r="BA94" s="256"/>
      <c r="BB94" s="62" t="e">
        <v>#REF!</v>
      </c>
      <c r="BC94" s="228" t="e">
        <v>#REF!</v>
      </c>
      <c r="BD94" s="62" t="e">
        <v>#REF!</v>
      </c>
      <c r="BE94" s="178" t="e">
        <f t="shared" si="9"/>
        <v>#REF!</v>
      </c>
      <c r="BF94" s="62" t="e">
        <v>#REF!</v>
      </c>
      <c r="BG94" s="62" t="e">
        <v>#REF!</v>
      </c>
    </row>
    <row r="95" spans="2:59" s="178" customFormat="1" ht="26.4" thickBot="1" x14ac:dyDescent="0.55000000000000004">
      <c r="B95" s="97"/>
      <c r="C95" s="4"/>
      <c r="D95" s="49"/>
      <c r="E95" s="58"/>
      <c r="F95" s="59"/>
      <c r="G95" s="59"/>
      <c r="H95" s="59"/>
      <c r="I95" s="59"/>
      <c r="J95" s="59"/>
      <c r="K95" s="59"/>
      <c r="L95" s="59"/>
      <c r="M95" s="59"/>
      <c r="N95" s="59"/>
      <c r="O95" s="59"/>
      <c r="P95" s="59"/>
      <c r="Q95" s="59"/>
      <c r="R95" s="44" t="s">
        <v>15</v>
      </c>
      <c r="S95" s="59"/>
      <c r="T95" s="59"/>
      <c r="U95" s="59"/>
      <c r="V95" s="60"/>
      <c r="W95" s="49"/>
      <c r="X95" s="4"/>
      <c r="Y95" s="1060"/>
      <c r="Z95" s="1107"/>
      <c r="AA95" s="4"/>
      <c r="AB95" s="4"/>
      <c r="AC95" s="98"/>
      <c r="AD95" s="257"/>
      <c r="AE95" s="199"/>
      <c r="AF95" s="106"/>
      <c r="AG95" s="4"/>
      <c r="AH95" s="4"/>
      <c r="AI95" s="62" t="e">
        <f>IF(AI80=2,$B$521,0)</f>
        <v>#REF!</v>
      </c>
      <c r="AJ95" s="4"/>
      <c r="AK95" s="4"/>
      <c r="AL95" s="4">
        <v>15</v>
      </c>
      <c r="AM95" s="4"/>
      <c r="AN95" s="4" t="str">
        <f t="shared" si="10"/>
        <v/>
      </c>
      <c r="AO95" s="4" t="str">
        <f t="shared" si="11"/>
        <v xml:space="preserve"> ()</v>
      </c>
      <c r="AP95" s="242">
        <v>0</v>
      </c>
      <c r="AQ95" s="238" t="str">
        <f t="shared" si="12"/>
        <v/>
      </c>
      <c r="AR95" s="4"/>
      <c r="AS95" s="4"/>
      <c r="AT95" s="4"/>
      <c r="AU95" s="4"/>
      <c r="AV95" s="4"/>
      <c r="AW95" s="4"/>
      <c r="AX95" s="4"/>
      <c r="AY95" s="4"/>
      <c r="AZ95" s="256"/>
      <c r="BA95" s="256"/>
      <c r="BB95" s="62" t="e">
        <v>#REF!</v>
      </c>
      <c r="BC95" s="228" t="e">
        <v>#REF!</v>
      </c>
      <c r="BD95" s="62" t="e">
        <v>#REF!</v>
      </c>
      <c r="BE95" s="178" t="e">
        <f t="shared" si="9"/>
        <v>#REF!</v>
      </c>
      <c r="BF95" s="66" t="e">
        <v>#REF!</v>
      </c>
      <c r="BG95" s="66" t="e">
        <v>#REF!</v>
      </c>
    </row>
    <row r="96" spans="2:59" s="178" customFormat="1" ht="5.25" customHeight="1" thickBot="1" x14ac:dyDescent="1.1499999999999999">
      <c r="B96" s="97"/>
      <c r="C96" s="4"/>
      <c r="D96" s="49"/>
      <c r="E96" s="58"/>
      <c r="F96" s="59"/>
      <c r="G96" s="59"/>
      <c r="H96" s="59"/>
      <c r="I96" s="59"/>
      <c r="J96" s="59"/>
      <c r="K96" s="59"/>
      <c r="L96" s="59"/>
      <c r="M96" s="59"/>
      <c r="N96" s="59"/>
      <c r="O96" s="59"/>
      <c r="P96" s="59"/>
      <c r="Q96" s="59"/>
      <c r="R96" s="44"/>
      <c r="S96" s="59"/>
      <c r="T96" s="59"/>
      <c r="U96" s="59"/>
      <c r="V96" s="60"/>
      <c r="W96" s="49"/>
      <c r="X96" s="4"/>
      <c r="Y96" s="1060"/>
      <c r="Z96" s="1107"/>
      <c r="AA96" s="104"/>
      <c r="AB96" s="53"/>
      <c r="AC96" s="93"/>
      <c r="AD96" s="264"/>
      <c r="AE96" s="206"/>
      <c r="AF96" s="106"/>
      <c r="AG96" s="4"/>
      <c r="AH96" s="4"/>
      <c r="AI96" s="62" t="e">
        <f>IF(AI80=2,$B$522,0)</f>
        <v>#REF!</v>
      </c>
      <c r="AJ96" s="4"/>
      <c r="AK96" s="4"/>
      <c r="AL96" s="4">
        <v>16</v>
      </c>
      <c r="AM96" s="4"/>
      <c r="AN96" s="4"/>
      <c r="AO96" s="4" t="str">
        <f t="shared" si="11"/>
        <v xml:space="preserve"> ()</v>
      </c>
      <c r="AP96" s="242">
        <v>0</v>
      </c>
      <c r="AQ96" s="238" t="str">
        <f t="shared" si="12"/>
        <v/>
      </c>
      <c r="AR96" s="4"/>
      <c r="AS96" s="4"/>
      <c r="AT96" s="4"/>
      <c r="AU96" s="4"/>
      <c r="AV96" s="4"/>
      <c r="AW96" s="4"/>
      <c r="AX96" s="4"/>
      <c r="AY96" s="4"/>
      <c r="AZ96" s="256"/>
      <c r="BA96" s="256"/>
      <c r="BB96" s="66" t="e">
        <v>#REF!</v>
      </c>
      <c r="BC96" s="229" t="e">
        <v>#REF!</v>
      </c>
      <c r="BD96" s="62" t="e">
        <v>#REF!</v>
      </c>
      <c r="BE96" s="178" t="e">
        <f t="shared" si="9"/>
        <v>#REF!</v>
      </c>
    </row>
    <row r="97" spans="2:57" s="178" customFormat="1" ht="8.25" customHeight="1" thickBot="1" x14ac:dyDescent="0.55000000000000004">
      <c r="B97" s="97"/>
      <c r="C97" s="4"/>
      <c r="D97" s="1074">
        <f>IF(AG108=2,1,0)</f>
        <v>0</v>
      </c>
      <c r="E97" s="58"/>
      <c r="F97" s="59"/>
      <c r="G97" s="59"/>
      <c r="H97" s="59"/>
      <c r="I97" s="59"/>
      <c r="J97" s="59"/>
      <c r="K97" s="59"/>
      <c r="L97" s="59"/>
      <c r="M97" s="59"/>
      <c r="N97" s="59"/>
      <c r="O97" s="59"/>
      <c r="P97" s="59"/>
      <c r="Q97" s="59"/>
      <c r="R97" s="44"/>
      <c r="S97" s="67"/>
      <c r="T97" s="67"/>
      <c r="U97" s="59"/>
      <c r="V97" s="60"/>
      <c r="W97" s="1074">
        <f>IF(AG108=1,1,0)</f>
        <v>0</v>
      </c>
      <c r="X97" s="4"/>
      <c r="Y97" s="68"/>
      <c r="Z97" s="4"/>
      <c r="AA97" s="53"/>
      <c r="AB97" s="53"/>
      <c r="AC97" s="93"/>
      <c r="AD97" s="264"/>
      <c r="AE97" s="206"/>
      <c r="AF97" s="106"/>
      <c r="AG97" s="4"/>
      <c r="AH97" s="4"/>
      <c r="AI97" s="66" t="e">
        <f>IF(AI80=2,$B$523,0)</f>
        <v>#REF!</v>
      </c>
      <c r="AJ97" s="4"/>
      <c r="AK97" s="4"/>
      <c r="AL97" s="4">
        <v>17</v>
      </c>
      <c r="AM97" s="4"/>
      <c r="AN97" s="4"/>
      <c r="AO97" s="4" t="str">
        <f t="shared" si="11"/>
        <v xml:space="preserve"> ()</v>
      </c>
      <c r="AP97" s="242">
        <v>0</v>
      </c>
      <c r="AQ97" s="238" t="str">
        <f t="shared" si="12"/>
        <v/>
      </c>
      <c r="AR97" s="4"/>
      <c r="AS97" s="4"/>
      <c r="AT97" s="4"/>
      <c r="AU97" s="4"/>
      <c r="AV97" s="4"/>
      <c r="AW97" s="4"/>
      <c r="AX97" s="4"/>
      <c r="AY97" s="4"/>
      <c r="AZ97" s="256"/>
      <c r="BA97" s="256"/>
      <c r="BC97" s="137"/>
      <c r="BD97" s="62" t="e">
        <v>#REF!</v>
      </c>
      <c r="BE97" s="178" t="e">
        <f t="shared" si="9"/>
        <v>#REF!</v>
      </c>
    </row>
    <row r="98" spans="2:57" s="178" customFormat="1" ht="18" customHeight="1" x14ac:dyDescent="0.5">
      <c r="B98" s="97"/>
      <c r="C98" s="4"/>
      <c r="D98" s="1074" t="e">
        <f>IF(#REF!=$Y$41,1,0)</f>
        <v>#REF!</v>
      </c>
      <c r="E98" s="58"/>
      <c r="F98" s="59"/>
      <c r="G98" s="127"/>
      <c r="H98" s="59"/>
      <c r="I98" s="48"/>
      <c r="J98" s="48"/>
      <c r="K98" s="48"/>
      <c r="L98" s="1075"/>
      <c r="M98" s="1076"/>
      <c r="N98" s="1077"/>
      <c r="O98" s="59"/>
      <c r="P98" s="59"/>
      <c r="Q98" s="59"/>
      <c r="R98" s="44"/>
      <c r="S98" s="1078"/>
      <c r="T98" s="69"/>
      <c r="U98" s="67"/>
      <c r="V98" s="45"/>
      <c r="W98" s="1074" t="e">
        <f>IF(#REF!=$Y$41,1,0)</f>
        <v>#REF!</v>
      </c>
      <c r="X98" s="53"/>
      <c r="Y98" s="70"/>
      <c r="Z98" s="4"/>
      <c r="AA98" s="1101" t="str">
        <f>IF(OR(Y82&gt;2500,L106&gt;2500),MAX_ROZ_RAM,"")</f>
        <v/>
      </c>
      <c r="AB98" s="1101"/>
      <c r="AC98" s="1102"/>
      <c r="AD98" s="264"/>
      <c r="AE98" s="206"/>
      <c r="AF98" s="106"/>
      <c r="AG98" s="4"/>
      <c r="AH98" s="4"/>
      <c r="AI98" s="61" t="e">
        <f>IF(AI80=1,$B$530,IF(AI80=2,$B$531,0))</f>
        <v>#REF!</v>
      </c>
      <c r="AJ98" s="4"/>
      <c r="AK98" s="4"/>
      <c r="AL98" s="4">
        <v>18</v>
      </c>
      <c r="AM98" s="4"/>
      <c r="AN98" s="4"/>
      <c r="AO98" s="4" t="str">
        <f t="shared" si="11"/>
        <v xml:space="preserve"> ()</v>
      </c>
      <c r="AP98" s="242">
        <v>0</v>
      </c>
      <c r="AQ98" s="238" t="str">
        <f t="shared" si="12"/>
        <v/>
      </c>
      <c r="AR98" s="4"/>
      <c r="AS98" s="4"/>
      <c r="AT98" s="4"/>
      <c r="AU98" s="4"/>
      <c r="AV98" s="4"/>
      <c r="AW98" s="4"/>
      <c r="AX98" s="4"/>
      <c r="AY98" s="4"/>
      <c r="AZ98" s="256"/>
      <c r="BA98" s="256"/>
      <c r="BC98" s="137"/>
      <c r="BD98" s="62" t="e">
        <v>#REF!</v>
      </c>
      <c r="BE98" s="178" t="e">
        <f t="shared" si="9"/>
        <v>#REF!</v>
      </c>
    </row>
    <row r="99" spans="2:57" s="178" customFormat="1" ht="6" customHeight="1" x14ac:dyDescent="0.5">
      <c r="B99" s="97"/>
      <c r="C99" s="4"/>
      <c r="D99" s="1081" t="str">
        <f>IF(D97=1,AC85,"")</f>
        <v/>
      </c>
      <c r="E99" s="58"/>
      <c r="F99" s="59"/>
      <c r="G99" s="71"/>
      <c r="H99" s="59"/>
      <c r="I99" s="48"/>
      <c r="J99" s="48"/>
      <c r="K99" s="48"/>
      <c r="L99" s="48"/>
      <c r="M99" s="71"/>
      <c r="N99" s="71"/>
      <c r="O99" s="59"/>
      <c r="P99" s="59"/>
      <c r="Q99" s="59"/>
      <c r="R99" s="44"/>
      <c r="S99" s="1079"/>
      <c r="T99" s="69"/>
      <c r="U99" s="67"/>
      <c r="V99" s="45"/>
      <c r="W99" s="1081" t="str">
        <f>IF(W97=1,AC85,"")</f>
        <v/>
      </c>
      <c r="X99" s="53"/>
      <c r="Y99" s="70"/>
      <c r="Z99" s="4"/>
      <c r="AA99" s="1101"/>
      <c r="AB99" s="1101"/>
      <c r="AC99" s="1102"/>
      <c r="AD99" s="264"/>
      <c r="AE99" s="206"/>
      <c r="AF99" s="106"/>
      <c r="AG99" s="4">
        <f>IF(AC90=$J$369,1,IF(AC90=$J$370,1,IF(AC90=$J$371,2,0)))</f>
        <v>0</v>
      </c>
      <c r="AH99" s="4"/>
      <c r="AI99" s="62" t="e">
        <f>IF(AI80=2,$B$532,0)</f>
        <v>#REF!</v>
      </c>
      <c r="AJ99" s="4"/>
      <c r="AK99" s="4"/>
      <c r="AL99" s="4">
        <v>19</v>
      </c>
      <c r="AM99" s="4"/>
      <c r="AN99" s="4"/>
      <c r="AO99" s="4" t="str">
        <f t="shared" si="11"/>
        <v xml:space="preserve"> ()</v>
      </c>
      <c r="AP99" s="242">
        <v>0</v>
      </c>
      <c r="AQ99" s="238" t="str">
        <f t="shared" si="12"/>
        <v/>
      </c>
      <c r="AR99" s="4"/>
      <c r="AS99" s="4"/>
      <c r="AT99" s="4"/>
      <c r="AU99" s="4"/>
      <c r="AV99" s="4"/>
      <c r="AW99" s="4"/>
      <c r="AX99" s="4"/>
      <c r="AY99" s="4"/>
      <c r="AZ99" s="256"/>
      <c r="BA99" s="256"/>
      <c r="BC99" s="137"/>
      <c r="BD99" s="62" t="e">
        <v>#REF!</v>
      </c>
      <c r="BE99" s="178" t="e">
        <f t="shared" si="9"/>
        <v>#REF!</v>
      </c>
    </row>
    <row r="100" spans="2:57" s="178" customFormat="1" ht="22.5" customHeight="1" x14ac:dyDescent="0.5">
      <c r="B100" s="97"/>
      <c r="C100" s="4"/>
      <c r="D100" s="1081"/>
      <c r="E100" s="58"/>
      <c r="F100" s="59"/>
      <c r="G100" s="59"/>
      <c r="H100" s="59"/>
      <c r="I100" s="44" t="s">
        <v>15</v>
      </c>
      <c r="J100" s="48"/>
      <c r="K100" s="48"/>
      <c r="L100" s="48"/>
      <c r="M100" s="48"/>
      <c r="N100" s="48"/>
      <c r="O100" s="59"/>
      <c r="P100" s="44" t="s">
        <v>15</v>
      </c>
      <c r="Q100" s="48"/>
      <c r="R100" s="44"/>
      <c r="S100" s="1080"/>
      <c r="T100" s="69"/>
      <c r="U100" s="44"/>
      <c r="V100" s="60"/>
      <c r="W100" s="1081"/>
      <c r="X100" s="53"/>
      <c r="Y100" s="70"/>
      <c r="Z100" s="4"/>
      <c r="AA100" s="1101"/>
      <c r="AB100" s="1101"/>
      <c r="AC100" s="1102"/>
      <c r="AD100" s="264"/>
      <c r="AE100" s="206"/>
      <c r="AF100" s="106"/>
      <c r="AG100" s="4">
        <f>IF(AC89=0,0,VPRAVO)</f>
        <v>0</v>
      </c>
      <c r="AH100" s="4"/>
      <c r="AI100" s="62" t="e">
        <f>IF(AI80=2,$B$533,0)</f>
        <v>#REF!</v>
      </c>
      <c r="AJ100" s="4"/>
      <c r="AK100" s="4"/>
      <c r="AL100" s="4">
        <v>20</v>
      </c>
      <c r="AM100" s="4"/>
      <c r="AN100" s="4"/>
      <c r="AO100" s="4" t="str">
        <f t="shared" si="11"/>
        <v xml:space="preserve"> ()</v>
      </c>
      <c r="AP100" s="242">
        <v>0</v>
      </c>
      <c r="AQ100" s="238" t="str">
        <f t="shared" si="12"/>
        <v/>
      </c>
      <c r="AR100" s="4"/>
      <c r="AS100" s="4"/>
      <c r="AT100" s="4"/>
      <c r="AU100" s="4"/>
      <c r="AV100" s="4"/>
      <c r="AW100" s="4"/>
      <c r="AX100" s="4"/>
      <c r="AY100" s="4"/>
      <c r="AZ100" s="256"/>
      <c r="BA100" s="256"/>
      <c r="BC100" s="137"/>
      <c r="BD100" s="62" t="e">
        <v>#REF!</v>
      </c>
      <c r="BE100" s="178" t="e">
        <f t="shared" si="9"/>
        <v>#REF!</v>
      </c>
    </row>
    <row r="101" spans="2:57" s="178" customFormat="1" ht="26.4" thickBot="1" x14ac:dyDescent="0.55000000000000004">
      <c r="B101" s="97"/>
      <c r="C101" s="4"/>
      <c r="D101" s="1081"/>
      <c r="E101" s="58"/>
      <c r="F101" s="59"/>
      <c r="G101" s="59"/>
      <c r="H101" s="59"/>
      <c r="I101" s="48"/>
      <c r="J101" s="1082"/>
      <c r="K101" s="48"/>
      <c r="L101" s="48"/>
      <c r="M101" s="48"/>
      <c r="N101" s="48"/>
      <c r="O101" s="59"/>
      <c r="P101" s="48"/>
      <c r="Q101" s="48"/>
      <c r="R101" s="59"/>
      <c r="S101" s="72"/>
      <c r="T101" s="72"/>
      <c r="U101" s="63"/>
      <c r="V101" s="60"/>
      <c r="W101" s="1081"/>
      <c r="X101" s="53"/>
      <c r="Y101" s="5"/>
      <c r="Z101" s="4"/>
      <c r="AA101" s="1101" t="str">
        <f>IF(AC85=0,"",IF(AND(OR(AC77="Palio (elox.)",AC77="Siena (elox.)"),AC85&lt;80),MIN_POZ_ZAVES_80,IF(AC85&lt;70,MIN_POZ_ZAVES,"")))</f>
        <v/>
      </c>
      <c r="AB101" s="1101"/>
      <c r="AC101" s="1102"/>
      <c r="AD101" s="257"/>
      <c r="AE101" s="199"/>
      <c r="AF101" s="106"/>
      <c r="AG101" s="4">
        <f>IF(AC89=0,0,VLEVO)</f>
        <v>0</v>
      </c>
      <c r="AH101" s="4"/>
      <c r="AI101" s="66" t="e">
        <f>IF(AI80=2,$B$534,0)</f>
        <v>#REF!</v>
      </c>
      <c r="AJ101" s="4"/>
      <c r="AK101" s="4"/>
      <c r="AL101" s="4">
        <v>21</v>
      </c>
      <c r="AM101" s="4"/>
      <c r="AN101" s="4"/>
      <c r="AO101" s="4" t="str">
        <f t="shared" si="11"/>
        <v xml:space="preserve"> ()</v>
      </c>
      <c r="AP101" s="242">
        <v>0</v>
      </c>
      <c r="AQ101" s="238" t="str">
        <f t="shared" si="12"/>
        <v/>
      </c>
      <c r="AR101" s="4"/>
      <c r="AS101" s="4"/>
      <c r="AT101" s="4"/>
      <c r="AU101" s="4"/>
      <c r="AV101" s="4"/>
      <c r="AW101" s="4"/>
      <c r="AX101" s="4"/>
      <c r="AY101" s="4"/>
      <c r="AZ101" s="256"/>
      <c r="BA101" s="256"/>
      <c r="BC101" s="137"/>
      <c r="BD101" s="62" t="e">
        <v>#REF!</v>
      </c>
      <c r="BE101" s="178" t="e">
        <f t="shared" si="9"/>
        <v>#REF!</v>
      </c>
    </row>
    <row r="102" spans="2:57" s="178" customFormat="1" ht="25.8" x14ac:dyDescent="0.5">
      <c r="B102" s="97"/>
      <c r="C102" s="4"/>
      <c r="D102" s="1081"/>
      <c r="E102" s="58"/>
      <c r="F102" s="59"/>
      <c r="G102" s="59"/>
      <c r="H102" s="59"/>
      <c r="I102" s="48"/>
      <c r="J102" s="1083"/>
      <c r="K102" s="48"/>
      <c r="L102" s="48"/>
      <c r="M102" s="48"/>
      <c r="N102" s="48"/>
      <c r="O102" s="59"/>
      <c r="P102" s="48"/>
      <c r="Q102" s="48"/>
      <c r="R102" s="59"/>
      <c r="S102" s="73"/>
      <c r="T102" s="73"/>
      <c r="U102" s="63"/>
      <c r="V102" s="60"/>
      <c r="W102" s="1081"/>
      <c r="X102" s="53"/>
      <c r="Y102" s="4"/>
      <c r="Z102" s="4"/>
      <c r="AA102" s="4"/>
      <c r="AB102" s="4"/>
      <c r="AC102" s="98"/>
      <c r="AD102" s="257"/>
      <c r="AE102" s="199"/>
      <c r="AF102" s="106"/>
      <c r="AG102" s="4">
        <f>IF(AC89=0,0,OBE_STRANY)</f>
        <v>0</v>
      </c>
      <c r="AH102" s="4"/>
      <c r="AI102" s="4"/>
      <c r="AJ102" s="4">
        <f>IF(AC89=0,0,VLOOKUP(AC89,AI103:AJ116,2,0))</f>
        <v>0</v>
      </c>
      <c r="AK102" s="4"/>
      <c r="AL102" s="4">
        <v>22</v>
      </c>
      <c r="AM102" s="4"/>
      <c r="AN102" s="4"/>
      <c r="AO102" s="4" t="str">
        <f t="shared" si="11"/>
        <v xml:space="preserve"> ()</v>
      </c>
      <c r="AP102" s="242">
        <v>0</v>
      </c>
      <c r="AQ102" s="238" t="str">
        <f t="shared" si="12"/>
        <v/>
      </c>
      <c r="AR102" s="4"/>
      <c r="AS102" s="4"/>
      <c r="AT102" s="4"/>
      <c r="AU102" s="4"/>
      <c r="AV102" s="4"/>
      <c r="AW102" s="4"/>
      <c r="AX102" s="4"/>
      <c r="AY102" s="4"/>
      <c r="AZ102" s="256"/>
      <c r="BA102" s="256"/>
      <c r="BB102" s="4"/>
      <c r="BD102" s="62" t="e">
        <v>#REF!</v>
      </c>
      <c r="BE102" s="178" t="e">
        <f t="shared" si="9"/>
        <v>#REF!</v>
      </c>
    </row>
    <row r="103" spans="2:57" s="178" customFormat="1" ht="15.75" customHeight="1" thickBot="1" x14ac:dyDescent="0.55000000000000004">
      <c r="B103" s="97"/>
      <c r="C103" s="4"/>
      <c r="D103" s="1081"/>
      <c r="E103" s="74"/>
      <c r="F103" s="75"/>
      <c r="G103" s="75"/>
      <c r="H103" s="75"/>
      <c r="I103" s="47"/>
      <c r="J103" s="47"/>
      <c r="K103" s="47"/>
      <c r="L103" s="47"/>
      <c r="M103" s="47"/>
      <c r="N103" s="47"/>
      <c r="O103" s="75"/>
      <c r="P103" s="47"/>
      <c r="Q103" s="47"/>
      <c r="R103" s="75"/>
      <c r="S103" s="75"/>
      <c r="T103" s="75"/>
      <c r="U103" s="75"/>
      <c r="V103" s="76"/>
      <c r="W103" s="1081"/>
      <c r="X103" s="53"/>
      <c r="Y103" s="4"/>
      <c r="Z103" s="4"/>
      <c r="AA103" s="4"/>
      <c r="AB103" s="4"/>
      <c r="AC103" s="98"/>
      <c r="AD103" s="257"/>
      <c r="AE103" s="199"/>
      <c r="AF103" s="106"/>
      <c r="AG103" s="4"/>
      <c r="AH103" s="4">
        <f>IF(AA89=Ceny_n!$B$184,IF(AI80=1,Ceny!$F$919,IF(AI80=2,Ceny!$G$919,0)),0)</f>
        <v>0</v>
      </c>
      <c r="AI103" s="4">
        <f>IF(AG108=3,AH103,AH122)</f>
        <v>0</v>
      </c>
      <c r="AJ103" s="4">
        <f>IF(AC80=ZAVESY,Ceny!$E$948,0)</f>
        <v>0</v>
      </c>
      <c r="AK103" s="4"/>
      <c r="AL103" s="4">
        <v>22</v>
      </c>
      <c r="AM103" s="4"/>
      <c r="AN103" s="4"/>
      <c r="AO103" s="4" t="str">
        <f t="shared" si="11"/>
        <v xml:space="preserve"> ()</v>
      </c>
      <c r="AP103" s="242">
        <v>0</v>
      </c>
      <c r="AQ103" s="238" t="str">
        <f t="shared" si="12"/>
        <v/>
      </c>
      <c r="AR103" s="4"/>
      <c r="AS103" s="4" t="e">
        <f>VLOOKUP(AL103,Ceny!$B$963:$E$970,4,0)</f>
        <v>#N/A</v>
      </c>
      <c r="AT103" s="4"/>
      <c r="AU103" s="4"/>
      <c r="AV103" s="4"/>
      <c r="AW103" s="4"/>
      <c r="AX103" s="4"/>
      <c r="AY103" s="4" t="e">
        <f t="shared" ref="AY103:AY117" si="14">AJ103+AS103+AT103+AU103+AW103</f>
        <v>#N/A</v>
      </c>
      <c r="AZ103" s="256"/>
      <c r="BA103" s="256"/>
      <c r="BB103" s="4"/>
      <c r="BD103" s="62" t="e">
        <v>#REF!</v>
      </c>
      <c r="BE103" s="178" t="e">
        <f t="shared" si="9"/>
        <v>#REF!</v>
      </c>
    </row>
    <row r="104" spans="2:57" s="178" customFormat="1" ht="18.600000000000001" thickBot="1" x14ac:dyDescent="0.4">
      <c r="B104" s="97"/>
      <c r="C104" s="4"/>
      <c r="D104" s="1036" t="str">
        <f>IF(H104=1,AC85,"")</f>
        <v/>
      </c>
      <c r="E104" s="1037"/>
      <c r="F104" s="1037"/>
      <c r="G104" s="1037"/>
      <c r="H104" s="51">
        <f>IF(AG108=4,1,0)</f>
        <v>0</v>
      </c>
      <c r="I104" s="51"/>
      <c r="J104" s="51"/>
      <c r="K104" s="51" t="b">
        <f>IF(AG108=4,IF(AC84=4,1,0))</f>
        <v>0</v>
      </c>
      <c r="L104" s="51"/>
      <c r="M104" s="51" t="b">
        <f>IF(AG108=4,IF(AC84=3,1,0))</f>
        <v>0</v>
      </c>
      <c r="N104" s="51"/>
      <c r="O104" s="51" t="b">
        <f>IF(AG108=4,IF(AC84=4,1,0))</f>
        <v>0</v>
      </c>
      <c r="P104" s="51"/>
      <c r="Q104" s="51"/>
      <c r="R104" s="51">
        <f>IF(AG108=4,1,0)</f>
        <v>0</v>
      </c>
      <c r="S104" s="1038" t="str">
        <f>IF(R104=1,AC85,"")</f>
        <v/>
      </c>
      <c r="T104" s="1038"/>
      <c r="U104" s="1038"/>
      <c r="V104" s="1038"/>
      <c r="W104" s="1039"/>
      <c r="X104" s="53"/>
      <c r="Y104" s="54"/>
      <c r="Z104" s="195" t="str">
        <f>IF(OR(AC77=Ceny_n!$B$18,AC77=Ceny_n!$B$19,AC77=Ceny_n!$B$20),Ceny!$B$498,"")</f>
        <v/>
      </c>
      <c r="AA104" s="4"/>
      <c r="AB104" s="4"/>
      <c r="AC104" s="98"/>
      <c r="AD104" s="257"/>
      <c r="AE104" s="199"/>
      <c r="AF104" s="106"/>
      <c r="AG104" s="4">
        <f>IF(AC80=ZAVESY,VPRAVO,0)</f>
        <v>0</v>
      </c>
      <c r="AH104" s="4">
        <f>IF(AA89=Ceny_n!$B$184,IF(AI80=1,Ceny!$F$920,IF(AI80=2,Ceny!$G$920,0)),0)</f>
        <v>0</v>
      </c>
      <c r="AI104" s="4">
        <f>IF(AG108=3,AH104,AH123)</f>
        <v>0</v>
      </c>
      <c r="AJ104" s="4">
        <f>IF(AC80=ZAVESY,Ceny!$E$949,0)</f>
        <v>0</v>
      </c>
      <c r="AK104" s="4"/>
      <c r="AL104" s="4">
        <v>22</v>
      </c>
      <c r="AM104" s="4"/>
      <c r="AN104" s="4"/>
      <c r="AO104" s="4" t="str">
        <f t="shared" si="11"/>
        <v xml:space="preserve"> ()</v>
      </c>
      <c r="AP104" s="242">
        <v>0</v>
      </c>
      <c r="AQ104" s="238" t="str">
        <f t="shared" si="12"/>
        <v/>
      </c>
      <c r="AR104" s="4"/>
      <c r="AS104" s="4" t="e">
        <f>VLOOKUP(AL104,Ceny!$B$963:$E$970,4,0)</f>
        <v>#N/A</v>
      </c>
      <c r="AT104" s="4"/>
      <c r="AU104" s="4"/>
      <c r="AV104" s="4"/>
      <c r="AW104" s="4"/>
      <c r="AX104" s="4"/>
      <c r="AY104" s="4" t="e">
        <f t="shared" si="14"/>
        <v>#N/A</v>
      </c>
      <c r="AZ104" s="256"/>
      <c r="BA104" s="256"/>
      <c r="BB104" s="4"/>
      <c r="BD104" s="62" t="e">
        <v>#REF!</v>
      </c>
      <c r="BE104" s="178" t="e">
        <f t="shared" si="9"/>
        <v>#REF!</v>
      </c>
    </row>
    <row r="105" spans="2:57" s="178" customFormat="1" ht="6" customHeight="1" x14ac:dyDescent="0.3">
      <c r="B105" s="97"/>
      <c r="C105" s="4"/>
      <c r="D105" s="53"/>
      <c r="E105" s="53"/>
      <c r="F105" s="53"/>
      <c r="G105" s="53"/>
      <c r="H105" s="53"/>
      <c r="I105" s="4"/>
      <c r="J105" s="4"/>
      <c r="K105" s="4"/>
      <c r="L105" s="4"/>
      <c r="M105" s="4"/>
      <c r="N105" s="4"/>
      <c r="O105" s="4"/>
      <c r="P105" s="4"/>
      <c r="Q105" s="4"/>
      <c r="R105" s="53"/>
      <c r="S105" s="53"/>
      <c r="T105" s="53"/>
      <c r="U105" s="53"/>
      <c r="V105" s="53"/>
      <c r="W105" s="53"/>
      <c r="X105" s="4"/>
      <c r="Y105" s="4"/>
      <c r="Z105" s="4"/>
      <c r="AA105" s="4"/>
      <c r="AB105" s="4"/>
      <c r="AC105" s="98"/>
      <c r="AD105" s="257"/>
      <c r="AE105" s="199"/>
      <c r="AF105" s="106"/>
      <c r="AG105" s="4">
        <f>IF(AC80=ZAVESY,VLEVO,0)</f>
        <v>0</v>
      </c>
      <c r="AH105" s="4">
        <f>IF(AA89=Ceny_n!$B$184,IF(AI80=1,Ceny!$F$921,IF(AI80=2,Ceny!$G$921,0)),0)</f>
        <v>0</v>
      </c>
      <c r="AI105" s="4">
        <f>IF(AG108=3,AH105,AH124)</f>
        <v>0</v>
      </c>
      <c r="AJ105" s="4">
        <f>IF(AC80=ZAVESY,Ceny!$E$950,0)</f>
        <v>0</v>
      </c>
      <c r="AK105" s="4"/>
      <c r="AL105" s="4">
        <v>22</v>
      </c>
      <c r="AM105" s="4"/>
      <c r="AN105" s="4"/>
      <c r="AO105" s="4" t="str">
        <f t="shared" si="11"/>
        <v xml:space="preserve"> ()</v>
      </c>
      <c r="AP105" s="242">
        <v>0</v>
      </c>
      <c r="AQ105" s="238" t="str">
        <f t="shared" si="12"/>
        <v/>
      </c>
      <c r="AR105" s="4"/>
      <c r="AS105" s="4" t="e">
        <f>VLOOKUP(AL105,Ceny!$B$963:$E$970,4,0)</f>
        <v>#N/A</v>
      </c>
      <c r="AT105" s="4"/>
      <c r="AU105" s="4"/>
      <c r="AV105" s="4"/>
      <c r="AW105" s="4"/>
      <c r="AX105" s="4"/>
      <c r="AY105" s="4" t="e">
        <f t="shared" si="14"/>
        <v>#N/A</v>
      </c>
      <c r="AZ105" s="256"/>
      <c r="BA105" s="256"/>
      <c r="BB105" s="4"/>
      <c r="BD105" s="62" t="e">
        <v>#REF!</v>
      </c>
      <c r="BE105" s="178" t="e">
        <f t="shared" si="9"/>
        <v>#REF!</v>
      </c>
    </row>
    <row r="106" spans="2:57" s="178" customFormat="1" ht="20.25" customHeight="1" thickBot="1" x14ac:dyDescent="0.4">
      <c r="B106" s="97"/>
      <c r="C106" s="4"/>
      <c r="D106" s="54"/>
      <c r="E106" s="54"/>
      <c r="F106" s="54"/>
      <c r="G106" s="54"/>
      <c r="H106" s="4"/>
      <c r="I106" s="1040" t="str">
        <f>Ceny_n!$B$135</f>
        <v xml:space="preserve">Šířka </v>
      </c>
      <c r="J106" s="1041"/>
      <c r="K106" s="1041"/>
      <c r="L106" s="1042"/>
      <c r="M106" s="1042"/>
      <c r="N106" s="1042"/>
      <c r="O106" s="1042"/>
      <c r="P106" s="1042"/>
      <c r="Q106" s="1043"/>
      <c r="R106" s="54"/>
      <c r="S106" s="54"/>
      <c r="T106" s="54"/>
      <c r="U106" s="54"/>
      <c r="V106" s="54"/>
      <c r="W106" s="54"/>
      <c r="X106" s="4"/>
      <c r="Y106" s="4"/>
      <c r="Z106" s="195" t="str">
        <f>IF(L106&gt;1500,Ceny!$B$290,IF(Y82&gt;1500,Ceny!$B$290,""))</f>
        <v/>
      </c>
      <c r="AA106" s="4"/>
      <c r="AB106" s="4"/>
      <c r="AC106" s="98"/>
      <c r="AD106" s="257"/>
      <c r="AE106" s="199"/>
      <c r="AF106" s="106"/>
      <c r="AG106" s="4">
        <f>IF(AC80=ZAVESY,NAHORE,0)</f>
        <v>0</v>
      </c>
      <c r="AH106" s="4">
        <f>IF(AA89=Ceny_n!$B$184,IF(AI80=1,Ceny!$F$922,IF(AI80=2,Ceny!$G$922,0)),0)</f>
        <v>0</v>
      </c>
      <c r="AI106" s="4">
        <f>IF(AG108=3,AH106,AH125)</f>
        <v>0</v>
      </c>
      <c r="AJ106" s="4">
        <f>IF(AC80=ZAVESY,Ceny!$E$951,0)</f>
        <v>0</v>
      </c>
      <c r="AK106" s="4"/>
      <c r="AL106" s="4">
        <v>22</v>
      </c>
      <c r="AM106" s="4"/>
      <c r="AN106" s="4"/>
      <c r="AO106" s="4" t="str">
        <f t="shared" si="11"/>
        <v xml:space="preserve"> ()</v>
      </c>
      <c r="AP106" s="243">
        <v>0</v>
      </c>
      <c r="AQ106" s="240" t="str">
        <f t="shared" si="12"/>
        <v/>
      </c>
      <c r="AR106" s="4"/>
      <c r="AS106" s="4" t="e">
        <f>VLOOKUP(AL106,Ceny!$B$963:$E$970,4,0)</f>
        <v>#N/A</v>
      </c>
      <c r="AT106" s="4"/>
      <c r="AU106" s="4"/>
      <c r="AV106" s="4"/>
      <c r="AW106" s="4"/>
      <c r="AX106" s="4"/>
      <c r="AY106" s="4" t="e">
        <f t="shared" si="14"/>
        <v>#N/A</v>
      </c>
      <c r="AZ106" s="256"/>
      <c r="BA106" s="256"/>
      <c r="BD106" s="62" t="e">
        <v>#REF!</v>
      </c>
      <c r="BE106" s="178" t="e">
        <f t="shared" si="9"/>
        <v>#REF!</v>
      </c>
    </row>
    <row r="107" spans="2:57" s="178" customFormat="1" ht="17.25" customHeight="1" x14ac:dyDescent="0.35">
      <c r="B107" s="97"/>
      <c r="C107" s="4"/>
      <c r="D107" s="54"/>
      <c r="E107" s="54"/>
      <c r="F107" s="54"/>
      <c r="G107" s="54"/>
      <c r="H107" s="77"/>
      <c r="I107" s="77"/>
      <c r="J107" s="77"/>
      <c r="K107" s="78"/>
      <c r="L107" s="78"/>
      <c r="M107" s="79"/>
      <c r="N107" s="79"/>
      <c r="O107" s="79"/>
      <c r="P107" s="79"/>
      <c r="Q107" s="79"/>
      <c r="R107" s="54"/>
      <c r="S107" s="54"/>
      <c r="T107" s="54"/>
      <c r="U107" s="54"/>
      <c r="V107" s="54"/>
      <c r="W107" s="54"/>
      <c r="X107" s="4"/>
      <c r="Y107" s="4"/>
      <c r="Z107" s="1044" t="str">
        <f>Ceny_n!$B$138</f>
        <v>Cena rámečků celkem</v>
      </c>
      <c r="AA107" s="1045"/>
      <c r="AB107" s="1045"/>
      <c r="AC107" s="1048" t="e">
        <f>IF(AC77=$B$347,0,(AI77+AM77+AN77+AS77)-((AI77+AM77+AN77+AS77)*$AC$14))</f>
        <v>#REF!</v>
      </c>
      <c r="AD107" s="269"/>
      <c r="AE107" s="214"/>
      <c r="AF107" s="106"/>
      <c r="AG107" s="4">
        <f>IF(AC80=ZAVESY,DOLE,0)</f>
        <v>0</v>
      </c>
      <c r="AH107" s="4">
        <f>IF(AA89=Ceny_n!$B$184,IF(AI80=1,Ceny!$F$923,IF(AI80=2,Ceny!$G$923,0)),0)</f>
        <v>0</v>
      </c>
      <c r="AI107" s="4">
        <f>IF(AG108=3,AH107,AH126)</f>
        <v>0</v>
      </c>
      <c r="AJ107" s="4">
        <f>IF(AC80=ZAVESY,Ceny!$E$952,0)</f>
        <v>0</v>
      </c>
      <c r="AK107" s="4"/>
      <c r="AL107" s="4" t="e">
        <f>IF(AI80=1,Ceny!$B$964,0)</f>
        <v>#REF!</v>
      </c>
      <c r="AM107" s="4">
        <v>0</v>
      </c>
      <c r="AN107" s="4">
        <v>0</v>
      </c>
      <c r="AO107" s="4"/>
      <c r="AP107" s="4">
        <v>0</v>
      </c>
      <c r="AQ107" s="4"/>
      <c r="AR107" s="4"/>
      <c r="AS107" s="4" t="e">
        <f>VLOOKUP(AL107,Ceny!$B$963:$E$970,4,0)</f>
        <v>#REF!</v>
      </c>
      <c r="AT107" s="4"/>
      <c r="AU107" s="4"/>
      <c r="AV107" s="4"/>
      <c r="AW107" s="4"/>
      <c r="AX107" s="4"/>
      <c r="AY107" s="4" t="e">
        <f t="shared" si="14"/>
        <v>#REF!</v>
      </c>
      <c r="AZ107" s="256"/>
      <c r="BA107" s="256"/>
      <c r="BD107" s="62" t="e">
        <v>#REF!</v>
      </c>
      <c r="BE107" s="178" t="e">
        <f t="shared" si="9"/>
        <v>#REF!</v>
      </c>
    </row>
    <row r="108" spans="2:57" s="178" customFormat="1" ht="17.25" customHeight="1" x14ac:dyDescent="0.35">
      <c r="B108" s="97"/>
      <c r="C108" s="4"/>
      <c r="D108" s="54"/>
      <c r="E108" s="54"/>
      <c r="F108" s="54"/>
      <c r="G108" s="54"/>
      <c r="H108" s="77"/>
      <c r="I108" s="77"/>
      <c r="J108" s="77"/>
      <c r="K108" s="78"/>
      <c r="L108" s="78"/>
      <c r="M108" s="79"/>
      <c r="N108" s="79"/>
      <c r="O108" s="79"/>
      <c r="P108" s="79"/>
      <c r="Q108" s="79"/>
      <c r="R108" s="54"/>
      <c r="S108" s="54"/>
      <c r="T108" s="54"/>
      <c r="U108" s="54"/>
      <c r="V108" s="54"/>
      <c r="W108" s="54"/>
      <c r="X108" s="4"/>
      <c r="Y108" s="4"/>
      <c r="Z108" s="1046"/>
      <c r="AA108" s="1047"/>
      <c r="AB108" s="1047"/>
      <c r="AC108" s="1049"/>
      <c r="AD108" s="269"/>
      <c r="AE108" s="214"/>
      <c r="AF108" s="106"/>
      <c r="AG108" s="4">
        <f>IF(AC88=VPRAVO,1,IF('Běžné rámečky'!AC88=VLEVO,2,IF('Běžné rámečky'!AC88=NAHORE,3,IF('Běžné rámečky'!AC88=DOLE,4,0))))</f>
        <v>0</v>
      </c>
      <c r="AH108" s="4">
        <f>IF(AA89=Ceny_n!$B$184,IF(AI80=1,Ceny!$F$924,IF(AI80=2,Ceny!$G$924,0)),0)</f>
        <v>0</v>
      </c>
      <c r="AI108" s="4" t="str">
        <f>IF(AG108=3,AH108,AH127)</f>
        <v xml:space="preserve"> </v>
      </c>
      <c r="AJ108" s="4">
        <f>IF(AC80=ZAVESY,Ceny!$E$953,0)</f>
        <v>0</v>
      </c>
      <c r="AK108" s="4"/>
      <c r="AL108" s="80">
        <f>Ceny_n!$B$965</f>
        <v>15585</v>
      </c>
      <c r="AM108" s="4">
        <v>0</v>
      </c>
      <c r="AN108" s="4">
        <v>0</v>
      </c>
      <c r="AO108" s="4"/>
      <c r="AP108" s="4">
        <v>0</v>
      </c>
      <c r="AQ108" s="4"/>
      <c r="AR108" s="4"/>
      <c r="AS108" s="4">
        <f>VLOOKUP(AL108,Ceny!$B$963:$E$970,4,0)</f>
        <v>3.1249699999999998</v>
      </c>
      <c r="AT108" s="4"/>
      <c r="AU108" s="4"/>
      <c r="AV108" s="4"/>
      <c r="AW108" s="4"/>
      <c r="AX108" s="4"/>
      <c r="AY108" s="4">
        <f t="shared" si="14"/>
        <v>3.1249699999999998</v>
      </c>
      <c r="AZ108" s="256"/>
      <c r="BA108" s="256"/>
      <c r="BD108" s="62" t="e">
        <v>#REF!</v>
      </c>
      <c r="BE108" s="178" t="e">
        <f t="shared" si="9"/>
        <v>#REF!</v>
      </c>
    </row>
    <row r="109" spans="2:57" s="178" customFormat="1" ht="13.5" customHeight="1" x14ac:dyDescent="0.35">
      <c r="B109" s="97"/>
      <c r="C109" s="4"/>
      <c r="D109" s="54"/>
      <c r="E109" s="54"/>
      <c r="F109" s="54"/>
      <c r="G109" s="54"/>
      <c r="H109" s="77"/>
      <c r="I109" s="77"/>
      <c r="J109" s="77"/>
      <c r="K109" s="78"/>
      <c r="L109" s="78"/>
      <c r="M109" s="79"/>
      <c r="N109" s="79"/>
      <c r="O109" s="79"/>
      <c r="P109" s="79"/>
      <c r="Q109" s="79"/>
      <c r="R109" s="54"/>
      <c r="S109" s="54"/>
      <c r="T109" s="54"/>
      <c r="U109" s="54"/>
      <c r="V109" s="54"/>
      <c r="W109" s="54"/>
      <c r="X109" s="4"/>
      <c r="Y109" s="4"/>
      <c r="Z109" s="1050" t="str">
        <f>Ceny_n!$B$140</f>
        <v>Cena za kompletní objednávku</v>
      </c>
      <c r="AA109" s="1051"/>
      <c r="AB109" s="1051"/>
      <c r="AC109" s="1054" t="e">
        <f>SUM($AC$53,$AC$107,$AC$161,$AC$215,$AC$269,$AC$323)</f>
        <v>#REF!</v>
      </c>
      <c r="AD109" s="269"/>
      <c r="AE109" s="214"/>
      <c r="AF109" s="106"/>
      <c r="AG109" s="4"/>
      <c r="AH109" s="4">
        <f>IF(AA89=Ceny_n!$B$184,IF(AI80=1,Ceny!$F$925,IF(AI80=2,Ceny!$G$925,0)),0)</f>
        <v>0</v>
      </c>
      <c r="AI109" s="4" t="str">
        <f>IF(AG108=3,AH109,AH127)</f>
        <v xml:space="preserve"> </v>
      </c>
      <c r="AJ109" s="4">
        <f>IF(AC80=ZAVESY,Ceny!$E$954,0)</f>
        <v>0</v>
      </c>
      <c r="AK109" s="4"/>
      <c r="AL109" s="80">
        <f>Ceny_n!$B$965</f>
        <v>15585</v>
      </c>
      <c r="AM109" s="4">
        <v>0</v>
      </c>
      <c r="AN109" s="4">
        <v>0</v>
      </c>
      <c r="AO109" s="4"/>
      <c r="AP109" s="4">
        <v>0</v>
      </c>
      <c r="AQ109" s="4"/>
      <c r="AR109" s="4"/>
      <c r="AS109" s="4">
        <f>VLOOKUP(AL109,Ceny!$B$963:$E$970,4,0)</f>
        <v>3.1249699999999998</v>
      </c>
      <c r="AT109" s="4"/>
      <c r="AU109" s="4"/>
      <c r="AV109" s="4"/>
      <c r="AW109" s="4"/>
      <c r="AX109" s="4"/>
      <c r="AY109" s="4">
        <f t="shared" si="14"/>
        <v>3.1249699999999998</v>
      </c>
      <c r="AZ109" s="256"/>
      <c r="BA109" s="256"/>
      <c r="BD109" s="62" t="e">
        <v>#REF!</v>
      </c>
      <c r="BE109" s="178" t="e">
        <f t="shared" si="9"/>
        <v>#REF!</v>
      </c>
    </row>
    <row r="110" spans="2:57" s="178" customFormat="1" ht="17.25" customHeight="1" x14ac:dyDescent="0.35">
      <c r="B110" s="97"/>
      <c r="C110" s="4"/>
      <c r="D110" s="54"/>
      <c r="E110" s="54"/>
      <c r="F110" s="54"/>
      <c r="G110" s="54"/>
      <c r="H110" s="77"/>
      <c r="I110" s="77"/>
      <c r="J110" s="77"/>
      <c r="K110" s="78"/>
      <c r="L110" s="78"/>
      <c r="M110" s="79"/>
      <c r="N110" s="79"/>
      <c r="O110" s="79"/>
      <c r="P110" s="79"/>
      <c r="Q110" s="79"/>
      <c r="R110" s="54"/>
      <c r="S110" s="54"/>
      <c r="T110" s="54"/>
      <c r="U110" s="54"/>
      <c r="V110" s="54"/>
      <c r="W110" s="54"/>
      <c r="X110" s="4"/>
      <c r="Y110" s="4"/>
      <c r="Z110" s="1052"/>
      <c r="AA110" s="1053"/>
      <c r="AB110" s="1053"/>
      <c r="AC110" s="1055"/>
      <c r="AD110" s="270"/>
      <c r="AE110" s="215"/>
      <c r="AF110" s="106"/>
      <c r="AG110" s="4"/>
      <c r="AH110" s="4">
        <f>IF(AA89=Ceny_n!$B$184,IF(AI80=1,Ceny!$F$926,IF(AI80=2,Ceny!$G$926,0)),0)</f>
        <v>0</v>
      </c>
      <c r="AI110" s="4" t="str">
        <f>IF(AG108=3,AH110,AH127)</f>
        <v xml:space="preserve"> </v>
      </c>
      <c r="AJ110" s="4">
        <f>IF(AC80=ZAVESY,Ceny!$E$955,0)</f>
        <v>0</v>
      </c>
      <c r="AK110" s="4"/>
      <c r="AL110" s="80">
        <f>Ceny_n!$B$965</f>
        <v>15585</v>
      </c>
      <c r="AM110" s="4">
        <v>0</v>
      </c>
      <c r="AN110" s="4">
        <v>0</v>
      </c>
      <c r="AO110" s="4"/>
      <c r="AP110" s="4">
        <v>0</v>
      </c>
      <c r="AQ110" s="4"/>
      <c r="AR110" s="4"/>
      <c r="AS110" s="4">
        <f>VLOOKUP(AL110,Ceny!$B$963:$E$970,4,0)</f>
        <v>3.1249699999999998</v>
      </c>
      <c r="AT110" s="4"/>
      <c r="AU110" s="4"/>
      <c r="AV110" s="4"/>
      <c r="AW110" s="4"/>
      <c r="AX110" s="4"/>
      <c r="AY110" s="4">
        <f t="shared" si="14"/>
        <v>3.1249699999999998</v>
      </c>
      <c r="AZ110" s="256"/>
      <c r="BA110" s="256"/>
      <c r="BD110" s="62" t="e">
        <v>#REF!</v>
      </c>
      <c r="BE110" s="178" t="e">
        <f t="shared" si="9"/>
        <v>#REF!</v>
      </c>
    </row>
    <row r="111" spans="2:57" s="178" customFormat="1" ht="7.5" customHeight="1" x14ac:dyDescent="0.3">
      <c r="B111" s="97"/>
      <c r="C111" s="4"/>
      <c r="D111" s="54"/>
      <c r="E111" s="54"/>
      <c r="F111" s="54"/>
      <c r="G111" s="54"/>
      <c r="H111" s="77"/>
      <c r="I111" s="77"/>
      <c r="J111" s="77"/>
      <c r="K111" s="78"/>
      <c r="L111" s="78"/>
      <c r="M111" s="79"/>
      <c r="N111" s="79"/>
      <c r="O111" s="79"/>
      <c r="P111" s="79"/>
      <c r="Q111" s="79"/>
      <c r="R111" s="54"/>
      <c r="S111" s="54"/>
      <c r="T111" s="54"/>
      <c r="U111" s="54"/>
      <c r="V111" s="54"/>
      <c r="W111" s="54"/>
      <c r="X111" s="4"/>
      <c r="Y111" s="4"/>
      <c r="Z111" s="1056" t="str">
        <f>Ceny_n!$B$131</f>
        <v>Uvedené ceny jsou bez DPH a nezahrnují cenu požadovaného kování!</v>
      </c>
      <c r="AA111" s="1056"/>
      <c r="AB111" s="1056"/>
      <c r="AC111" s="1057"/>
      <c r="AD111" s="257"/>
      <c r="AE111" s="199"/>
      <c r="AF111" s="106"/>
      <c r="AG111" s="4"/>
      <c r="AH111" s="4">
        <f>IF(AA89=Ceny_n!$B$184,IF(AI80=1,Ceny!$F$927,IF(AI80=2,Ceny!$G$927,0)),0)</f>
        <v>0</v>
      </c>
      <c r="AI111" s="4" t="str">
        <f>IF(AG108=3,AH111,AH127)</f>
        <v xml:space="preserve"> </v>
      </c>
      <c r="AJ111" s="4">
        <f>IF(AC80=ZAVESY,Ceny!$E$956,0)</f>
        <v>0</v>
      </c>
      <c r="AK111" s="4"/>
      <c r="AL111" s="80">
        <f>Ceny_n!$B$965</f>
        <v>15585</v>
      </c>
      <c r="AM111" s="4">
        <v>0</v>
      </c>
      <c r="AN111" s="4">
        <v>0</v>
      </c>
      <c r="AO111" s="4"/>
      <c r="AP111" s="4">
        <v>0</v>
      </c>
      <c r="AQ111" s="4"/>
      <c r="AR111" s="4"/>
      <c r="AS111" s="4">
        <f>VLOOKUP(AL111,Ceny!$B$963:$E$970,4,0)</f>
        <v>3.1249699999999998</v>
      </c>
      <c r="AT111" s="4"/>
      <c r="AU111" s="4"/>
      <c r="AV111" s="4"/>
      <c r="AW111" s="4"/>
      <c r="AX111" s="4"/>
      <c r="AY111" s="4">
        <f t="shared" si="14"/>
        <v>3.1249699999999998</v>
      </c>
      <c r="AZ111" s="256"/>
      <c r="BA111" s="256"/>
      <c r="BD111" s="62" t="e">
        <v>#REF!</v>
      </c>
      <c r="BE111" s="178" t="e">
        <f t="shared" si="9"/>
        <v>#REF!</v>
      </c>
    </row>
    <row r="112" spans="2:57" s="4" customFormat="1" ht="7.5" customHeight="1" x14ac:dyDescent="0.3">
      <c r="B112" s="99"/>
      <c r="C112" s="100"/>
      <c r="D112" s="100"/>
      <c r="E112" s="100"/>
      <c r="F112" s="100"/>
      <c r="G112" s="100"/>
      <c r="H112" s="100"/>
      <c r="I112" s="101"/>
      <c r="J112" s="101"/>
      <c r="K112" s="101"/>
      <c r="L112" s="101"/>
      <c r="M112" s="101"/>
      <c r="N112" s="101"/>
      <c r="O112" s="102"/>
      <c r="P112" s="100"/>
      <c r="Q112" s="100"/>
      <c r="R112" s="100"/>
      <c r="S112" s="100"/>
      <c r="T112" s="100"/>
      <c r="U112" s="100"/>
      <c r="V112" s="100"/>
      <c r="W112" s="100"/>
      <c r="X112" s="100"/>
      <c r="Y112" s="100"/>
      <c r="Z112" s="1058"/>
      <c r="AA112" s="1058"/>
      <c r="AB112" s="1058"/>
      <c r="AC112" s="1059"/>
      <c r="AD112" s="257"/>
      <c r="AE112" s="199"/>
      <c r="AF112" s="106"/>
      <c r="AH112" s="4">
        <f>IF(AA89=Ceny_n!$B$184,IF(AI80=1,Ceny!$F$928,IF(AI80=2,Ceny!$G$928,0)),0)</f>
        <v>0</v>
      </c>
      <c r="AI112" s="4" t="str">
        <f>IF(AG108=3,AH112,AH127)</f>
        <v xml:space="preserve"> </v>
      </c>
      <c r="AJ112" s="4">
        <f>IF(AC80=ZAVESY,Ceny!$E$957,0)</f>
        <v>0</v>
      </c>
      <c r="AL112" s="80">
        <f>Ceny_n!$B$965</f>
        <v>15585</v>
      </c>
      <c r="AM112" s="4">
        <v>0</v>
      </c>
      <c r="AN112" s="4">
        <v>0</v>
      </c>
      <c r="AP112" s="4">
        <v>0</v>
      </c>
      <c r="AS112" s="4">
        <f>VLOOKUP(AL112,Ceny!$B$963:$E$970,4,0)</f>
        <v>3.1249699999999998</v>
      </c>
      <c r="AY112" s="4">
        <f t="shared" si="14"/>
        <v>3.1249699999999998</v>
      </c>
      <c r="AZ112" s="256"/>
      <c r="BA112" s="256"/>
      <c r="BB112" s="178"/>
      <c r="BD112" s="62" t="e">
        <v>#REF!</v>
      </c>
      <c r="BE112" s="178" t="e">
        <f t="shared" si="9"/>
        <v>#REF!</v>
      </c>
    </row>
    <row r="113" spans="2:57" s="178" customFormat="1" ht="6.9" customHeight="1" x14ac:dyDescent="0.3">
      <c r="B113" s="1024" t="str">
        <f>Ceny_n!$B$137</f>
        <v>Poznámky</v>
      </c>
      <c r="C113" s="1025"/>
      <c r="D113" s="1025"/>
      <c r="E113" s="1025"/>
      <c r="F113" s="1025"/>
      <c r="G113" s="1030"/>
      <c r="H113" s="1030"/>
      <c r="I113" s="1030"/>
      <c r="J113" s="1030"/>
      <c r="K113" s="1030"/>
      <c r="L113" s="1030"/>
      <c r="M113" s="1030"/>
      <c r="N113" s="1030"/>
      <c r="O113" s="1030"/>
      <c r="P113" s="1030"/>
      <c r="Q113" s="1030"/>
      <c r="R113" s="1030"/>
      <c r="S113" s="1030"/>
      <c r="T113" s="1030"/>
      <c r="U113" s="1030"/>
      <c r="V113" s="1030"/>
      <c r="W113" s="1030"/>
      <c r="X113" s="1030"/>
      <c r="Y113" s="1030"/>
      <c r="Z113" s="1030"/>
      <c r="AA113" s="1030"/>
      <c r="AB113" s="1030"/>
      <c r="AC113" s="1031"/>
      <c r="AD113" s="271"/>
      <c r="AE113" s="216"/>
      <c r="AF113" s="106"/>
      <c r="AG113" s="4"/>
      <c r="AH113" s="4">
        <f>IF(AA89=Ceny_n!$B$184,IF(AI80=1,Ceny!$F$929,IF(AI80=2,Ceny!$G$929,0)),0)</f>
        <v>0</v>
      </c>
      <c r="AI113" s="4" t="str">
        <f>IF(AG108=3,AH113,AH127)</f>
        <v xml:space="preserve"> </v>
      </c>
      <c r="AJ113" s="4">
        <f>IF(AC80=ZAVESY,Ceny!$E$958,0)</f>
        <v>0</v>
      </c>
      <c r="AK113" s="4"/>
      <c r="AL113" s="178">
        <f>Ceny_n!$B$968</f>
        <v>15596</v>
      </c>
      <c r="AM113" s="4">
        <f>Ceny_n!$B$967</f>
        <v>15595</v>
      </c>
      <c r="AN113" s="81" t="e">
        <f>IF(AI80=1,Ceny!$B$967,0)</f>
        <v>#REF!</v>
      </c>
      <c r="AO113" s="81"/>
      <c r="AP113" s="81" t="e">
        <f>IF(AI80=1,Ceny!$B$968,0)</f>
        <v>#REF!</v>
      </c>
      <c r="AQ113" s="81"/>
      <c r="AR113" s="81" t="e">
        <f>IF(AI80=1,Ceny!$B$969,0)</f>
        <v>#REF!</v>
      </c>
      <c r="AS113" s="4">
        <f>VLOOKUP(AL113,Ceny!$B$963:$E$970,4,0)</f>
        <v>11.9</v>
      </c>
      <c r="AT113" s="4">
        <f>VLOOKUP(AM113,Ceny!$B$963:$E$970,4,0)</f>
        <v>13.4</v>
      </c>
      <c r="AU113" s="4" t="e">
        <f>VLOOKUP(AN113,Ceny!$B$963:$E$970,4,0)</f>
        <v>#REF!</v>
      </c>
      <c r="AV113" s="4"/>
      <c r="AW113" s="4" t="e">
        <f>2*(VLOOKUP(AP113,Ceny!$B$963:$E$970,4,0))</f>
        <v>#REF!</v>
      </c>
      <c r="AX113" s="4" t="e">
        <f>2*(VLOOKUP(AR113,Ceny!$B$963:$E$970,4,0))</f>
        <v>#REF!</v>
      </c>
      <c r="AY113" s="4" t="e">
        <f t="shared" si="14"/>
        <v>#REF!</v>
      </c>
      <c r="AZ113" s="256"/>
      <c r="BA113" s="256"/>
      <c r="BD113" s="62" t="e">
        <v>#REF!</v>
      </c>
      <c r="BE113" s="178" t="e">
        <f t="shared" si="9"/>
        <v>#REF!</v>
      </c>
    </row>
    <row r="114" spans="2:57" s="178" customFormat="1" ht="6.9" customHeight="1" x14ac:dyDescent="0.3">
      <c r="B114" s="1026"/>
      <c r="C114" s="1027"/>
      <c r="D114" s="1027"/>
      <c r="E114" s="1027"/>
      <c r="F114" s="1027"/>
      <c r="G114" s="1032"/>
      <c r="H114" s="1032"/>
      <c r="I114" s="1032"/>
      <c r="J114" s="1032"/>
      <c r="K114" s="1032"/>
      <c r="L114" s="1032"/>
      <c r="M114" s="1032"/>
      <c r="N114" s="1032"/>
      <c r="O114" s="1032"/>
      <c r="P114" s="1032"/>
      <c r="Q114" s="1032"/>
      <c r="R114" s="1032"/>
      <c r="S114" s="1032"/>
      <c r="T114" s="1032"/>
      <c r="U114" s="1032"/>
      <c r="V114" s="1032"/>
      <c r="W114" s="1032"/>
      <c r="X114" s="1032"/>
      <c r="Y114" s="1032"/>
      <c r="Z114" s="1032"/>
      <c r="AA114" s="1032"/>
      <c r="AB114" s="1032"/>
      <c r="AC114" s="1033"/>
      <c r="AD114" s="271"/>
      <c r="AE114" s="216"/>
      <c r="AF114" s="106"/>
      <c r="AG114" s="4"/>
      <c r="AH114" s="4">
        <f>IF(AA89=Ceny_n!$B$184,IF(AI80=1,Ceny!$F$930,IF(AI80=2,Ceny!$G$930,0)),0)</f>
        <v>0</v>
      </c>
      <c r="AI114" s="4" t="str">
        <f>IF(AG108=3,AH114,AH127)</f>
        <v xml:space="preserve"> </v>
      </c>
      <c r="AJ114" s="4">
        <f>IF(AC80=ZAVESY,Ceny!$E$959,0)</f>
        <v>0</v>
      </c>
      <c r="AK114" s="4"/>
      <c r="AL114" s="178">
        <f>Ceny_n!$B$968</f>
        <v>15596</v>
      </c>
      <c r="AM114" s="4">
        <f>Ceny_n!$B$967</f>
        <v>15595</v>
      </c>
      <c r="AN114" s="81" t="e">
        <f>IF(AI80=1,Ceny!$B$967,0)</f>
        <v>#REF!</v>
      </c>
      <c r="AO114" s="81"/>
      <c r="AP114" s="81" t="e">
        <f>IF(AI80=1,Ceny!$B$968,0)</f>
        <v>#REF!</v>
      </c>
      <c r="AQ114" s="81"/>
      <c r="AR114" s="81" t="e">
        <f>IF(AI80=1,Ceny!$B$969,0)</f>
        <v>#REF!</v>
      </c>
      <c r="AS114" s="4">
        <f>VLOOKUP(AL114,Ceny!$B$963:$E$970,4,0)</f>
        <v>11.9</v>
      </c>
      <c r="AT114" s="4">
        <f>VLOOKUP(AM114,Ceny!$B$963:$E$970,4,0)</f>
        <v>13.4</v>
      </c>
      <c r="AU114" s="4" t="e">
        <f>VLOOKUP(AN114,Ceny!$B$963:$E$970,4,0)</f>
        <v>#REF!</v>
      </c>
      <c r="AV114" s="4"/>
      <c r="AW114" s="4" t="e">
        <f>2*(VLOOKUP(AP114,Ceny!$B$963:$E$970,4,0))</f>
        <v>#REF!</v>
      </c>
      <c r="AX114" s="4" t="e">
        <f>2*(VLOOKUP(AR114,Ceny!$B$963:$E$970,4,0))</f>
        <v>#REF!</v>
      </c>
      <c r="AY114" s="4" t="e">
        <f t="shared" si="14"/>
        <v>#REF!</v>
      </c>
      <c r="AZ114" s="256"/>
      <c r="BA114" s="256"/>
      <c r="BD114" s="62" t="e">
        <v>#REF!</v>
      </c>
      <c r="BE114" s="178" t="e">
        <f t="shared" si="9"/>
        <v>#REF!</v>
      </c>
    </row>
    <row r="115" spans="2:57" s="178" customFormat="1" ht="6.9" customHeight="1" x14ac:dyDescent="0.3">
      <c r="B115" s="1026"/>
      <c r="C115" s="1027"/>
      <c r="D115" s="1027"/>
      <c r="E115" s="1027"/>
      <c r="F115" s="1027"/>
      <c r="G115" s="1032"/>
      <c r="H115" s="1032"/>
      <c r="I115" s="1032"/>
      <c r="J115" s="1032"/>
      <c r="K115" s="1032"/>
      <c r="L115" s="1032"/>
      <c r="M115" s="1032"/>
      <c r="N115" s="1032"/>
      <c r="O115" s="1032"/>
      <c r="P115" s="1032"/>
      <c r="Q115" s="1032"/>
      <c r="R115" s="1032"/>
      <c r="S115" s="1032"/>
      <c r="T115" s="1032"/>
      <c r="U115" s="1032"/>
      <c r="V115" s="1032"/>
      <c r="W115" s="1032"/>
      <c r="X115" s="1032"/>
      <c r="Y115" s="1032"/>
      <c r="Z115" s="1032"/>
      <c r="AA115" s="1032"/>
      <c r="AB115" s="1032"/>
      <c r="AC115" s="1033"/>
      <c r="AD115" s="271"/>
      <c r="AE115" s="216"/>
      <c r="AF115" s="106"/>
      <c r="AG115" s="4"/>
      <c r="AH115" s="4">
        <f>IF(AA89=Ceny_n!$B$184,IF(AI80=1,Ceny!$F$931,IF(AI80=2,Ceny!$G$931,0)),0)</f>
        <v>0</v>
      </c>
      <c r="AI115" s="4" t="str">
        <f>IF(AG108=3,AH115,AH127)</f>
        <v xml:space="preserve"> </v>
      </c>
      <c r="AJ115" s="4">
        <f>IF(AC80=ZAVESY,Ceny!$E$960,0)</f>
        <v>0</v>
      </c>
      <c r="AK115" s="4"/>
      <c r="AL115" s="178">
        <f>Ceny_n!$B$968</f>
        <v>15596</v>
      </c>
      <c r="AM115" s="4">
        <f>Ceny_n!$B$967</f>
        <v>15595</v>
      </c>
      <c r="AN115" s="81" t="e">
        <f>IF(AI80=1,Ceny!$B$967,0)</f>
        <v>#REF!</v>
      </c>
      <c r="AO115" s="81"/>
      <c r="AP115" s="81" t="e">
        <f>IF(AI80=1,Ceny!$B$968,0)</f>
        <v>#REF!</v>
      </c>
      <c r="AQ115" s="81"/>
      <c r="AR115" s="81" t="e">
        <f>IF(AI80=1,Ceny!$B$969,0)</f>
        <v>#REF!</v>
      </c>
      <c r="AS115" s="4">
        <f>VLOOKUP(AL115,Ceny!$B$963:$E$970,4,0)</f>
        <v>11.9</v>
      </c>
      <c r="AT115" s="4">
        <f>VLOOKUP(AM115,Ceny!$B$963:$E$970,4,0)</f>
        <v>13.4</v>
      </c>
      <c r="AU115" s="4" t="e">
        <f>VLOOKUP(AN115,Ceny!$B$963:$E$970,4,0)</f>
        <v>#REF!</v>
      </c>
      <c r="AV115" s="4"/>
      <c r="AW115" s="4" t="e">
        <f>2*(VLOOKUP(AP115,Ceny!$B$963:$E$970,4,0))</f>
        <v>#REF!</v>
      </c>
      <c r="AX115" s="4" t="e">
        <f>2*(VLOOKUP(AR115,Ceny!$B$963:$E$970,4,0))</f>
        <v>#REF!</v>
      </c>
      <c r="AY115" s="4" t="e">
        <f t="shared" si="14"/>
        <v>#REF!</v>
      </c>
      <c r="AZ115" s="256"/>
      <c r="BA115" s="256"/>
      <c r="BD115" s="62" t="e">
        <v>#REF!</v>
      </c>
      <c r="BE115" s="178" t="e">
        <f t="shared" si="9"/>
        <v>#REF!</v>
      </c>
    </row>
    <row r="116" spans="2:57" s="178" customFormat="1" ht="6.9" customHeight="1" x14ac:dyDescent="0.3">
      <c r="B116" s="1026"/>
      <c r="C116" s="1027"/>
      <c r="D116" s="1027"/>
      <c r="E116" s="1027"/>
      <c r="F116" s="1027"/>
      <c r="G116" s="1032"/>
      <c r="H116" s="1032"/>
      <c r="I116" s="1032"/>
      <c r="J116" s="1032"/>
      <c r="K116" s="1032"/>
      <c r="L116" s="1032"/>
      <c r="M116" s="1032"/>
      <c r="N116" s="1032"/>
      <c r="O116" s="1032"/>
      <c r="P116" s="1032"/>
      <c r="Q116" s="1032"/>
      <c r="R116" s="1032"/>
      <c r="S116" s="1032"/>
      <c r="T116" s="1032"/>
      <c r="U116" s="1032"/>
      <c r="V116" s="1032"/>
      <c r="W116" s="1032"/>
      <c r="X116" s="1032"/>
      <c r="Y116" s="1032"/>
      <c r="Z116" s="1032"/>
      <c r="AA116" s="1032"/>
      <c r="AB116" s="1032"/>
      <c r="AC116" s="1033"/>
      <c r="AD116" s="271"/>
      <c r="AE116" s="216"/>
      <c r="AF116" s="106"/>
      <c r="AG116" s="4"/>
      <c r="AH116" s="4">
        <f>IF(AA89=Ceny_n!$B$184,IF(AI80=1,Ceny!$F$932,IF(AI80=2,Ceny!$G$932,0)),0)</f>
        <v>0</v>
      </c>
      <c r="AI116" s="4" t="str">
        <f>IF(AG108=3,AH116,AH127)</f>
        <v xml:space="preserve"> </v>
      </c>
      <c r="AJ116" s="4">
        <f>IF(AC80=ZAVESY,Ceny!$E$961,0)</f>
        <v>0</v>
      </c>
      <c r="AK116" s="4"/>
      <c r="AL116" s="178">
        <f>Ceny_n!$B$968</f>
        <v>15596</v>
      </c>
      <c r="AM116" s="4">
        <f>Ceny_n!$B$967</f>
        <v>15595</v>
      </c>
      <c r="AN116" s="81" t="e">
        <f>IF(AI80=1,Ceny!$B$967,0)</f>
        <v>#REF!</v>
      </c>
      <c r="AO116" s="81"/>
      <c r="AP116" s="81" t="e">
        <f>IF(AI80=1,Ceny!$B$968,0)</f>
        <v>#REF!</v>
      </c>
      <c r="AQ116" s="81"/>
      <c r="AR116" s="81" t="e">
        <f>IF(AI80=1,Ceny!$B$969,0)</f>
        <v>#REF!</v>
      </c>
      <c r="AS116" s="4">
        <f>VLOOKUP(AL116,Ceny!$B$963:$E$970,4,0)</f>
        <v>11.9</v>
      </c>
      <c r="AT116" s="4">
        <f>VLOOKUP(AM116,Ceny!$B$963:$E$970,4,0)</f>
        <v>13.4</v>
      </c>
      <c r="AU116" s="4" t="e">
        <f>VLOOKUP(AN116,Ceny!$B$963:$E$970,4,0)</f>
        <v>#REF!</v>
      </c>
      <c r="AV116" s="4"/>
      <c r="AW116" s="4" t="e">
        <f>2*(VLOOKUP(AP116,Ceny!$B$963:$E$970,4,0))</f>
        <v>#REF!</v>
      </c>
      <c r="AX116" s="4" t="e">
        <f>2*(VLOOKUP(AR116,Ceny!$B$963:$E$970,4,0))</f>
        <v>#REF!</v>
      </c>
      <c r="AY116" s="4" t="e">
        <f t="shared" si="14"/>
        <v>#REF!</v>
      </c>
      <c r="AZ116" s="256"/>
      <c r="BA116" s="256"/>
      <c r="BD116" s="62" t="e">
        <v>#REF!</v>
      </c>
      <c r="BE116" s="178" t="e">
        <f t="shared" si="9"/>
        <v>#REF!</v>
      </c>
    </row>
    <row r="117" spans="2:57" s="178" customFormat="1" ht="6.9" customHeight="1" x14ac:dyDescent="0.3">
      <c r="B117" s="1026"/>
      <c r="C117" s="1027"/>
      <c r="D117" s="1027"/>
      <c r="E117" s="1027"/>
      <c r="F117" s="1027"/>
      <c r="G117" s="1032"/>
      <c r="H117" s="1032"/>
      <c r="I117" s="1032"/>
      <c r="J117" s="1032"/>
      <c r="K117" s="1032"/>
      <c r="L117" s="1032"/>
      <c r="M117" s="1032"/>
      <c r="N117" s="1032"/>
      <c r="O117" s="1032"/>
      <c r="P117" s="1032"/>
      <c r="Q117" s="1032"/>
      <c r="R117" s="1032"/>
      <c r="S117" s="1032"/>
      <c r="T117" s="1032"/>
      <c r="U117" s="1032"/>
      <c r="V117" s="1032"/>
      <c r="W117" s="1032"/>
      <c r="X117" s="1032"/>
      <c r="Y117" s="1032"/>
      <c r="Z117" s="1032"/>
      <c r="AA117" s="1032"/>
      <c r="AB117" s="1032"/>
      <c r="AC117" s="1033"/>
      <c r="AD117" s="271"/>
      <c r="AE117" s="216"/>
      <c r="AF117" s="106"/>
      <c r="AG117" s="4"/>
      <c r="AH117" s="4">
        <f>IF(AA89=Ceny_n!$B$184,IF(AI80=1,Ceny!$F$933,IF(AI80=2,Ceny!$G$933,0)),0)</f>
        <v>0</v>
      </c>
      <c r="AI117" s="4" t="str">
        <f>IF(AG108=3,AH117,AH127)</f>
        <v xml:space="preserve"> </v>
      </c>
      <c r="AJ117" s="4">
        <f>IF(AC80=ZAVESY,Ceny!$E$962,0)</f>
        <v>0</v>
      </c>
      <c r="AK117" s="4"/>
      <c r="AL117" s="4"/>
      <c r="AM117" s="4"/>
      <c r="AN117" s="4"/>
      <c r="AO117" s="4"/>
      <c r="AP117" s="4"/>
      <c r="AQ117" s="4"/>
      <c r="AR117" s="4"/>
      <c r="AS117" s="4"/>
      <c r="AT117" s="4"/>
      <c r="AU117" s="4"/>
      <c r="AV117" s="4"/>
      <c r="AW117" s="4"/>
      <c r="AX117" s="4"/>
      <c r="AY117" s="4">
        <f t="shared" si="14"/>
        <v>0</v>
      </c>
      <c r="AZ117" s="256"/>
      <c r="BA117" s="256"/>
      <c r="BB117" s="4"/>
      <c r="BD117" s="62" t="e">
        <v>#REF!</v>
      </c>
      <c r="BE117" s="178" t="e">
        <f t="shared" si="9"/>
        <v>#REF!</v>
      </c>
    </row>
    <row r="118" spans="2:57" s="178" customFormat="1" ht="6" customHeight="1" x14ac:dyDescent="0.3">
      <c r="B118" s="1026"/>
      <c r="C118" s="1027"/>
      <c r="D118" s="1027"/>
      <c r="E118" s="1027"/>
      <c r="F118" s="1027"/>
      <c r="G118" s="1032"/>
      <c r="H118" s="1032"/>
      <c r="I118" s="1032"/>
      <c r="J118" s="1032"/>
      <c r="K118" s="1032"/>
      <c r="L118" s="1032"/>
      <c r="M118" s="1032"/>
      <c r="N118" s="1032"/>
      <c r="O118" s="1032"/>
      <c r="P118" s="1032"/>
      <c r="Q118" s="1032"/>
      <c r="R118" s="1032"/>
      <c r="S118" s="1032"/>
      <c r="T118" s="1032"/>
      <c r="U118" s="1032"/>
      <c r="V118" s="1032"/>
      <c r="W118" s="1032"/>
      <c r="X118" s="1032"/>
      <c r="Y118" s="1032"/>
      <c r="Z118" s="1032"/>
      <c r="AA118" s="1032"/>
      <c r="AB118" s="1032"/>
      <c r="AC118" s="1033"/>
      <c r="AD118" s="271"/>
      <c r="AE118" s="216"/>
      <c r="AF118" s="106"/>
      <c r="AG118" s="4"/>
      <c r="AH118" s="4">
        <f>IF(AA89=Ceny_n!$B$184,IF(AI80=1,Ceny!$F$934,IF(AI80=2,Ceny!$G$934,0)),0)</f>
        <v>0</v>
      </c>
      <c r="AI118" s="4" t="str">
        <f>IF(AG108=3,AH118,AH127)</f>
        <v xml:space="preserve"> </v>
      </c>
      <c r="AJ118" s="4"/>
      <c r="AK118" s="4"/>
      <c r="AL118" s="4"/>
      <c r="AM118" s="4"/>
      <c r="AN118" s="4"/>
      <c r="AO118" s="4"/>
      <c r="AP118" s="4"/>
      <c r="AQ118" s="4"/>
      <c r="AR118" s="4"/>
      <c r="AS118" s="4"/>
      <c r="AT118" s="4"/>
      <c r="AU118" s="4"/>
      <c r="AV118" s="4"/>
      <c r="AW118" s="4"/>
      <c r="AX118" s="4"/>
      <c r="AY118" s="4"/>
      <c r="AZ118" s="256"/>
      <c r="BA118" s="256"/>
      <c r="BB118" s="4"/>
      <c r="BD118" s="62" t="e">
        <v>#REF!</v>
      </c>
      <c r="BE118" s="178" t="e">
        <f t="shared" si="9"/>
        <v>#REF!</v>
      </c>
    </row>
    <row r="119" spans="2:57" s="178" customFormat="1" ht="6.9" customHeight="1" thickBot="1" x14ac:dyDescent="0.35">
      <c r="B119" s="1026"/>
      <c r="C119" s="1027"/>
      <c r="D119" s="1027"/>
      <c r="E119" s="1027"/>
      <c r="F119" s="1027"/>
      <c r="G119" s="1032"/>
      <c r="H119" s="1032"/>
      <c r="I119" s="1032"/>
      <c r="J119" s="1032"/>
      <c r="K119" s="1032"/>
      <c r="L119" s="1032"/>
      <c r="M119" s="1032"/>
      <c r="N119" s="1032"/>
      <c r="O119" s="1032"/>
      <c r="P119" s="1032"/>
      <c r="Q119" s="1032"/>
      <c r="R119" s="1032"/>
      <c r="S119" s="1032"/>
      <c r="T119" s="1032"/>
      <c r="U119" s="1032"/>
      <c r="V119" s="1032"/>
      <c r="W119" s="1032"/>
      <c r="X119" s="1032"/>
      <c r="Y119" s="1032"/>
      <c r="Z119" s="1032"/>
      <c r="AA119" s="1032"/>
      <c r="AB119" s="1032"/>
      <c r="AC119" s="1033"/>
      <c r="AD119" s="271"/>
      <c r="AE119" s="216"/>
      <c r="AF119" s="106"/>
      <c r="AG119" s="4"/>
      <c r="AH119" s="4">
        <f>IF(AA89=Ceny_n!$B$184,IF(AI80=1,Ceny!$F$935,IF(AI80=2,Ceny!$G$935,0)),0)</f>
        <v>0</v>
      </c>
      <c r="AI119" s="4" t="str">
        <f>IF(AG108=3,AH119,AH127)</f>
        <v xml:space="preserve"> </v>
      </c>
      <c r="AJ119" s="4"/>
      <c r="AK119" s="4"/>
      <c r="AL119" s="4"/>
      <c r="AM119" s="4"/>
      <c r="AN119" s="4"/>
      <c r="AO119" s="4"/>
      <c r="AP119" s="4"/>
      <c r="AQ119" s="4"/>
      <c r="AR119" s="4"/>
      <c r="AS119" s="4"/>
      <c r="AT119" s="4"/>
      <c r="AU119" s="4"/>
      <c r="AV119" s="4"/>
      <c r="AW119" s="4"/>
      <c r="AX119" s="4"/>
      <c r="AY119" s="4"/>
      <c r="AZ119" s="256"/>
      <c r="BA119" s="256"/>
      <c r="BD119" s="66" t="e">
        <v>#REF!</v>
      </c>
      <c r="BE119" s="178" t="e">
        <f t="shared" si="9"/>
        <v>#REF!</v>
      </c>
    </row>
    <row r="120" spans="2:57" s="178" customFormat="1" ht="6.9" customHeight="1" x14ac:dyDescent="0.3">
      <c r="B120" s="1026"/>
      <c r="C120" s="1027"/>
      <c r="D120" s="1027"/>
      <c r="E120" s="1027"/>
      <c r="F120" s="1027"/>
      <c r="G120" s="1032"/>
      <c r="H120" s="1032"/>
      <c r="I120" s="1032"/>
      <c r="J120" s="1032"/>
      <c r="K120" s="1032"/>
      <c r="L120" s="1032"/>
      <c r="M120" s="1032"/>
      <c r="N120" s="1032"/>
      <c r="O120" s="1032"/>
      <c r="P120" s="1032"/>
      <c r="Q120" s="1032"/>
      <c r="R120" s="1032"/>
      <c r="S120" s="1032"/>
      <c r="T120" s="1032"/>
      <c r="U120" s="1032"/>
      <c r="V120" s="1032"/>
      <c r="W120" s="1032"/>
      <c r="X120" s="1032"/>
      <c r="Y120" s="1032"/>
      <c r="Z120" s="1032"/>
      <c r="AA120" s="1032"/>
      <c r="AB120" s="1032"/>
      <c r="AC120" s="1033"/>
      <c r="AD120" s="271"/>
      <c r="AE120" s="216"/>
      <c r="AF120" s="106"/>
      <c r="AG120" s="4"/>
      <c r="AH120" s="4">
        <f>IF(AA89=Ceny_n!$B$184,IF(AI80=1,Ceny!$F$936,IF(AI80=2,Ceny!$G$936,0)),0)</f>
        <v>0</v>
      </c>
      <c r="AI120" s="4" t="str">
        <f>IF(AG108=3,AH120,AH127)</f>
        <v xml:space="preserve"> </v>
      </c>
      <c r="AJ120" s="4"/>
      <c r="AK120" s="4"/>
      <c r="AL120" s="4"/>
      <c r="AM120" s="4"/>
      <c r="AN120" s="4"/>
      <c r="AO120" s="4"/>
      <c r="AP120" s="4"/>
      <c r="AQ120" s="4"/>
      <c r="AR120" s="4"/>
      <c r="AS120" s="4"/>
      <c r="AT120" s="4"/>
      <c r="AU120" s="4"/>
      <c r="AV120" s="4"/>
      <c r="AW120" s="4"/>
      <c r="AX120" s="4"/>
      <c r="AY120" s="4"/>
      <c r="AZ120" s="256"/>
      <c r="BA120" s="256"/>
    </row>
    <row r="121" spans="2:57" s="178" customFormat="1" ht="6.9" customHeight="1" x14ac:dyDescent="0.3">
      <c r="B121" s="1026"/>
      <c r="C121" s="1027"/>
      <c r="D121" s="1027"/>
      <c r="E121" s="1027"/>
      <c r="F121" s="1027"/>
      <c r="G121" s="1032"/>
      <c r="H121" s="1032"/>
      <c r="I121" s="1032"/>
      <c r="J121" s="1032"/>
      <c r="K121" s="1032"/>
      <c r="L121" s="1032"/>
      <c r="M121" s="1032"/>
      <c r="N121" s="1032"/>
      <c r="O121" s="1032"/>
      <c r="P121" s="1032"/>
      <c r="Q121" s="1032"/>
      <c r="R121" s="1032"/>
      <c r="S121" s="1032"/>
      <c r="T121" s="1032"/>
      <c r="U121" s="1032"/>
      <c r="V121" s="1032"/>
      <c r="W121" s="1032"/>
      <c r="X121" s="1032"/>
      <c r="Y121" s="1032"/>
      <c r="Z121" s="1032"/>
      <c r="AA121" s="1032"/>
      <c r="AB121" s="1032"/>
      <c r="AC121" s="1033"/>
      <c r="AD121" s="271"/>
      <c r="AE121" s="216"/>
      <c r="AF121" s="106"/>
      <c r="AG121" s="4"/>
      <c r="AH121" s="4">
        <f>IF(AA89=Ceny_n!$B$184,IF(AI80=1,Ceny!$F$937,IF(AI80=2,Ceny!$G$937,0)),0)</f>
        <v>0</v>
      </c>
      <c r="AI121" s="4" t="str">
        <f>IF(AG108=3,AH121,AH127)</f>
        <v xml:space="preserve"> </v>
      </c>
      <c r="AJ121" s="4"/>
      <c r="AK121" s="4"/>
      <c r="AL121" s="4"/>
      <c r="AM121" s="4"/>
      <c r="AN121" s="4"/>
      <c r="AO121" s="4"/>
      <c r="AP121" s="4"/>
      <c r="AQ121" s="4"/>
      <c r="AR121" s="4"/>
      <c r="AS121" s="4"/>
      <c r="AT121" s="4"/>
      <c r="AU121" s="4"/>
      <c r="AV121" s="4"/>
      <c r="AW121" s="4"/>
      <c r="AX121" s="4"/>
      <c r="AY121" s="4"/>
      <c r="AZ121" s="256"/>
      <c r="BA121" s="256"/>
    </row>
    <row r="122" spans="2:57" s="178" customFormat="1" ht="20.25" customHeight="1" x14ac:dyDescent="0.3">
      <c r="B122" s="1026"/>
      <c r="C122" s="1027"/>
      <c r="D122" s="1027"/>
      <c r="E122" s="1027"/>
      <c r="F122" s="1027"/>
      <c r="G122" s="1032"/>
      <c r="H122" s="1032"/>
      <c r="I122" s="1032"/>
      <c r="J122" s="1032"/>
      <c r="K122" s="1032"/>
      <c r="L122" s="1032"/>
      <c r="M122" s="1032"/>
      <c r="N122" s="1032"/>
      <c r="O122" s="1032"/>
      <c r="P122" s="1032"/>
      <c r="Q122" s="1032"/>
      <c r="R122" s="1032"/>
      <c r="S122" s="1032"/>
      <c r="T122" s="1032"/>
      <c r="U122" s="1032"/>
      <c r="V122" s="1032"/>
      <c r="W122" s="1032"/>
      <c r="X122" s="1032"/>
      <c r="Y122" s="1032"/>
      <c r="Z122" s="1032"/>
      <c r="AA122" s="1032"/>
      <c r="AB122" s="1032"/>
      <c r="AC122" s="1033"/>
      <c r="AD122" s="271"/>
      <c r="AE122" s="216"/>
      <c r="AF122" s="106"/>
      <c r="AG122" s="4"/>
      <c r="AH122" s="4">
        <f>IF(AA89=Ceny_n!$B$184,IF(AI80=1,Ceny!$F$938,IF(AI80=2,Ceny!$G$938,0)),0)</f>
        <v>0</v>
      </c>
      <c r="AI122" s="4" t="str">
        <f>IF(AG108=3,AH122,AH127)</f>
        <v xml:space="preserve"> </v>
      </c>
      <c r="AJ122" s="4"/>
      <c r="AK122" s="4"/>
      <c r="AL122" s="4"/>
      <c r="AM122" s="4"/>
      <c r="AN122" s="4"/>
      <c r="AO122" s="4"/>
      <c r="AP122" s="4"/>
      <c r="AQ122" s="4"/>
      <c r="AR122" s="4"/>
      <c r="AS122" s="4"/>
      <c r="AT122" s="4"/>
      <c r="AU122" s="4"/>
      <c r="AV122" s="4"/>
      <c r="AW122" s="4"/>
      <c r="AX122" s="4"/>
      <c r="AY122" s="4"/>
      <c r="AZ122" s="256"/>
      <c r="BA122" s="256"/>
    </row>
    <row r="123" spans="2:57" s="178" customFormat="1" ht="6.9" customHeight="1" x14ac:dyDescent="0.3">
      <c r="B123" s="1026"/>
      <c r="C123" s="1027"/>
      <c r="D123" s="1027"/>
      <c r="E123" s="1027"/>
      <c r="F123" s="1027"/>
      <c r="G123" s="1032"/>
      <c r="H123" s="1032"/>
      <c r="I123" s="1032"/>
      <c r="J123" s="1032"/>
      <c r="K123" s="1032"/>
      <c r="L123" s="1032"/>
      <c r="M123" s="1032"/>
      <c r="N123" s="1032"/>
      <c r="O123" s="1032"/>
      <c r="P123" s="1032"/>
      <c r="Q123" s="1032"/>
      <c r="R123" s="1032"/>
      <c r="S123" s="1032"/>
      <c r="T123" s="1032"/>
      <c r="U123" s="1032"/>
      <c r="V123" s="1032"/>
      <c r="W123" s="1032"/>
      <c r="X123" s="1032"/>
      <c r="Y123" s="1032"/>
      <c r="Z123" s="1032"/>
      <c r="AA123" s="1032"/>
      <c r="AB123" s="1032"/>
      <c r="AC123" s="1033"/>
      <c r="AD123" s="271"/>
      <c r="AE123" s="216"/>
      <c r="AF123" s="106"/>
      <c r="AG123" s="4"/>
      <c r="AH123" s="4">
        <f>IF(AA89=Ceny_n!$B$184,IF(AI80=1,Ceny!$F$939,IF(AI80=2,Ceny!$G$939,0)),0)</f>
        <v>0</v>
      </c>
      <c r="AI123" s="4"/>
      <c r="AJ123" s="4"/>
      <c r="AK123" s="4"/>
      <c r="AL123" s="4"/>
      <c r="AM123" s="4"/>
      <c r="AN123" s="4"/>
      <c r="AO123" s="4"/>
      <c r="AP123" s="4"/>
      <c r="AQ123" s="4"/>
      <c r="AR123" s="4"/>
      <c r="AS123" s="4"/>
      <c r="AT123" s="4"/>
      <c r="AU123" s="4"/>
      <c r="AV123" s="4"/>
      <c r="AW123" s="4"/>
      <c r="AX123" s="4"/>
      <c r="AY123" s="4"/>
      <c r="AZ123" s="256"/>
      <c r="BA123" s="256"/>
    </row>
    <row r="124" spans="2:57" s="178" customFormat="1" ht="6.9" customHeight="1" x14ac:dyDescent="0.3">
      <c r="B124" s="1026"/>
      <c r="C124" s="1027"/>
      <c r="D124" s="1027"/>
      <c r="E124" s="1027"/>
      <c r="F124" s="1027"/>
      <c r="G124" s="1032"/>
      <c r="H124" s="1032"/>
      <c r="I124" s="1032"/>
      <c r="J124" s="1032"/>
      <c r="K124" s="1032"/>
      <c r="L124" s="1032"/>
      <c r="M124" s="1032"/>
      <c r="N124" s="1032"/>
      <c r="O124" s="1032"/>
      <c r="P124" s="1032"/>
      <c r="Q124" s="1032"/>
      <c r="R124" s="1032"/>
      <c r="S124" s="1032"/>
      <c r="T124" s="1032"/>
      <c r="U124" s="1032"/>
      <c r="V124" s="1032"/>
      <c r="W124" s="1032"/>
      <c r="X124" s="1032"/>
      <c r="Y124" s="1032"/>
      <c r="Z124" s="1032"/>
      <c r="AA124" s="1032"/>
      <c r="AB124" s="1032"/>
      <c r="AC124" s="1033"/>
      <c r="AD124" s="271"/>
      <c r="AE124" s="216"/>
      <c r="AF124" s="106"/>
      <c r="AG124" s="4"/>
      <c r="AH124" s="4">
        <f>IF(AA89=Ceny_n!$B$184,IF(AI80=1,Ceny!$F$940,IF(AI80=2,Ceny!$G$940,0)),0)</f>
        <v>0</v>
      </c>
      <c r="AI124" s="4"/>
      <c r="AJ124" s="4"/>
      <c r="AK124" s="4"/>
      <c r="AL124" s="4"/>
      <c r="AM124" s="4"/>
      <c r="AN124" s="4"/>
      <c r="AO124" s="4"/>
      <c r="AP124" s="4"/>
      <c r="AQ124" s="4"/>
      <c r="AR124" s="4"/>
      <c r="AS124" s="4"/>
      <c r="AT124" s="4"/>
      <c r="AU124" s="4"/>
      <c r="AV124" s="4"/>
      <c r="AW124" s="4"/>
      <c r="AX124" s="4"/>
      <c r="AY124" s="4"/>
      <c r="AZ124" s="256"/>
      <c r="BA124" s="256"/>
    </row>
    <row r="125" spans="2:57" s="178" customFormat="1" ht="6.9" customHeight="1" x14ac:dyDescent="0.3">
      <c r="B125" s="1026"/>
      <c r="C125" s="1027"/>
      <c r="D125" s="1027"/>
      <c r="E125" s="1027"/>
      <c r="F125" s="1027"/>
      <c r="G125" s="1032"/>
      <c r="H125" s="1032"/>
      <c r="I125" s="1032"/>
      <c r="J125" s="1032"/>
      <c r="K125" s="1032"/>
      <c r="L125" s="1032"/>
      <c r="M125" s="1032"/>
      <c r="N125" s="1032"/>
      <c r="O125" s="1032"/>
      <c r="P125" s="1032"/>
      <c r="Q125" s="1032"/>
      <c r="R125" s="1032"/>
      <c r="S125" s="1032"/>
      <c r="T125" s="1032"/>
      <c r="U125" s="1032"/>
      <c r="V125" s="1032"/>
      <c r="W125" s="1032"/>
      <c r="X125" s="1032"/>
      <c r="Y125" s="1032"/>
      <c r="Z125" s="1032"/>
      <c r="AA125" s="1032"/>
      <c r="AB125" s="1032"/>
      <c r="AC125" s="1033"/>
      <c r="AD125" s="271"/>
      <c r="AE125" s="216"/>
      <c r="AF125" s="106"/>
      <c r="AG125" s="4"/>
      <c r="AH125" s="4">
        <f>IF(AA89=Ceny_n!$B$184,IF(AI80=1,Ceny!$F$941,IF(AI80=2,Ceny!$G$941,0)),0)</f>
        <v>0</v>
      </c>
      <c r="AI125" s="4"/>
      <c r="AJ125" s="4"/>
      <c r="AK125" s="4"/>
      <c r="AL125" s="4"/>
      <c r="AM125" s="4"/>
      <c r="AN125" s="4"/>
      <c r="AO125" s="4"/>
      <c r="AP125" s="4"/>
      <c r="AQ125" s="4"/>
      <c r="AR125" s="4"/>
      <c r="AS125" s="4"/>
      <c r="AT125" s="4"/>
      <c r="AU125" s="4"/>
      <c r="AV125" s="4"/>
      <c r="AW125" s="4"/>
      <c r="AX125" s="4"/>
      <c r="AY125" s="4"/>
      <c r="AZ125" s="256"/>
      <c r="BA125" s="256"/>
    </row>
    <row r="126" spans="2:57" s="178" customFormat="1" ht="6.9" customHeight="1" x14ac:dyDescent="0.3">
      <c r="B126" s="1028"/>
      <c r="C126" s="1029"/>
      <c r="D126" s="1029"/>
      <c r="E126" s="1029"/>
      <c r="F126" s="1029"/>
      <c r="G126" s="1034"/>
      <c r="H126" s="1034"/>
      <c r="I126" s="1034"/>
      <c r="J126" s="1034"/>
      <c r="K126" s="1034"/>
      <c r="L126" s="1034"/>
      <c r="M126" s="1034"/>
      <c r="N126" s="1034"/>
      <c r="O126" s="1034"/>
      <c r="P126" s="1034"/>
      <c r="Q126" s="1034"/>
      <c r="R126" s="1034"/>
      <c r="S126" s="1034"/>
      <c r="T126" s="1034"/>
      <c r="U126" s="1034"/>
      <c r="V126" s="1034"/>
      <c r="W126" s="1034"/>
      <c r="X126" s="1034"/>
      <c r="Y126" s="1034"/>
      <c r="Z126" s="1034"/>
      <c r="AA126" s="1034"/>
      <c r="AB126" s="1034"/>
      <c r="AC126" s="1035"/>
      <c r="AD126" s="271"/>
      <c r="AE126" s="216"/>
      <c r="AF126" s="106"/>
      <c r="AG126" s="4"/>
      <c r="AH126" s="4">
        <f>IF(AA89=Ceny_n!$B$184,IF(AI80=1,Ceny!$F$942,IF(AI80=2,Ceny!$G$942,0)),0)</f>
        <v>0</v>
      </c>
      <c r="AI126" s="4"/>
      <c r="AJ126" s="4"/>
      <c r="AK126" s="4"/>
      <c r="AL126" s="4"/>
      <c r="AM126" s="4"/>
      <c r="AN126" s="4"/>
      <c r="AO126" s="4"/>
      <c r="AP126" s="4"/>
      <c r="AQ126" s="4"/>
      <c r="AR126" s="4"/>
      <c r="AS126" s="4"/>
      <c r="AT126" s="4"/>
      <c r="AU126" s="4"/>
      <c r="AV126" s="4"/>
      <c r="AW126" s="4"/>
      <c r="AX126" s="4"/>
      <c r="AY126" s="4"/>
      <c r="AZ126" s="256"/>
      <c r="BA126" s="256"/>
    </row>
    <row r="127" spans="2:57" s="178" customFormat="1" ht="7.5" customHeight="1" x14ac:dyDescent="0.3">
      <c r="B127" s="111"/>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3"/>
      <c r="AD127" s="272"/>
      <c r="AE127" s="217"/>
      <c r="AF127" s="106"/>
      <c r="AG127" s="4"/>
      <c r="AH127" s="4" t="s">
        <v>684</v>
      </c>
      <c r="AI127" s="4"/>
      <c r="AJ127" s="4"/>
      <c r="AK127" s="4"/>
      <c r="AL127" s="4"/>
      <c r="AM127" s="4"/>
      <c r="AN127" s="4"/>
      <c r="AO127" s="4"/>
      <c r="AP127" s="4"/>
      <c r="AQ127" s="4"/>
      <c r="AR127" s="4"/>
      <c r="AS127" s="4"/>
      <c r="AT127" s="4"/>
      <c r="AU127" s="4"/>
      <c r="AV127" s="4"/>
      <c r="AW127" s="4"/>
      <c r="AX127" s="4"/>
      <c r="AY127" s="4"/>
      <c r="AZ127" s="256"/>
      <c r="BA127" s="256"/>
    </row>
    <row r="128" spans="2:57" s="4" customFormat="1" ht="25.8" x14ac:dyDescent="0.3">
      <c r="B128" s="141" t="s">
        <v>2</v>
      </c>
      <c r="C128" s="1090" t="str">
        <f>Ceny_n!$B$129</f>
        <v>Rámeček</v>
      </c>
      <c r="D128" s="1090"/>
      <c r="E128" s="1090"/>
      <c r="F128" s="1090"/>
      <c r="G128" s="1090"/>
      <c r="H128" s="1090"/>
      <c r="I128" s="1090"/>
      <c r="J128" s="1090"/>
      <c r="K128" s="1090"/>
      <c r="L128" s="1090"/>
      <c r="M128" s="1090"/>
      <c r="N128" s="1090"/>
      <c r="O128" s="1090"/>
      <c r="P128" s="1090"/>
      <c r="Q128" s="1090"/>
      <c r="R128" s="1090"/>
      <c r="S128" s="1090"/>
      <c r="T128" s="1090"/>
      <c r="U128" s="1090"/>
      <c r="V128" s="1090"/>
      <c r="W128" s="1090"/>
      <c r="X128" s="1090"/>
      <c r="Y128" s="1090"/>
      <c r="Z128" s="1090"/>
      <c r="AA128" s="1090"/>
      <c r="AB128" s="1090"/>
      <c r="AC128" s="1091"/>
      <c r="AD128" s="263"/>
      <c r="AE128" s="205"/>
      <c r="AF128" s="106"/>
      <c r="AZ128" s="256"/>
      <c r="BA128" s="256"/>
    </row>
    <row r="129" spans="2:59" s="4" customFormat="1" ht="15" thickBot="1" x14ac:dyDescent="0.35">
      <c r="B129" s="96"/>
      <c r="Y129" s="53"/>
      <c r="Z129" s="53"/>
      <c r="AA129" s="53"/>
      <c r="AB129" s="53"/>
      <c r="AC129" s="93"/>
      <c r="AD129" s="273" t="s">
        <v>1199</v>
      </c>
      <c r="AE129" s="206"/>
      <c r="AF129" s="106"/>
      <c r="AJ129" s="1092" t="s">
        <v>1525</v>
      </c>
      <c r="AK129" s="1092"/>
      <c r="AZ129" s="256"/>
      <c r="BA129" s="256"/>
    </row>
    <row r="130" spans="2:59" s="178" customFormat="1" ht="15" thickBot="1" x14ac:dyDescent="0.35">
      <c r="B130" s="97"/>
      <c r="C130" s="4"/>
      <c r="D130" s="1093" t="str">
        <f>IF(H130=1,AC139,"")</f>
        <v/>
      </c>
      <c r="E130" s="1094"/>
      <c r="F130" s="1094"/>
      <c r="G130" s="1094"/>
      <c r="H130" s="50">
        <f>IF(AG162=3,1,0)</f>
        <v>0</v>
      </c>
      <c r="I130" s="50"/>
      <c r="J130" s="50"/>
      <c r="K130" s="50" t="b">
        <f>IF(AG162=3,IF(AC138=4,1,0))</f>
        <v>0</v>
      </c>
      <c r="L130" s="50"/>
      <c r="M130" s="50" t="b">
        <f>IF(AG162=3,IF(AC138=3,1,0))</f>
        <v>0</v>
      </c>
      <c r="N130" s="50"/>
      <c r="O130" s="50" t="b">
        <f>IF(AG162=3,IF(AC138=4,1,0))</f>
        <v>0</v>
      </c>
      <c r="P130" s="50"/>
      <c r="Q130" s="50"/>
      <c r="R130" s="50">
        <f>IF(AG162=3,1,0)</f>
        <v>0</v>
      </c>
      <c r="S130" s="1095" t="str">
        <f>IF(R130=1,AC139,"")</f>
        <v/>
      </c>
      <c r="T130" s="1095"/>
      <c r="U130" s="1095"/>
      <c r="V130" s="1095"/>
      <c r="W130" s="1096"/>
      <c r="X130" s="53"/>
      <c r="Y130" s="54"/>
      <c r="Z130" s="4"/>
      <c r="AA130" s="948"/>
      <c r="AB130" s="948"/>
      <c r="AC130" s="98"/>
      <c r="AD130" s="257"/>
      <c r="AE130" s="199"/>
      <c r="AF130" s="106"/>
      <c r="AG130" s="4" t="s">
        <v>87</v>
      </c>
      <c r="AH130" s="4" t="s">
        <v>88</v>
      </c>
      <c r="AI130" s="4" t="s">
        <v>89</v>
      </c>
      <c r="AJ130" s="4" t="s">
        <v>6</v>
      </c>
      <c r="AK130" s="4"/>
      <c r="AL130" s="4" t="s">
        <v>99</v>
      </c>
      <c r="AM130" s="4" t="s">
        <v>90</v>
      </c>
      <c r="AN130" s="4" t="s">
        <v>109</v>
      </c>
      <c r="AO130" s="4"/>
      <c r="AP130" s="4" t="s">
        <v>91</v>
      </c>
      <c r="AQ130" s="4"/>
      <c r="AR130" s="4" t="s">
        <v>93</v>
      </c>
      <c r="AS130" s="4" t="s">
        <v>92</v>
      </c>
      <c r="AT130" s="4"/>
      <c r="AU130" s="4"/>
      <c r="AV130" s="4"/>
      <c r="AW130" s="4"/>
      <c r="AX130" s="4"/>
      <c r="AY130" s="4"/>
      <c r="AZ130" s="256"/>
      <c r="BA130" s="256"/>
      <c r="BB130" s="178">
        <v>0</v>
      </c>
      <c r="BD130" s="178" t="e">
        <f>IF(ISNA(VLOOKUP(AC136,#REF!,14,FALSE)),2,IF(VLOOKUP(AC136,#REF!,14,FALSE)="N",1,2))</f>
        <v>#REF!</v>
      </c>
    </row>
    <row r="131" spans="2:59" s="178" customFormat="1" ht="18" customHeight="1" x14ac:dyDescent="0.4">
      <c r="B131" s="97"/>
      <c r="C131" s="4"/>
      <c r="D131" s="1081" t="str">
        <f>IF(D135=1,AC139,"")</f>
        <v/>
      </c>
      <c r="E131" s="55"/>
      <c r="F131" s="56"/>
      <c r="G131" s="56"/>
      <c r="H131" s="56"/>
      <c r="I131" s="56"/>
      <c r="J131" s="56"/>
      <c r="K131" s="56"/>
      <c r="L131" s="56"/>
      <c r="M131" s="56"/>
      <c r="N131" s="56"/>
      <c r="O131" s="56"/>
      <c r="P131" s="56"/>
      <c r="Q131" s="56"/>
      <c r="R131" s="56"/>
      <c r="S131" s="56"/>
      <c r="T131" s="56"/>
      <c r="U131" s="56"/>
      <c r="V131" s="57"/>
      <c r="W131" s="1081" t="str">
        <f>IF(W135=1,AC139,"")</f>
        <v/>
      </c>
      <c r="X131" s="53"/>
      <c r="Y131" s="4"/>
      <c r="Z131" s="4"/>
      <c r="AA131" s="1097" t="str">
        <f>Ceny_n!$B$132</f>
        <v>Typ profilu</v>
      </c>
      <c r="AB131" s="1098"/>
      <c r="AC131" s="250" t="s">
        <v>258</v>
      </c>
      <c r="AD131" s="207" t="s">
        <v>1687</v>
      </c>
      <c r="AE131" s="207"/>
      <c r="AF131" s="106">
        <f>IF(AC135=AV_HL_SD,TYP_RAM,AG136)</f>
        <v>0</v>
      </c>
      <c r="AG131" s="4" t="e">
        <f>VLOOKUP(AC131,$B$348:$D$391,2,0)</f>
        <v>#N/A</v>
      </c>
      <c r="AH131" s="4" t="e">
        <f>AG131*(((L160/1000)+(Y136/1000))*2)</f>
        <v>#N/A</v>
      </c>
      <c r="AI131" s="4" t="e">
        <f>AH131*AC133</f>
        <v>#N/A</v>
      </c>
      <c r="AJ131" s="4" t="e">
        <f>VLOOKUP(AC131,$B$348:$D$391,3,0)</f>
        <v>#N/A</v>
      </c>
      <c r="AK131" s="4"/>
      <c r="AL131" s="4" t="e">
        <f>VLOOKUP(AC131,$B$348:$I$392,AH135,0)</f>
        <v>#N/A</v>
      </c>
      <c r="AM131" s="4" t="e">
        <f>AJ131*AC133</f>
        <v>#N/A</v>
      </c>
      <c r="AN131" s="4" t="e">
        <f>AL131*AC133</f>
        <v>#N/A</v>
      </c>
      <c r="AO131" s="4"/>
      <c r="AP131" s="4">
        <f>VLOOKUP(AC132,$B$403:$C$477,2,0)</f>
        <v>0</v>
      </c>
      <c r="AQ131" s="4"/>
      <c r="AR131" s="4">
        <f>(L160/1000)*(Y136/1000)*AP131</f>
        <v>0</v>
      </c>
      <c r="AS131" s="4">
        <f>AR131*AC133</f>
        <v>0</v>
      </c>
      <c r="AT131" s="4"/>
      <c r="AU131" s="4"/>
      <c r="AV131" s="4"/>
      <c r="AW131" s="4"/>
      <c r="AX131" s="4"/>
      <c r="AY131" s="4"/>
      <c r="AZ131" s="256"/>
      <c r="BA131" s="256"/>
      <c r="BB131" s="1099" t="s">
        <v>1178</v>
      </c>
      <c r="BC131" s="1099"/>
      <c r="BD131" s="1099"/>
      <c r="BE131" s="1099"/>
      <c r="BF131" s="1099"/>
      <c r="BG131" s="1099"/>
    </row>
    <row r="132" spans="2:59" s="178" customFormat="1" ht="18" customHeight="1" thickBot="1" x14ac:dyDescent="0.35">
      <c r="B132" s="97"/>
      <c r="C132" s="4"/>
      <c r="D132" s="1081"/>
      <c r="E132" s="58"/>
      <c r="F132" s="59"/>
      <c r="G132" s="59"/>
      <c r="H132" s="59"/>
      <c r="I132" s="59"/>
      <c r="J132" s="59"/>
      <c r="K132" s="59"/>
      <c r="L132" s="59"/>
      <c r="M132" s="59"/>
      <c r="N132" s="59"/>
      <c r="O132" s="59"/>
      <c r="P132" s="59"/>
      <c r="Q132" s="59"/>
      <c r="R132" s="59"/>
      <c r="S132" s="59"/>
      <c r="T132" s="59"/>
      <c r="U132" s="59"/>
      <c r="V132" s="60"/>
      <c r="W132" s="1081"/>
      <c r="X132" s="53"/>
      <c r="Y132" s="4"/>
      <c r="Z132" s="4"/>
      <c r="AA132" s="1084" t="str">
        <f>Ceny_n!$B$133</f>
        <v>Typ skla</v>
      </c>
      <c r="AB132" s="1085"/>
      <c r="AC132" s="251"/>
      <c r="AD132" s="207" t="s">
        <v>1523</v>
      </c>
      <c r="AE132" s="208"/>
      <c r="AF132" s="178" t="str">
        <f>Ceny_n!$B$199</f>
        <v>Vyberte ze seznamu</v>
      </c>
      <c r="AG132" s="4" t="s">
        <v>220</v>
      </c>
      <c r="AH132" s="4" t="s">
        <v>226</v>
      </c>
      <c r="AI132" s="4" t="s">
        <v>227</v>
      </c>
      <c r="AJ132" s="4" t="s">
        <v>371</v>
      </c>
      <c r="AK132" s="4"/>
      <c r="AL132" s="4" t="s">
        <v>29</v>
      </c>
      <c r="AM132" s="4"/>
      <c r="AN132" s="4"/>
      <c r="AO132" s="4"/>
      <c r="AP132" s="4"/>
      <c r="AQ132" s="4"/>
      <c r="AR132" s="4"/>
      <c r="AS132" s="4"/>
      <c r="AT132" s="4"/>
      <c r="AU132" s="4"/>
      <c r="AV132" s="4"/>
      <c r="AW132" s="4"/>
      <c r="AX132" s="4"/>
      <c r="AY132" s="4"/>
      <c r="AZ132" s="256"/>
      <c r="BA132" s="256"/>
      <c r="BB132" s="219" t="s">
        <v>1058</v>
      </c>
      <c r="BC132" s="220" t="s">
        <v>1064</v>
      </c>
      <c r="BD132" s="223" t="s">
        <v>1085</v>
      </c>
      <c r="BE132" s="223"/>
      <c r="BF132" s="178" t="s">
        <v>1173</v>
      </c>
      <c r="BG132" s="178" t="s">
        <v>1174</v>
      </c>
    </row>
    <row r="133" spans="2:59" s="178" customFormat="1" ht="18" customHeight="1" thickBot="1" x14ac:dyDescent="0.35">
      <c r="B133" s="97"/>
      <c r="C133" s="4"/>
      <c r="D133" s="1081"/>
      <c r="E133" s="58"/>
      <c r="F133" s="59"/>
      <c r="G133" s="59"/>
      <c r="H133" s="59"/>
      <c r="I133" s="59"/>
      <c r="J133" s="59"/>
      <c r="K133" s="59"/>
      <c r="L133" s="59"/>
      <c r="M133" s="59"/>
      <c r="N133" s="59"/>
      <c r="O133" s="59"/>
      <c r="P133" s="59"/>
      <c r="Q133" s="59"/>
      <c r="R133" s="59"/>
      <c r="S133" s="59"/>
      <c r="T133" s="59"/>
      <c r="U133" s="59"/>
      <c r="V133" s="60"/>
      <c r="W133" s="1081"/>
      <c r="X133" s="53"/>
      <c r="Y133" s="4"/>
      <c r="Z133" s="4"/>
      <c r="AA133" s="1084" t="str">
        <f>Ceny_n!$B$134</f>
        <v>Počet kusů</v>
      </c>
      <c r="AB133" s="1085"/>
      <c r="AC133" s="251"/>
      <c r="AD133" s="207" t="s">
        <v>1202</v>
      </c>
      <c r="AE133" s="208"/>
      <c r="AF133" s="178" t="str">
        <f>IF(AC131=AF132,"",Ceny!$B$141)</f>
        <v/>
      </c>
      <c r="AG133" s="4">
        <f>VLOOKUP(AR134,Ceny!$B$847:$D$917,3,0)</f>
        <v>0</v>
      </c>
      <c r="AH133" s="4" t="e">
        <f>VLOOKUP(AW134,Ceny!$B$847:$D$917,3,0)</f>
        <v>#REF!</v>
      </c>
      <c r="AI133" s="4" t="e">
        <f>(AG133+AH133)*AC133*AC138</f>
        <v>#REF!</v>
      </c>
      <c r="AJ133" s="4">
        <f>IF(AC143=0,0,VLOOKUP(AC143,AI157:AY171,13,0))</f>
        <v>0</v>
      </c>
      <c r="AK133" s="4"/>
      <c r="AL133" s="4">
        <f>AG153*AC133*AJ133</f>
        <v>0</v>
      </c>
      <c r="AM133" s="4"/>
      <c r="AN133" s="4"/>
      <c r="AO133" s="4"/>
      <c r="AP133" s="1092" t="s">
        <v>1526</v>
      </c>
      <c r="AQ133" s="1092"/>
      <c r="AR133" s="4"/>
      <c r="AS133" s="4"/>
      <c r="AT133" s="4"/>
      <c r="AU133" s="4"/>
      <c r="AV133" s="4"/>
      <c r="AW133" s="4"/>
      <c r="AX133" s="4"/>
      <c r="AY133" s="4"/>
      <c r="AZ133" s="256"/>
      <c r="BA133" s="256"/>
      <c r="BB133" s="61" t="e">
        <f t="array" ref="BB133:BB150">IF(AI134=1,PANT_HETTICH_WIDE,PANT_HETTICH_SLIM)</f>
        <v>#REF!</v>
      </c>
      <c r="BC133" s="227" t="e">
        <f t="array" ref="BC133:BC150">IF(AI134=2,PANT_BLUM_WIDE,PANT_BLUM_SLIM)</f>
        <v>#REF!</v>
      </c>
      <c r="BD133" s="61" t="e">
        <f t="array" ref="BD133:BD173">IF(ISNA(IF(AND(AI134=2,AC142=NAHORE),VYKLOP_UP_WIDE,
IF(AND(AI134=2,AC142=DOLE),VYKLOP_DWN_WIDE,
IF(AND(AI134=1,AC142=NAHORE),VYKLOP_UP_SLIM,
IF(AND(AI134=1,AC142=DOLE),VYKLOP_DWN_SLIM,""))))),"",IF(BD130=2,"",IF(AND(AI134=2,AC142=NAHORE),VYKLOP_UP_WIDE,
IF(AND(AI134=2,AC142=DOLE),VYKLOP_DWN_WIDE,
IF(AND(AI134=1,AC142=NAHORE),VYKLOP_UP_SLIM,
IF(AND(AI134=1,AC142=DOLE),VYKLOP_DWN_SLIM,""))))))</f>
        <v>#REF!</v>
      </c>
      <c r="BE133" s="178" t="e">
        <f>IF(OR(ISNA(BD133),BD133="",BD133=0),"",1)</f>
        <v>#REF!</v>
      </c>
      <c r="BF133" s="61" t="e">
        <f t="array" ref="BF133:BF149">IF(AI134=1,PANT_STRONG_SLIM_BTL,PANT_STRONG_WIDE_BTL)</f>
        <v>#REF!</v>
      </c>
      <c r="BG133" s="61" t="e">
        <f t="array" ref="BG133:BG149">IF(AI134=1,PANT_STRONG_SLIM_STL,PANT_STRONG_WIDE_STL)</f>
        <v>#REF!</v>
      </c>
    </row>
    <row r="134" spans="2:59" s="178" customFormat="1" ht="18" customHeight="1" thickBot="1" x14ac:dyDescent="0.45">
      <c r="B134" s="97"/>
      <c r="C134" s="4"/>
      <c r="D134" s="1081"/>
      <c r="E134" s="58"/>
      <c r="F134" s="59"/>
      <c r="G134" s="59"/>
      <c r="H134" s="59"/>
      <c r="I134" s="59"/>
      <c r="J134" s="59"/>
      <c r="K134" s="59"/>
      <c r="L134" s="59"/>
      <c r="M134" s="59"/>
      <c r="N134" s="59"/>
      <c r="O134" s="59"/>
      <c r="P134" s="59"/>
      <c r="Q134" s="59"/>
      <c r="R134" s="59"/>
      <c r="S134" s="59"/>
      <c r="T134" s="59"/>
      <c r="U134" s="59"/>
      <c r="V134" s="60"/>
      <c r="W134" s="1081"/>
      <c r="X134" s="53"/>
      <c r="Y134" s="4"/>
      <c r="Z134" s="4"/>
      <c r="AA134" s="1084" t="str">
        <f>Ceny_n!$B$215</f>
        <v>Typ kování</v>
      </c>
      <c r="AB134" s="1085"/>
      <c r="AC134" s="251"/>
      <c r="AD134" s="207" t="s">
        <v>1196</v>
      </c>
      <c r="AE134" s="208"/>
      <c r="AF134" s="106" t="str">
        <f>IF(AC131=AF132,"",AV_HF)</f>
        <v/>
      </c>
      <c r="AG134" s="4"/>
      <c r="AH134" s="4"/>
      <c r="AI134" s="4">
        <f>IF(AC131=AF132,0,VLOOKUP(AC131,#REF!,2,0))</f>
        <v>0</v>
      </c>
      <c r="AJ134" s="235" t="str">
        <f>IF(AC134=AV_HF,HOR_DV,
IF(AC134=AV_HF_SD,HOR_DV,
IF(AC134=AV_OST,AV_HK,
IF(AC134=ZAVESY,PRAZDNE_1,""))))</f>
        <v/>
      </c>
      <c r="AK134" s="236" t="str">
        <f t="shared" ref="AK134:AK145" si="15">IF(OR(ISNA(AJ134),AJ134=""),"",1)</f>
        <v/>
      </c>
      <c r="AL134" s="948" t="s">
        <v>21</v>
      </c>
      <c r="AM134" s="948"/>
      <c r="AN134" s="948"/>
      <c r="AO134" s="247"/>
      <c r="AP134" s="4">
        <f>IF(AE136=AP135,1,IF(AE136=AP136,2,IF(AE136=AP137,3,IF(AE136=AP138,4,IF(AE136=AP139,5,IF(AE136=AP140,6,IF(AE136=AP141,7,0)))))))</f>
        <v>1</v>
      </c>
      <c r="AQ134" s="4"/>
      <c r="AR134" s="218">
        <f>VLOOKUP(AP134,AL135:AR450,5,0)</f>
        <v>0</v>
      </c>
      <c r="AS134" s="1100" t="s">
        <v>1182</v>
      </c>
      <c r="AT134" s="1100"/>
      <c r="AU134" s="4" t="e">
        <f>IF(AE137=AU135,1,IF(AE137=AU136,2,0))</f>
        <v>#REF!</v>
      </c>
      <c r="AV134" s="4"/>
      <c r="AW134" s="4" t="e">
        <f>VLOOKUP(AU134,AL135:AS136,6,0)</f>
        <v>#REF!</v>
      </c>
      <c r="AX134" s="4"/>
      <c r="AY134" s="4"/>
      <c r="AZ134" s="256"/>
      <c r="BA134" s="256"/>
      <c r="BB134" s="62" t="e">
        <v>#REF!</v>
      </c>
      <c r="BC134" s="228" t="e">
        <v>#REF!</v>
      </c>
      <c r="BD134" s="62" t="e">
        <v>#REF!</v>
      </c>
      <c r="BE134" s="178" t="e">
        <f t="shared" ref="BE134:BE173" si="16">IF(OR(ISNA(BD134),BD134="",BD134=0),"",1)</f>
        <v>#REF!</v>
      </c>
      <c r="BF134" s="62" t="e">
        <v>#REF!</v>
      </c>
      <c r="BG134" s="62" t="e">
        <v>#REF!</v>
      </c>
    </row>
    <row r="135" spans="2:59" s="178" customFormat="1" ht="18" customHeight="1" x14ac:dyDescent="0.35">
      <c r="B135" s="97"/>
      <c r="C135" s="4"/>
      <c r="D135" s="49">
        <f>IF(AG162=2,1,0)</f>
        <v>0</v>
      </c>
      <c r="E135" s="58"/>
      <c r="F135" s="59"/>
      <c r="G135" s="59"/>
      <c r="H135" s="59"/>
      <c r="I135" s="59"/>
      <c r="J135" s="59"/>
      <c r="K135" s="59"/>
      <c r="L135" s="59"/>
      <c r="M135" s="59"/>
      <c r="N135" s="59"/>
      <c r="O135" s="59"/>
      <c r="P135" s="59"/>
      <c r="Q135" s="59"/>
      <c r="R135" s="59"/>
      <c r="S135" s="59"/>
      <c r="T135" s="59"/>
      <c r="U135" s="59"/>
      <c r="V135" s="60"/>
      <c r="W135" s="49">
        <f>IF(AG162=1,1,0)</f>
        <v>0</v>
      </c>
      <c r="X135" s="53"/>
      <c r="Y135" s="4"/>
      <c r="Z135" s="4"/>
      <c r="AA135" s="1084">
        <f>IF(AC134=AV_HF,POZ_RAM,
IF(AC134=AV_HF_SD,POZ_RAM,
IF(AC134=ZAVESY,VYR_ZAVES,
IF(AC134=AV_OST,TYP_AV,0))))</f>
        <v>0</v>
      </c>
      <c r="AB135" s="1085"/>
      <c r="AC135" s="252"/>
      <c r="AD135" s="265" t="s">
        <v>1208</v>
      </c>
      <c r="AE135" s="209"/>
      <c r="AF135" s="106" t="str">
        <f>IF(AC131=AF132,"",AV_HF_SD)</f>
        <v/>
      </c>
      <c r="AG135" s="4"/>
      <c r="AH135" s="4">
        <f>IF(AC134=AV_HF,5,IF(AC134=AV_HF_SD,5,IF(AC134=AV_OST,5,8)))</f>
        <v>8</v>
      </c>
      <c r="AI135" s="232">
        <f>IF(AI134=1,$B$480,IF(AI134=2,$B$484,0))</f>
        <v>0</v>
      </c>
      <c r="AJ135" s="237" t="str">
        <f>IF(AC134=AV_HF,DOL_DV,
IF(AC134=AV_HF_SD,DOL_DV,
IF(AC134=AV_OST,AV_HK_TIP,
IF(AC134=ZAVESY,BLUM,""))))</f>
        <v/>
      </c>
      <c r="AK135" s="238" t="str">
        <f t="shared" si="15"/>
        <v/>
      </c>
      <c r="AL135" s="4">
        <v>1</v>
      </c>
      <c r="AM135" s="4">
        <f>IF(AC135=PRAZDNE_1,AI135,IF(AC135=BLUM,BC133,IF(AC135=STRONG_INT_TL,AI152,IF(AC135=STRONG_BINT_TL,AI148,IF(AC135=HETTICH,BB133,"")))))</f>
        <v>0</v>
      </c>
      <c r="AN135" s="4" t="str">
        <f t="shared" ref="AN135:AN149" si="17">IF(ISNA(VLOOKUP(AM135,$B$480:$C$615,2,0)),"",VLOOKUP(AM135,$B$480:$C$615,2,0))</f>
        <v/>
      </c>
      <c r="AO135" s="4" t="str">
        <f>CONCATENATE(AN135," (",AM135,")")</f>
        <v xml:space="preserve"> (0)</v>
      </c>
      <c r="AP135" s="241">
        <f t="array" ref="AP135:AP160">IF(OR(AC134=AV_HF,AC134=AV_HF_SD),HF_TYP_2_CILKA,
IF(AC135=AV_HL,TYP_RAM_AV_HL1,
IF(AC135=AV_HL_SD,TYP_RAM_AV_HL,
IF(OR(AC135=AV_HKXS,AC135=AV_HKXS_TIP),UMISTENI_RAM_HKXS,
IF(AC135=HETTICH,T1_PANT_HETTICH,
IF(AC135=BLUM,T1_PANT_BLUM,
IF(AC135=STRONG_BINT_TL,T1_PANT_STRONG_BTL,
IF(AC135=STRONG_INT_TL,T1_PANT_STRONG_STL,PRAZDNE_1))))))))</f>
        <v>0</v>
      </c>
      <c r="AQ135" s="236" t="str">
        <f>IF(OR(ISNA(AP135),AP135=0),"",1)</f>
        <v/>
      </c>
      <c r="AR135" s="4"/>
      <c r="AS135" s="244" t="e">
        <f>VLOOKUP(AR134,#REF!,8,0)</f>
        <v>#REF!</v>
      </c>
      <c r="AT135" s="236" t="e">
        <f>IF(OR(ISNA(AS135),AS135=0),"",1)</f>
        <v>#REF!</v>
      </c>
      <c r="AU135" s="4" t="e">
        <f>IF(OR(ISNA(AS135),AS135=0),PRAZDNE_1,VLOOKUP(AR134,#REF!,5,FALSE))</f>
        <v>#REF!</v>
      </c>
      <c r="AV135" s="4"/>
      <c r="AW135" s="4"/>
      <c r="AX135" s="4"/>
      <c r="AY135" s="4"/>
      <c r="AZ135" s="256"/>
      <c r="BA135" s="256"/>
      <c r="BB135" s="62" t="e">
        <v>#REF!</v>
      </c>
      <c r="BC135" s="228" t="e">
        <v>#REF!</v>
      </c>
      <c r="BD135" s="62" t="e">
        <v>#REF!</v>
      </c>
      <c r="BE135" s="178" t="e">
        <f t="shared" si="16"/>
        <v>#REF!</v>
      </c>
      <c r="BF135" s="62" t="e">
        <v>#REF!</v>
      </c>
      <c r="BG135" s="62" t="e">
        <v>#REF!</v>
      </c>
    </row>
    <row r="136" spans="2:59" s="178" customFormat="1" ht="18" customHeight="1" x14ac:dyDescent="0.5">
      <c r="B136" s="97"/>
      <c r="C136" s="4"/>
      <c r="D136" s="49"/>
      <c r="E136" s="58"/>
      <c r="F136" s="59"/>
      <c r="G136" s="59"/>
      <c r="H136" s="59"/>
      <c r="I136" s="59"/>
      <c r="J136" s="59"/>
      <c r="K136" s="59"/>
      <c r="L136" s="59"/>
      <c r="M136" s="59"/>
      <c r="N136" s="59"/>
      <c r="O136" s="59"/>
      <c r="P136" s="59"/>
      <c r="Q136" s="59"/>
      <c r="R136" s="44"/>
      <c r="S136" s="44"/>
      <c r="T136" s="44"/>
      <c r="U136" s="44"/>
      <c r="V136" s="45"/>
      <c r="W136" s="49"/>
      <c r="X136" s="53"/>
      <c r="Y136" s="1086"/>
      <c r="Z136" s="1106"/>
      <c r="AA136" s="1084">
        <f>IF(AC135=AV_HF,HM_UCH,
IF(OR('Běžné rámečky'!AC135=AV_HKS,'Běžné rámečky'!AC135=AV_HS),HM_UCH,
IF(AC135=AV_HL,TYP_RAM,
IF(AC134=ZAVESY,TYP_ZAV,
IF(AC134=AV_HF,PROV_2_CILKA,
IF(AC134=AV_HF_SD,PROV_2_CILKA,
IF(AC135=AV_HK_SD,HM_UCH,
IF(AC135=AV_HK,HM_UCH,
IF(AC135=AV_HKXS,POZICE_RAMENE,
IF(AC135=AV_HKXS_TIP,POZICE_RAMENE,AF131))))))))))</f>
        <v>0</v>
      </c>
      <c r="AB136" s="1085"/>
      <c r="AC136" s="281"/>
      <c r="AD136" s="266" t="s">
        <v>1209</v>
      </c>
      <c r="AE136" s="210">
        <f>IF(AA136=HM_UCH,0,AC136)</f>
        <v>0</v>
      </c>
      <c r="AF136" s="106" t="str">
        <f>IF(AC131=AF132,"",AV_OST)</f>
        <v/>
      </c>
      <c r="AG136" s="4">
        <f>IF(AC135=AV_HL_SD,HM_UCH,IF(AC135=AV_HS_SD,HM_UCH,0))</f>
        <v>0</v>
      </c>
      <c r="AH136" s="4"/>
      <c r="AI136" s="233">
        <f>IF(AI134=1,$B$481,IF(AI134=2,$B$485,0))</f>
        <v>0</v>
      </c>
      <c r="AJ136" s="237" t="str">
        <f>IF(AC134=AV_OST,AV_HK_SD,
IF(AC134=ZAVESY,HETTICH,""))</f>
        <v/>
      </c>
      <c r="AK136" s="238" t="str">
        <f t="shared" si="15"/>
        <v/>
      </c>
      <c r="AL136" s="4">
        <v>2</v>
      </c>
      <c r="AM136" s="4">
        <f>IF(AC135=PRAZDNE_1,AI136,IF(AC135=BLUM,BC134,IF(AC135=STRONG_INT_TL,AI153,IF(AC135=STRONG_BINT_TL,AI149,IF(AC135=HETTICH,BB134,"")))))</f>
        <v>0</v>
      </c>
      <c r="AN136" s="4" t="str">
        <f t="shared" si="17"/>
        <v/>
      </c>
      <c r="AO136" s="4" t="str">
        <f t="shared" ref="AO136:AO160" si="18">CONCATENATE(AN136," (",AM136,")")</f>
        <v xml:space="preserve"> (0)</v>
      </c>
      <c r="AP136" s="242">
        <v>0</v>
      </c>
      <c r="AQ136" s="238" t="str">
        <f t="shared" ref="AQ136:AQ160" si="19">IF(OR(ISNA(AP136),AP136=0),"",1)</f>
        <v/>
      </c>
      <c r="AR136" s="4"/>
      <c r="AS136" s="245" t="e">
        <f>VLOOKUP(AR134,#REF!,9,0)</f>
        <v>#REF!</v>
      </c>
      <c r="AT136" s="238" t="e">
        <f t="shared" ref="AT136:AT144" si="20">IF(OR(ISNA(AS136),AS136=0),"",1)</f>
        <v>#REF!</v>
      </c>
      <c r="AU136" s="4" t="e">
        <f>IF(OR(ISNA(AS136),AS136=0),PRAZDNE_1,VLOOKUP(AR135,#REF!,5,FALSE))</f>
        <v>#REF!</v>
      </c>
      <c r="AV136" s="4"/>
      <c r="AW136" s="4"/>
      <c r="AX136" s="4"/>
      <c r="AY136" s="4"/>
      <c r="AZ136" s="256"/>
      <c r="BA136" s="256"/>
      <c r="BB136" s="62" t="e">
        <v>#REF!</v>
      </c>
      <c r="BC136" s="228" t="e">
        <v>#REF!</v>
      </c>
      <c r="BD136" s="62" t="e">
        <v>#REF!</v>
      </c>
      <c r="BE136" s="178" t="e">
        <f t="shared" si="16"/>
        <v>#REF!</v>
      </c>
      <c r="BF136" s="62" t="e">
        <v>#REF!</v>
      </c>
      <c r="BG136" s="62" t="e">
        <v>#REF!</v>
      </c>
    </row>
    <row r="137" spans="2:59" s="178" customFormat="1" ht="18" customHeight="1" x14ac:dyDescent="0.35">
      <c r="B137" s="97"/>
      <c r="C137" s="4"/>
      <c r="D137" s="49"/>
      <c r="E137" s="58"/>
      <c r="F137" s="59"/>
      <c r="G137" s="59"/>
      <c r="H137" s="59"/>
      <c r="I137" s="59"/>
      <c r="J137" s="59"/>
      <c r="K137" s="59"/>
      <c r="L137" s="59"/>
      <c r="M137" s="59"/>
      <c r="N137" s="59"/>
      <c r="O137" s="59"/>
      <c r="P137" s="59"/>
      <c r="Q137" s="59"/>
      <c r="R137" s="46" t="s">
        <v>15</v>
      </c>
      <c r="S137" s="59"/>
      <c r="T137" s="59"/>
      <c r="U137" s="63"/>
      <c r="V137" s="60"/>
      <c r="W137" s="49"/>
      <c r="X137" s="4"/>
      <c r="Y137" s="1087"/>
      <c r="Z137" s="1107"/>
      <c r="AA137" s="1084">
        <f>IF(AC134=AV_HF,HM_UCH,
IF(AC135=AV_HL,HM_UCH,
IF('Běžné rámečky'!AC135=AV_HL_SD,HM_UCH,
IF(AC134=AV_HF_SD,HM_UCH,
IF(AC134=ZAVESY,TYP_PODL,IF(AC135=AV_HKXS,HM_UCH,0))))))</f>
        <v>0</v>
      </c>
      <c r="AB137" s="1085"/>
      <c r="AC137" s="252"/>
      <c r="AD137" s="266" t="s">
        <v>1520</v>
      </c>
      <c r="AE137" s="210">
        <f>IF(AA137=HM_UCH,0,AC137)</f>
        <v>0</v>
      </c>
      <c r="AF137" s="106" t="str">
        <f>IF(AC131=$B$372,0,$J$353)</f>
        <v>Závěsy se zvedacím pístem</v>
      </c>
      <c r="AG137" s="4"/>
      <c r="AH137" s="4"/>
      <c r="AI137" s="233">
        <f>IF(AI134=1,$B$482,IF(AI134=2,$B$486,0))</f>
        <v>0</v>
      </c>
      <c r="AJ137" s="237" t="str">
        <f>IF(AC134=AV_OST,AV_HL,
IF(AC134=ZAVESY,STRONG_INT_TL,""))</f>
        <v/>
      </c>
      <c r="AK137" s="238" t="str">
        <f t="shared" si="15"/>
        <v/>
      </c>
      <c r="AL137" s="4">
        <v>3</v>
      </c>
      <c r="AM137" s="4">
        <f>IF(AC135=PRAZDNE_1,AI137,IF(AC135=BLUM,BC135,IF(AC135=STRONG_INT_TL,AI154,IF(AC135=STRONG_BINT_TL,AI150,IF(AC135=HETTICH,BB135,"")))))</f>
        <v>0</v>
      </c>
      <c r="AN137" s="4" t="str">
        <f t="shared" si="17"/>
        <v/>
      </c>
      <c r="AO137" s="4" t="str">
        <f t="shared" si="18"/>
        <v xml:space="preserve"> (0)</v>
      </c>
      <c r="AP137" s="242">
        <v>0</v>
      </c>
      <c r="AQ137" s="238" t="str">
        <f t="shared" si="19"/>
        <v/>
      </c>
      <c r="AR137" s="4"/>
      <c r="AS137" s="245" t="e">
        <f>VLOOKUP(AR134,#REF!,10,0)</f>
        <v>#REF!</v>
      </c>
      <c r="AT137" s="238" t="e">
        <f t="shared" si="20"/>
        <v>#REF!</v>
      </c>
      <c r="AU137" s="4" t="e">
        <f>IF(OR(ISNA(AS137),AS137=0),PRAZDNE_1,VLOOKUP(AR136,#REF!,5,FALSE))</f>
        <v>#REF!</v>
      </c>
      <c r="AV137" s="4"/>
      <c r="AW137" s="4"/>
      <c r="AX137" s="4"/>
      <c r="AY137" s="4"/>
      <c r="AZ137" s="256"/>
      <c r="BA137" s="256"/>
      <c r="BB137" s="62" t="e">
        <v>#REF!</v>
      </c>
      <c r="BC137" s="228" t="e">
        <v>#REF!</v>
      </c>
      <c r="BD137" s="62" t="e">
        <v>#REF!</v>
      </c>
      <c r="BE137" s="178" t="e">
        <f t="shared" si="16"/>
        <v>#REF!</v>
      </c>
      <c r="BF137" s="62" t="e">
        <v>#REF!</v>
      </c>
      <c r="BG137" s="62" t="e">
        <v>#REF!</v>
      </c>
    </row>
    <row r="138" spans="2:59" s="178" customFormat="1" ht="18" customHeight="1" x14ac:dyDescent="0.3">
      <c r="B138" s="97"/>
      <c r="C138" s="4"/>
      <c r="D138" s="49" t="b">
        <f>IF(AG162=2,IF(AC138=4,1,0))</f>
        <v>0</v>
      </c>
      <c r="E138" s="58"/>
      <c r="F138" s="59"/>
      <c r="G138" s="59"/>
      <c r="H138" s="59"/>
      <c r="I138" s="59"/>
      <c r="J138" s="59"/>
      <c r="K138" s="59"/>
      <c r="L138" s="59"/>
      <c r="M138" s="59"/>
      <c r="N138" s="59"/>
      <c r="O138" s="59"/>
      <c r="P138" s="59"/>
      <c r="Q138" s="59"/>
      <c r="R138" s="59"/>
      <c r="S138" s="64"/>
      <c r="T138" s="65"/>
      <c r="U138" s="63"/>
      <c r="V138" s="60"/>
      <c r="W138" s="49" t="b">
        <f>IF(AG162=1,IF(AC138=4,1,0))</f>
        <v>0</v>
      </c>
      <c r="X138" s="40"/>
      <c r="Y138" s="1087"/>
      <c r="Z138" s="1107"/>
      <c r="AA138" s="1084">
        <f>IF(AC134=ZAVESY,POC_ZAVES,0)</f>
        <v>0</v>
      </c>
      <c r="AB138" s="1085"/>
      <c r="AC138" s="251"/>
      <c r="AD138" s="207" t="s">
        <v>1201</v>
      </c>
      <c r="AE138" s="208"/>
      <c r="AF138" s="106"/>
      <c r="AG138" s="4"/>
      <c r="AH138" s="4"/>
      <c r="AI138" s="233">
        <f>IF(AI134=1,$B$483,IF(AI134=2,$B$487,0))</f>
        <v>0</v>
      </c>
      <c r="AJ138" s="237" t="str">
        <f>IF(AC134=AV_OST,AV_HL_SD,
IF(AC134=ZAVESY,STRONG_BINT_TL,""))</f>
        <v/>
      </c>
      <c r="AK138" s="238" t="str">
        <f t="shared" si="15"/>
        <v/>
      </c>
      <c r="AL138" s="4">
        <v>4</v>
      </c>
      <c r="AM138" s="4">
        <f>IF(AC135=PRAZDNE_1,AI138,IF(AC135=BLUM,BC136,IF(AC135=STRONG_INT_TL,AI155,IF(AC135=STRONG_BINT_TL,AI151,IF(AC135=HETTICH,BB136,"")))))</f>
        <v>0</v>
      </c>
      <c r="AN138" s="4" t="str">
        <f t="shared" si="17"/>
        <v/>
      </c>
      <c r="AO138" s="4" t="str">
        <f t="shared" si="18"/>
        <v xml:space="preserve"> (0)</v>
      </c>
      <c r="AP138" s="242">
        <v>0</v>
      </c>
      <c r="AQ138" s="238" t="str">
        <f t="shared" si="19"/>
        <v/>
      </c>
      <c r="AR138" s="4"/>
      <c r="AS138" s="245" t="e">
        <f>VLOOKUP(AR134,#REF!,11,0)</f>
        <v>#REF!</v>
      </c>
      <c r="AT138" s="238" t="e">
        <f t="shared" si="20"/>
        <v>#REF!</v>
      </c>
      <c r="AU138" s="4"/>
      <c r="AV138" s="4"/>
      <c r="AW138" s="4"/>
      <c r="AX138" s="4"/>
      <c r="AY138" s="4"/>
      <c r="AZ138" s="256"/>
      <c r="BA138" s="256"/>
      <c r="BB138" s="62" t="e">
        <v>#REF!</v>
      </c>
      <c r="BC138" s="228" t="e">
        <v>#REF!</v>
      </c>
      <c r="BD138" s="62" t="e">
        <v>#REF!</v>
      </c>
      <c r="BE138" s="178" t="e">
        <f t="shared" si="16"/>
        <v>#REF!</v>
      </c>
      <c r="BF138" s="62" t="e">
        <v>#REF!</v>
      </c>
      <c r="BG138" s="62" t="e">
        <v>#REF!</v>
      </c>
    </row>
    <row r="139" spans="2:59" s="178" customFormat="1" ht="18" customHeight="1" x14ac:dyDescent="0.3">
      <c r="B139" s="97"/>
      <c r="C139" s="4"/>
      <c r="D139" s="49"/>
      <c r="E139" s="58"/>
      <c r="F139" s="59"/>
      <c r="G139" s="59"/>
      <c r="H139" s="59"/>
      <c r="I139" s="59"/>
      <c r="J139" s="59"/>
      <c r="K139" s="59"/>
      <c r="L139" s="59"/>
      <c r="M139" s="59"/>
      <c r="N139" s="59"/>
      <c r="O139" s="59"/>
      <c r="P139" s="59"/>
      <c r="Q139" s="59"/>
      <c r="R139" s="59"/>
      <c r="S139" s="1088"/>
      <c r="T139" s="65"/>
      <c r="U139" s="63"/>
      <c r="V139" s="60"/>
      <c r="W139" s="49"/>
      <c r="X139" s="4"/>
      <c r="Y139" s="1087"/>
      <c r="Z139" s="1107"/>
      <c r="AA139" s="1084">
        <f>IF(AC134=ZAVESY,VZD_ZAVES,0)</f>
        <v>0</v>
      </c>
      <c r="AB139" s="1085"/>
      <c r="AC139" s="253"/>
      <c r="AD139" s="207" t="s">
        <v>1202</v>
      </c>
      <c r="AE139" s="211"/>
      <c r="AF139" s="1089"/>
      <c r="AG139" s="4"/>
      <c r="AH139" s="4"/>
      <c r="AI139" s="233">
        <f>IF(AI134=2,$B$488,0)</f>
        <v>0</v>
      </c>
      <c r="AJ139" s="237" t="str">
        <f>IF(AC134=AV_OST,AV_HS,
IF(AC134=ZAVESY,
IF(AI134=1,PANT_STRONG_PLUS_SLIM,PANT_STRONG_SLIM_BTL),""))</f>
        <v/>
      </c>
      <c r="AK139" s="238" t="str">
        <f t="shared" si="15"/>
        <v/>
      </c>
      <c r="AL139" s="4">
        <v>5</v>
      </c>
      <c r="AM139" s="4">
        <f>IF(AC135=PRAZDNE_1,AI139,IF(AC135=BLUM,BC137,IF(AC135=HETTICH,BB137,"")))</f>
        <v>0</v>
      </c>
      <c r="AN139" s="4" t="str">
        <f t="shared" si="17"/>
        <v/>
      </c>
      <c r="AO139" s="4" t="str">
        <f t="shared" si="18"/>
        <v xml:space="preserve"> (0)</v>
      </c>
      <c r="AP139" s="242">
        <v>0</v>
      </c>
      <c r="AQ139" s="238" t="str">
        <f t="shared" si="19"/>
        <v/>
      </c>
      <c r="AR139" s="4"/>
      <c r="AS139" s="245" t="e">
        <f>VLOOKUP(AR134,#REF!,12,0)</f>
        <v>#REF!</v>
      </c>
      <c r="AT139" s="238" t="e">
        <f t="shared" si="20"/>
        <v>#REF!</v>
      </c>
      <c r="AU139" s="4"/>
      <c r="AV139" s="4"/>
      <c r="AW139" s="4"/>
      <c r="AX139" s="4"/>
      <c r="AY139" s="4"/>
      <c r="AZ139" s="256"/>
      <c r="BA139" s="256"/>
      <c r="BB139" s="62" t="e">
        <v>#REF!</v>
      </c>
      <c r="BC139" s="228" t="e">
        <v>#REF!</v>
      </c>
      <c r="BD139" s="62" t="e">
        <v>#REF!</v>
      </c>
      <c r="BE139" s="178" t="e">
        <f t="shared" si="16"/>
        <v>#REF!</v>
      </c>
      <c r="BF139" s="62" t="e">
        <v>#REF!</v>
      </c>
      <c r="BG139" s="62" t="e">
        <v>#REF!</v>
      </c>
    </row>
    <row r="140" spans="2:59" s="178" customFormat="1" ht="24.75" customHeight="1" thickBot="1" x14ac:dyDescent="0.4">
      <c r="B140" s="97"/>
      <c r="C140" s="4"/>
      <c r="D140" s="49"/>
      <c r="E140" s="58"/>
      <c r="F140" s="59"/>
      <c r="G140" s="59"/>
      <c r="H140" s="59"/>
      <c r="I140" s="59"/>
      <c r="J140" s="59"/>
      <c r="K140" s="59"/>
      <c r="L140" s="59"/>
      <c r="M140" s="59"/>
      <c r="N140" s="59"/>
      <c r="O140" s="59"/>
      <c r="P140" s="59"/>
      <c r="Q140" s="59"/>
      <c r="R140" s="59"/>
      <c r="S140" s="1088"/>
      <c r="T140" s="65"/>
      <c r="U140" s="63"/>
      <c r="V140" s="60"/>
      <c r="W140" s="49"/>
      <c r="X140" s="4"/>
      <c r="Y140" s="1087"/>
      <c r="Z140" s="1107"/>
      <c r="AA140" s="230"/>
      <c r="AB140" s="231"/>
      <c r="AC140" s="254"/>
      <c r="AD140" s="267"/>
      <c r="AE140" s="212"/>
      <c r="AF140" s="1089"/>
      <c r="AG140" s="4"/>
      <c r="AH140" s="4"/>
      <c r="AI140" s="234">
        <f>IF(AI134=2,$B$489,0)</f>
        <v>0</v>
      </c>
      <c r="AJ140" s="237" t="str">
        <f>IF(AC134=AV_OST,AV_HS_SD,"")</f>
        <v/>
      </c>
      <c r="AK140" s="238" t="str">
        <f t="shared" si="15"/>
        <v/>
      </c>
      <c r="AL140" s="4">
        <v>6</v>
      </c>
      <c r="AM140" s="4">
        <f>IF(AC135=PRAZDNE_1,AI140,IF(AC135=BLUM,BC138,IF(AC135=HETTICH,BB138,"")))</f>
        <v>0</v>
      </c>
      <c r="AN140" s="4" t="str">
        <f t="shared" si="17"/>
        <v/>
      </c>
      <c r="AO140" s="4" t="str">
        <f t="shared" si="18"/>
        <v xml:space="preserve"> (0)</v>
      </c>
      <c r="AP140" s="242">
        <v>0</v>
      </c>
      <c r="AQ140" s="238" t="str">
        <f t="shared" si="19"/>
        <v/>
      </c>
      <c r="AR140" s="4"/>
      <c r="AS140" s="245" t="e">
        <f>VLOOKUP(AR134,#REF!,13,0)</f>
        <v>#REF!</v>
      </c>
      <c r="AT140" s="238" t="e">
        <f t="shared" si="20"/>
        <v>#REF!</v>
      </c>
      <c r="AU140" s="4"/>
      <c r="AV140" s="4"/>
      <c r="AW140" s="4"/>
      <c r="AX140" s="4"/>
      <c r="AY140" s="4"/>
      <c r="AZ140" s="256"/>
      <c r="BA140" s="256"/>
      <c r="BB140" s="62" t="e">
        <v>#REF!</v>
      </c>
      <c r="BC140" s="228" t="e">
        <v>#REF!</v>
      </c>
      <c r="BD140" s="62" t="e">
        <v>#REF!</v>
      </c>
      <c r="BE140" s="178" t="e">
        <f t="shared" si="16"/>
        <v>#REF!</v>
      </c>
      <c r="BF140" s="62" t="e">
        <v>#REF!</v>
      </c>
      <c r="BG140" s="62" t="e">
        <v>#REF!</v>
      </c>
    </row>
    <row r="141" spans="2:59" s="178" customFormat="1" ht="18.75" customHeight="1" x14ac:dyDescent="0.35">
      <c r="B141" s="97"/>
      <c r="C141" s="4"/>
      <c r="D141" s="49"/>
      <c r="E141" s="58"/>
      <c r="F141" s="59"/>
      <c r="G141" s="59"/>
      <c r="H141" s="59"/>
      <c r="I141" s="59"/>
      <c r="J141" s="59"/>
      <c r="K141" s="59"/>
      <c r="L141" s="59"/>
      <c r="M141" s="59"/>
      <c r="N141" s="59"/>
      <c r="O141" s="59"/>
      <c r="P141" s="59"/>
      <c r="Q141" s="59"/>
      <c r="R141" s="59"/>
      <c r="S141" s="1088"/>
      <c r="T141" s="65"/>
      <c r="U141" s="63"/>
      <c r="V141" s="60"/>
      <c r="W141" s="49"/>
      <c r="X141" s="4"/>
      <c r="Y141" s="1087"/>
      <c r="Z141" s="1107"/>
      <c r="AA141" s="230"/>
      <c r="AB141" s="231"/>
      <c r="AC141" s="254"/>
      <c r="AD141" s="267"/>
      <c r="AE141" s="212"/>
      <c r="AF141" s="1089"/>
      <c r="AG141" s="4"/>
      <c r="AH141" s="4"/>
      <c r="AI141" s="232">
        <f>IF(AI134=1,$B$499,IF(AI134=2,$B$507,0))</f>
        <v>0</v>
      </c>
      <c r="AJ141" s="237" t="str">
        <f>IF(AC134=AV_OST,AV_HKS,"")</f>
        <v/>
      </c>
      <c r="AK141" s="238" t="str">
        <f t="shared" si="15"/>
        <v/>
      </c>
      <c r="AL141" s="4">
        <v>7</v>
      </c>
      <c r="AM141" s="4" t="str">
        <f>IF(AC135=HETTICH,BB139,IF(AC135=BLUM,BC139,""))</f>
        <v/>
      </c>
      <c r="AN141" s="4" t="str">
        <f t="shared" si="17"/>
        <v/>
      </c>
      <c r="AO141" s="4" t="str">
        <f t="shared" si="18"/>
        <v xml:space="preserve"> ()</v>
      </c>
      <c r="AP141" s="242">
        <v>0</v>
      </c>
      <c r="AQ141" s="238" t="str">
        <f t="shared" si="19"/>
        <v/>
      </c>
      <c r="AR141" s="4"/>
      <c r="AS141" s="245"/>
      <c r="AT141" s="238" t="str">
        <f t="shared" si="20"/>
        <v/>
      </c>
      <c r="AU141" s="4"/>
      <c r="AV141" s="4"/>
      <c r="AW141" s="4"/>
      <c r="AX141" s="4"/>
      <c r="AY141" s="4"/>
      <c r="AZ141" s="256"/>
      <c r="BA141" s="256"/>
      <c r="BB141" s="62" t="e">
        <v>#REF!</v>
      </c>
      <c r="BC141" s="228" t="e">
        <v>#REF!</v>
      </c>
      <c r="BD141" s="62" t="e">
        <v>#REF!</v>
      </c>
      <c r="BE141" s="178" t="e">
        <f t="shared" si="16"/>
        <v>#REF!</v>
      </c>
      <c r="BF141" s="62" t="e">
        <v>#REF!</v>
      </c>
      <c r="BG141" s="62" t="e">
        <v>#REF!</v>
      </c>
    </row>
    <row r="142" spans="2:59" s="178" customFormat="1" ht="18" customHeight="1" x14ac:dyDescent="0.3">
      <c r="B142" s="97"/>
      <c r="C142" s="4"/>
      <c r="D142" s="49" t="b">
        <f>IF(AG162=2,IF(AC138=3,1,0))</f>
        <v>0</v>
      </c>
      <c r="E142" s="58"/>
      <c r="F142" s="59"/>
      <c r="G142" s="59"/>
      <c r="H142" s="59"/>
      <c r="I142" s="59"/>
      <c r="J142" s="59"/>
      <c r="K142" s="59"/>
      <c r="L142" s="59"/>
      <c r="M142" s="59"/>
      <c r="N142" s="59"/>
      <c r="O142" s="59"/>
      <c r="P142" s="59"/>
      <c r="Q142" s="59"/>
      <c r="R142" s="59"/>
      <c r="S142" s="1088"/>
      <c r="T142" s="65"/>
      <c r="U142" s="63"/>
      <c r="V142" s="60"/>
      <c r="W142" s="49" t="b">
        <f>IF(AG162=1,IF(AC138=3,1,0))</f>
        <v>0</v>
      </c>
      <c r="X142" s="4"/>
      <c r="Y142" s="1087"/>
      <c r="Z142" s="1107"/>
      <c r="AA142" s="1084">
        <f>IF(AC134=ZAVESY,Ceny!$B$196,0)</f>
        <v>0</v>
      </c>
      <c r="AB142" s="1085"/>
      <c r="AC142" s="251"/>
      <c r="AD142" s="207" t="s">
        <v>1203</v>
      </c>
      <c r="AE142" s="208"/>
      <c r="AF142" s="106"/>
      <c r="AG142" s="4">
        <v>2</v>
      </c>
      <c r="AH142" s="4">
        <f>IF(AC134=ZAVESY,AG142,0)</f>
        <v>0</v>
      </c>
      <c r="AI142" s="233">
        <f>IF(AI134=1,$B$500,IF(AI134=2,$B$508,0))</f>
        <v>0</v>
      </c>
      <c r="AJ142" s="237" t="str">
        <f>IF(AC134=AV_OST,AV_HKS_TIP,"")</f>
        <v/>
      </c>
      <c r="AK142" s="238" t="str">
        <f t="shared" si="15"/>
        <v/>
      </c>
      <c r="AL142" s="4">
        <v>8</v>
      </c>
      <c r="AM142" s="4" t="str">
        <f>IF(AC135=HETTICH,BB140,IF(AC135=BLUM,BC140,""))</f>
        <v/>
      </c>
      <c r="AN142" s="4" t="str">
        <f t="shared" si="17"/>
        <v/>
      </c>
      <c r="AO142" s="4" t="str">
        <f t="shared" si="18"/>
        <v xml:space="preserve"> ()</v>
      </c>
      <c r="AP142" s="242">
        <v>0</v>
      </c>
      <c r="AQ142" s="238" t="str">
        <f t="shared" si="19"/>
        <v/>
      </c>
      <c r="AR142" s="4"/>
      <c r="AS142" s="245"/>
      <c r="AT142" s="238" t="str">
        <f t="shared" si="20"/>
        <v/>
      </c>
      <c r="AU142" s="4"/>
      <c r="AV142" s="4"/>
      <c r="AW142" s="4"/>
      <c r="AX142" s="4"/>
      <c r="AY142" s="4"/>
      <c r="AZ142" s="256"/>
      <c r="BA142" s="256"/>
      <c r="BB142" s="62" t="e">
        <v>#REF!</v>
      </c>
      <c r="BC142" s="228" t="e">
        <v>#REF!</v>
      </c>
      <c r="BD142" s="62" t="e">
        <v>#REF!</v>
      </c>
      <c r="BE142" s="178" t="e">
        <f t="shared" si="16"/>
        <v>#REF!</v>
      </c>
      <c r="BF142" s="62" t="e">
        <v>#REF!</v>
      </c>
      <c r="BG142" s="62" t="e">
        <v>#REF!</v>
      </c>
    </row>
    <row r="143" spans="2:59" s="178" customFormat="1" ht="18" customHeight="1" x14ac:dyDescent="0.3">
      <c r="B143" s="97"/>
      <c r="C143" s="4"/>
      <c r="D143" s="49"/>
      <c r="E143" s="58"/>
      <c r="F143" s="59"/>
      <c r="G143" s="59"/>
      <c r="H143" s="59"/>
      <c r="I143" s="59"/>
      <c r="J143" s="59"/>
      <c r="K143" s="59"/>
      <c r="L143" s="59"/>
      <c r="M143" s="59"/>
      <c r="N143" s="59"/>
      <c r="O143" s="59"/>
      <c r="P143" s="59"/>
      <c r="Q143" s="59"/>
      <c r="R143" s="59"/>
      <c r="S143" s="1083"/>
      <c r="T143" s="65"/>
      <c r="U143" s="63"/>
      <c r="V143" s="60"/>
      <c r="W143" s="49"/>
      <c r="X143" s="4"/>
      <c r="Y143" s="1087"/>
      <c r="Z143" s="1107"/>
      <c r="AA143" s="1084">
        <f>IF(AG162=1,0,IF(AG162=2,0,IF(AC134=ZAVESY,IF(BD130,0,Ceny!$B$184),0)))</f>
        <v>0</v>
      </c>
      <c r="AB143" s="1085"/>
      <c r="AC143" s="190"/>
      <c r="AD143" s="207" t="s">
        <v>1521</v>
      </c>
      <c r="AE143" s="208"/>
      <c r="AF143" s="106" t="b">
        <v>1</v>
      </c>
      <c r="AG143" s="4">
        <v>3</v>
      </c>
      <c r="AH143" s="4">
        <f>IF(AC134=ZAVESY,AG143,0)</f>
        <v>0</v>
      </c>
      <c r="AI143" s="233">
        <f>IF(AI134=1,$B$501,IF(AI134=2,$B$509,0))</f>
        <v>0</v>
      </c>
      <c r="AJ143" s="237" t="str">
        <f>IF(AC134=AV_OST,AV_HKXS,"")</f>
        <v/>
      </c>
      <c r="AK143" s="238" t="str">
        <f t="shared" si="15"/>
        <v/>
      </c>
      <c r="AL143" s="4">
        <v>9</v>
      </c>
      <c r="AM143" s="4" t="str">
        <f>IF(AC135=HETTICH,BB141,IF(AC135=BLUM,BC141,""))</f>
        <v/>
      </c>
      <c r="AN143" s="4" t="str">
        <f t="shared" si="17"/>
        <v/>
      </c>
      <c r="AO143" s="4" t="str">
        <f t="shared" si="18"/>
        <v xml:space="preserve"> ()</v>
      </c>
      <c r="AP143" s="242">
        <v>0</v>
      </c>
      <c r="AQ143" s="238" t="str">
        <f t="shared" si="19"/>
        <v/>
      </c>
      <c r="AR143" s="4"/>
      <c r="AS143" s="245"/>
      <c r="AT143" s="238" t="str">
        <f t="shared" si="20"/>
        <v/>
      </c>
      <c r="AU143" s="4"/>
      <c r="AV143" s="4"/>
      <c r="AW143" s="4"/>
      <c r="AX143" s="4"/>
      <c r="AY143" s="4"/>
      <c r="AZ143" s="256"/>
      <c r="BA143" s="256"/>
      <c r="BB143" s="62" t="e">
        <v>#REF!</v>
      </c>
      <c r="BC143" s="228" t="e">
        <v>#REF!</v>
      </c>
      <c r="BD143" s="62" t="e">
        <v>#REF!</v>
      </c>
      <c r="BE143" s="178" t="e">
        <f t="shared" si="16"/>
        <v>#REF!</v>
      </c>
      <c r="BF143" s="62" t="e">
        <v>#REF!</v>
      </c>
      <c r="BG143" s="62" t="e">
        <v>#REF!</v>
      </c>
    </row>
    <row r="144" spans="2:59" s="178" customFormat="1" ht="18" customHeight="1" thickBot="1" x14ac:dyDescent="0.35">
      <c r="B144" s="97"/>
      <c r="C144" s="4"/>
      <c r="D144" s="49" t="b">
        <f>IF(AG162=2,IF(AC138=4,1,0))</f>
        <v>0</v>
      </c>
      <c r="E144" s="58"/>
      <c r="F144" s="59"/>
      <c r="G144" s="59"/>
      <c r="H144" s="59"/>
      <c r="I144" s="59"/>
      <c r="J144" s="59"/>
      <c r="K144" s="59"/>
      <c r="L144" s="59"/>
      <c r="M144" s="59"/>
      <c r="N144" s="59"/>
      <c r="O144" s="59"/>
      <c r="P144" s="59"/>
      <c r="Q144" s="59"/>
      <c r="R144" s="59"/>
      <c r="S144" s="65"/>
      <c r="T144" s="65"/>
      <c r="U144" s="63"/>
      <c r="V144" s="60"/>
      <c r="W144" s="49" t="b">
        <f>IF(AG162=1,IF(AC138=4,1,0))</f>
        <v>0</v>
      </c>
      <c r="X144" s="4"/>
      <c r="Y144" s="1060" t="str">
        <f>Ceny_n!$B$136</f>
        <v>Výška</v>
      </c>
      <c r="Z144" s="1107"/>
      <c r="AA144" s="1061">
        <f>IF(AC143=0,0,Ceny!$B$186)</f>
        <v>0</v>
      </c>
      <c r="AB144" s="1062"/>
      <c r="AC144" s="191"/>
      <c r="AD144" s="207" t="s">
        <v>1205</v>
      </c>
      <c r="AE144" s="208"/>
      <c r="AF144" s="106"/>
      <c r="AG144" s="4">
        <v>4</v>
      </c>
      <c r="AH144" s="4">
        <f>IF(AC134=ZAVESY,AG144,0)</f>
        <v>0</v>
      </c>
      <c r="AI144" s="233">
        <f>IF(AI134=1,$B$502,IF(AI134=2,$B$510,0))</f>
        <v>0</v>
      </c>
      <c r="AJ144" s="239" t="str">
        <f>IF(AC134=AV_OST,AV_HKXS_TIP,"")</f>
        <v/>
      </c>
      <c r="AK144" s="240" t="str">
        <f t="shared" si="15"/>
        <v/>
      </c>
      <c r="AL144" s="4">
        <v>10</v>
      </c>
      <c r="AM144" s="4" t="str">
        <f>IF(AC135=HETTICH,BB142,IF(AC135=BLUM,BC142,""))</f>
        <v/>
      </c>
      <c r="AN144" s="4" t="str">
        <f t="shared" si="17"/>
        <v/>
      </c>
      <c r="AO144" s="4" t="str">
        <f t="shared" si="18"/>
        <v xml:space="preserve"> ()</v>
      </c>
      <c r="AP144" s="242">
        <v>0</v>
      </c>
      <c r="AQ144" s="238" t="str">
        <f t="shared" si="19"/>
        <v/>
      </c>
      <c r="AR144" s="4"/>
      <c r="AS144" s="246"/>
      <c r="AT144" s="240" t="str">
        <f t="shared" si="20"/>
        <v/>
      </c>
      <c r="AU144" s="4"/>
      <c r="AV144" s="4"/>
      <c r="AW144" s="4"/>
      <c r="AX144" s="4"/>
      <c r="AY144" s="4"/>
      <c r="AZ144" s="256"/>
      <c r="BA144" s="256"/>
      <c r="BB144" s="62" t="e">
        <v>#REF!</v>
      </c>
      <c r="BC144" s="228" t="e">
        <v>#REF!</v>
      </c>
      <c r="BD144" s="62" t="e">
        <v>#REF!</v>
      </c>
      <c r="BE144" s="178" t="e">
        <f t="shared" si="16"/>
        <v>#REF!</v>
      </c>
      <c r="BF144" s="62" t="e">
        <v>#REF!</v>
      </c>
      <c r="BG144" s="62" t="e">
        <v>#REF!</v>
      </c>
    </row>
    <row r="145" spans="2:59" s="178" customFormat="1" ht="3" customHeight="1" x14ac:dyDescent="0.3">
      <c r="B145" s="97"/>
      <c r="C145" s="4"/>
      <c r="D145" s="49"/>
      <c r="E145" s="58"/>
      <c r="F145" s="59"/>
      <c r="G145" s="59"/>
      <c r="H145" s="59"/>
      <c r="I145" s="59"/>
      <c r="J145" s="59"/>
      <c r="K145" s="59"/>
      <c r="L145" s="59"/>
      <c r="M145" s="59"/>
      <c r="N145" s="59"/>
      <c r="O145" s="59"/>
      <c r="P145" s="59"/>
      <c r="Q145" s="59"/>
      <c r="R145" s="59"/>
      <c r="S145" s="65"/>
      <c r="T145" s="65"/>
      <c r="U145" s="63"/>
      <c r="V145" s="60"/>
      <c r="W145" s="49"/>
      <c r="X145" s="4"/>
      <c r="Y145" s="1060"/>
      <c r="Z145" s="1107"/>
      <c r="AA145" s="1103"/>
      <c r="AB145" s="1066" t="str">
        <f>Ceny_n!$B$185</f>
        <v>Dodat včetně uvedeného kování</v>
      </c>
      <c r="AC145" s="1067"/>
      <c r="AD145" s="268"/>
      <c r="AE145" s="213"/>
      <c r="AF145" s="106"/>
      <c r="AG145" s="4">
        <v>5</v>
      </c>
      <c r="AH145" s="4">
        <f>IF(AC134=ZAVESY,AG145,0)</f>
        <v>0</v>
      </c>
      <c r="AI145" s="62">
        <f>IF(AI134=1,$B$503,IF(AI134=2,$B$511,0))</f>
        <v>0</v>
      </c>
      <c r="AJ145" s="4"/>
      <c r="AK145" s="178" t="str">
        <f t="shared" si="15"/>
        <v/>
      </c>
      <c r="AL145" s="4">
        <v>11</v>
      </c>
      <c r="AM145" s="4">
        <f>IF(AC135=HETTICH,BB143,IF(AC135=BLUM,BC143,))</f>
        <v>0</v>
      </c>
      <c r="AN145" s="4" t="str">
        <f t="shared" si="17"/>
        <v/>
      </c>
      <c r="AO145" s="4" t="str">
        <f t="shared" si="18"/>
        <v xml:space="preserve"> (0)</v>
      </c>
      <c r="AP145" s="242">
        <v>0</v>
      </c>
      <c r="AQ145" s="238" t="str">
        <f t="shared" si="19"/>
        <v/>
      </c>
      <c r="AR145" s="4"/>
      <c r="AS145" s="4"/>
      <c r="AT145" s="4"/>
      <c r="AU145" s="4"/>
      <c r="AV145" s="4"/>
      <c r="AW145" s="4"/>
      <c r="AX145" s="4"/>
      <c r="AY145" s="4"/>
      <c r="AZ145" s="256"/>
      <c r="BA145" s="256"/>
      <c r="BB145" s="62" t="e">
        <v>#REF!</v>
      </c>
      <c r="BC145" s="228" t="e">
        <v>#REF!</v>
      </c>
      <c r="BD145" s="62" t="e">
        <v>#REF!</v>
      </c>
      <c r="BE145" s="178" t="e">
        <f t="shared" si="16"/>
        <v>#REF!</v>
      </c>
      <c r="BF145" s="62" t="e">
        <v>#REF!</v>
      </c>
      <c r="BG145" s="62" t="e">
        <v>#REF!</v>
      </c>
    </row>
    <row r="146" spans="2:59" s="178" customFormat="1" ht="15.75" customHeight="1" x14ac:dyDescent="0.3">
      <c r="B146" s="97"/>
      <c r="C146" s="4"/>
      <c r="D146" s="49"/>
      <c r="E146" s="58"/>
      <c r="F146" s="59"/>
      <c r="G146" s="59"/>
      <c r="H146" s="59"/>
      <c r="I146" s="59"/>
      <c r="J146" s="59"/>
      <c r="K146" s="59"/>
      <c r="L146" s="59"/>
      <c r="M146" s="59"/>
      <c r="N146" s="59"/>
      <c r="O146" s="59"/>
      <c r="P146" s="59"/>
      <c r="Q146" s="59"/>
      <c r="R146" s="59"/>
      <c r="S146" s="59"/>
      <c r="T146" s="59"/>
      <c r="U146" s="59"/>
      <c r="V146" s="60"/>
      <c r="W146" s="49"/>
      <c r="X146" s="4"/>
      <c r="Y146" s="1060"/>
      <c r="Z146" s="1107"/>
      <c r="AA146" s="1104"/>
      <c r="AB146" s="1068"/>
      <c r="AC146" s="1069"/>
      <c r="AD146" s="268"/>
      <c r="AE146" s="213"/>
      <c r="AF146" s="106"/>
      <c r="AG146" s="4"/>
      <c r="AH146" s="4"/>
      <c r="AI146" s="62">
        <f>IF(AI134=1,$B$504,IF(AI134=2,$B$513,0))</f>
        <v>0</v>
      </c>
      <c r="AJ146" s="4"/>
      <c r="AK146" s="4"/>
      <c r="AL146" s="4">
        <v>12</v>
      </c>
      <c r="AM146" s="4" t="str">
        <f>IF(AC135=HETTICH,BB144,IF(AC135=BLUM,BC144,""))</f>
        <v/>
      </c>
      <c r="AN146" s="4" t="str">
        <f t="shared" si="17"/>
        <v/>
      </c>
      <c r="AO146" s="4" t="str">
        <f t="shared" si="18"/>
        <v xml:space="preserve"> ()</v>
      </c>
      <c r="AP146" s="242">
        <v>0</v>
      </c>
      <c r="AQ146" s="238" t="str">
        <f t="shared" si="19"/>
        <v/>
      </c>
      <c r="AR146" s="4"/>
      <c r="AS146" s="4"/>
      <c r="AT146" s="4"/>
      <c r="AU146" s="4"/>
      <c r="AV146" s="4"/>
      <c r="AW146" s="4"/>
      <c r="AX146" s="4"/>
      <c r="AY146" s="4"/>
      <c r="AZ146" s="256"/>
      <c r="BA146" s="256"/>
      <c r="BB146" s="62" t="e">
        <v>#REF!</v>
      </c>
      <c r="BC146" s="228" t="e">
        <v>#REF!</v>
      </c>
      <c r="BD146" s="62" t="e">
        <v>#REF!</v>
      </c>
      <c r="BE146" s="178" t="e">
        <f t="shared" si="16"/>
        <v>#REF!</v>
      </c>
      <c r="BF146" s="62" t="e">
        <v>#REF!</v>
      </c>
      <c r="BG146" s="62" t="e">
        <v>#REF!</v>
      </c>
    </row>
    <row r="147" spans="2:59" s="178" customFormat="1" ht="12.75" customHeight="1" thickBot="1" x14ac:dyDescent="0.35">
      <c r="B147" s="97"/>
      <c r="C147" s="4"/>
      <c r="D147" s="49"/>
      <c r="E147" s="58"/>
      <c r="F147" s="59"/>
      <c r="G147" s="59"/>
      <c r="H147" s="59"/>
      <c r="I147" s="59"/>
      <c r="J147" s="59"/>
      <c r="K147" s="59"/>
      <c r="L147" s="59"/>
      <c r="M147" s="59"/>
      <c r="N147" s="59"/>
      <c r="O147" s="59"/>
      <c r="P147" s="59"/>
      <c r="Q147" s="59"/>
      <c r="R147" s="59"/>
      <c r="S147" s="59"/>
      <c r="T147" s="59"/>
      <c r="U147" s="1072"/>
      <c r="V147" s="60"/>
      <c r="W147" s="49"/>
      <c r="X147" s="4"/>
      <c r="Y147" s="1060"/>
      <c r="Z147" s="1107"/>
      <c r="AA147" s="1104"/>
      <c r="AB147" s="1068"/>
      <c r="AC147" s="1069"/>
      <c r="AD147" s="268"/>
      <c r="AE147" s="213"/>
      <c r="AF147" s="106"/>
      <c r="AG147" s="4"/>
      <c r="AH147" s="4"/>
      <c r="AI147" s="66">
        <f>IF(AI134=1,$B$506,0)</f>
        <v>0</v>
      </c>
      <c r="AJ147" s="4"/>
      <c r="AK147" s="4"/>
      <c r="AL147" s="4">
        <v>13</v>
      </c>
      <c r="AM147" s="221"/>
      <c r="AN147" s="4" t="str">
        <f t="shared" si="17"/>
        <v/>
      </c>
      <c r="AO147" s="4" t="str">
        <f t="shared" si="18"/>
        <v xml:space="preserve"> ()</v>
      </c>
      <c r="AP147" s="242">
        <v>0</v>
      </c>
      <c r="AQ147" s="238" t="str">
        <f t="shared" si="19"/>
        <v/>
      </c>
      <c r="AR147" s="4"/>
      <c r="AS147" s="4"/>
      <c r="AT147" s="4"/>
      <c r="AU147" s="4"/>
      <c r="AV147" s="4"/>
      <c r="AW147" s="4"/>
      <c r="AX147" s="4"/>
      <c r="AY147" s="4"/>
      <c r="AZ147" s="256"/>
      <c r="BA147" s="256"/>
      <c r="BB147" s="62" t="e">
        <v>#REF!</v>
      </c>
      <c r="BC147" s="228" t="e">
        <v>#REF!</v>
      </c>
      <c r="BD147" s="62" t="e">
        <v>#REF!</v>
      </c>
      <c r="BE147" s="178" t="e">
        <f t="shared" si="16"/>
        <v>#REF!</v>
      </c>
      <c r="BF147" s="62" t="e">
        <v>#REF!</v>
      </c>
      <c r="BG147" s="62" t="e">
        <v>#REF!</v>
      </c>
    </row>
    <row r="148" spans="2:59" s="178" customFormat="1" ht="0.75" customHeight="1" x14ac:dyDescent="0.3">
      <c r="B148" s="97"/>
      <c r="C148" s="4"/>
      <c r="D148" s="49"/>
      <c r="E148" s="58"/>
      <c r="F148" s="59"/>
      <c r="G148" s="59"/>
      <c r="H148" s="59"/>
      <c r="I148" s="59"/>
      <c r="J148" s="59"/>
      <c r="K148" s="59"/>
      <c r="L148" s="59"/>
      <c r="M148" s="59"/>
      <c r="N148" s="59"/>
      <c r="O148" s="59"/>
      <c r="P148" s="59"/>
      <c r="Q148" s="59"/>
      <c r="R148" s="59"/>
      <c r="S148" s="59"/>
      <c r="T148" s="59"/>
      <c r="U148" s="1073"/>
      <c r="V148" s="60"/>
      <c r="W148" s="49"/>
      <c r="X148" s="4"/>
      <c r="Y148" s="1060"/>
      <c r="Z148" s="1107"/>
      <c r="AA148" s="1105"/>
      <c r="AB148" s="1070"/>
      <c r="AC148" s="1071"/>
      <c r="AD148" s="268"/>
      <c r="AE148" s="213"/>
      <c r="AF148" s="106"/>
      <c r="AG148" s="4"/>
      <c r="AH148" s="4"/>
      <c r="AI148" s="61">
        <f>IF(AI134=2,$B$520,0)</f>
        <v>0</v>
      </c>
      <c r="AJ148" s="4"/>
      <c r="AK148" s="4"/>
      <c r="AL148" s="4">
        <v>14</v>
      </c>
      <c r="AM148" s="4"/>
      <c r="AN148" s="4" t="str">
        <f t="shared" si="17"/>
        <v/>
      </c>
      <c r="AO148" s="4" t="str">
        <f t="shared" si="18"/>
        <v xml:space="preserve"> ()</v>
      </c>
      <c r="AP148" s="242">
        <v>0</v>
      </c>
      <c r="AQ148" s="238" t="str">
        <f t="shared" si="19"/>
        <v/>
      </c>
      <c r="AR148" s="4"/>
      <c r="AS148" s="4"/>
      <c r="AT148" s="4"/>
      <c r="AU148" s="4"/>
      <c r="AV148" s="4"/>
      <c r="AW148" s="4"/>
      <c r="AX148" s="4"/>
      <c r="AY148" s="4"/>
      <c r="AZ148" s="256"/>
      <c r="BA148" s="256"/>
      <c r="BB148" s="62" t="e">
        <v>#REF!</v>
      </c>
      <c r="BC148" s="228" t="e">
        <v>#REF!</v>
      </c>
      <c r="BD148" s="62" t="e">
        <v>#REF!</v>
      </c>
      <c r="BE148" s="178" t="e">
        <f t="shared" si="16"/>
        <v>#REF!</v>
      </c>
      <c r="BF148" s="62" t="e">
        <v>#REF!</v>
      </c>
      <c r="BG148" s="62" t="e">
        <v>#REF!</v>
      </c>
    </row>
    <row r="149" spans="2:59" s="178" customFormat="1" ht="26.4" thickBot="1" x14ac:dyDescent="0.55000000000000004">
      <c r="B149" s="97"/>
      <c r="C149" s="4"/>
      <c r="D149" s="49"/>
      <c r="E149" s="58"/>
      <c r="F149" s="59"/>
      <c r="G149" s="59"/>
      <c r="H149" s="59"/>
      <c r="I149" s="59"/>
      <c r="J149" s="59"/>
      <c r="K149" s="59"/>
      <c r="L149" s="59"/>
      <c r="M149" s="59"/>
      <c r="N149" s="59"/>
      <c r="O149" s="59"/>
      <c r="P149" s="59"/>
      <c r="Q149" s="59"/>
      <c r="R149" s="44" t="s">
        <v>15</v>
      </c>
      <c r="S149" s="59"/>
      <c r="T149" s="59"/>
      <c r="U149" s="59"/>
      <c r="V149" s="60"/>
      <c r="W149" s="49"/>
      <c r="X149" s="4"/>
      <c r="Y149" s="1060"/>
      <c r="Z149" s="1107"/>
      <c r="AA149" s="4"/>
      <c r="AB149" s="4"/>
      <c r="AC149" s="98"/>
      <c r="AD149" s="257"/>
      <c r="AE149" s="199"/>
      <c r="AF149" s="106"/>
      <c r="AG149" s="4"/>
      <c r="AH149" s="4"/>
      <c r="AI149" s="62">
        <f>IF(AI134=2,$B$521,0)</f>
        <v>0</v>
      </c>
      <c r="AJ149" s="4"/>
      <c r="AK149" s="4"/>
      <c r="AL149" s="4">
        <v>15</v>
      </c>
      <c r="AM149" s="4"/>
      <c r="AN149" s="4" t="str">
        <f t="shared" si="17"/>
        <v/>
      </c>
      <c r="AO149" s="4" t="str">
        <f t="shared" si="18"/>
        <v xml:space="preserve"> ()</v>
      </c>
      <c r="AP149" s="242">
        <v>0</v>
      </c>
      <c r="AQ149" s="238" t="str">
        <f t="shared" si="19"/>
        <v/>
      </c>
      <c r="AR149" s="4"/>
      <c r="AS149" s="4"/>
      <c r="AT149" s="4"/>
      <c r="AU149" s="4"/>
      <c r="AV149" s="4"/>
      <c r="AW149" s="4"/>
      <c r="AX149" s="4"/>
      <c r="AY149" s="4"/>
      <c r="AZ149" s="256"/>
      <c r="BA149" s="256"/>
      <c r="BB149" s="62" t="e">
        <v>#REF!</v>
      </c>
      <c r="BC149" s="228" t="e">
        <v>#REF!</v>
      </c>
      <c r="BD149" s="62" t="e">
        <v>#REF!</v>
      </c>
      <c r="BE149" s="178" t="e">
        <f t="shared" si="16"/>
        <v>#REF!</v>
      </c>
      <c r="BF149" s="66" t="e">
        <v>#REF!</v>
      </c>
      <c r="BG149" s="66" t="e">
        <v>#REF!</v>
      </c>
    </row>
    <row r="150" spans="2:59" s="178" customFormat="1" ht="5.25" customHeight="1" thickBot="1" x14ac:dyDescent="1.1499999999999999">
      <c r="B150" s="97"/>
      <c r="C150" s="4"/>
      <c r="D150" s="49"/>
      <c r="E150" s="58"/>
      <c r="F150" s="59"/>
      <c r="G150" s="59"/>
      <c r="H150" s="59"/>
      <c r="I150" s="59"/>
      <c r="J150" s="59"/>
      <c r="K150" s="59"/>
      <c r="L150" s="59"/>
      <c r="M150" s="59"/>
      <c r="N150" s="59"/>
      <c r="O150" s="59"/>
      <c r="P150" s="59"/>
      <c r="Q150" s="59"/>
      <c r="R150" s="44"/>
      <c r="S150" s="59"/>
      <c r="T150" s="59"/>
      <c r="U150" s="59"/>
      <c r="V150" s="60"/>
      <c r="W150" s="49"/>
      <c r="X150" s="4"/>
      <c r="Y150" s="1060"/>
      <c r="Z150" s="1107"/>
      <c r="AA150" s="104"/>
      <c r="AB150" s="53"/>
      <c r="AC150" s="93"/>
      <c r="AD150" s="264"/>
      <c r="AE150" s="206"/>
      <c r="AF150" s="106"/>
      <c r="AG150" s="4"/>
      <c r="AH150" s="4"/>
      <c r="AI150" s="62">
        <f>IF(AI134=2,$B$522,0)</f>
        <v>0</v>
      </c>
      <c r="AJ150" s="4"/>
      <c r="AK150" s="4"/>
      <c r="AL150" s="4">
        <v>16</v>
      </c>
      <c r="AM150" s="4"/>
      <c r="AN150" s="4"/>
      <c r="AO150" s="4" t="str">
        <f t="shared" si="18"/>
        <v xml:space="preserve"> ()</v>
      </c>
      <c r="AP150" s="242">
        <v>0</v>
      </c>
      <c r="AQ150" s="238" t="str">
        <f t="shared" si="19"/>
        <v/>
      </c>
      <c r="AR150" s="4"/>
      <c r="AS150" s="4"/>
      <c r="AT150" s="4"/>
      <c r="AU150" s="4"/>
      <c r="AV150" s="4"/>
      <c r="AW150" s="4"/>
      <c r="AX150" s="4"/>
      <c r="AY150" s="4"/>
      <c r="AZ150" s="256"/>
      <c r="BA150" s="256"/>
      <c r="BB150" s="66" t="e">
        <v>#REF!</v>
      </c>
      <c r="BC150" s="229" t="e">
        <v>#REF!</v>
      </c>
      <c r="BD150" s="62" t="e">
        <v>#REF!</v>
      </c>
      <c r="BE150" s="178" t="e">
        <f t="shared" si="16"/>
        <v>#REF!</v>
      </c>
    </row>
    <row r="151" spans="2:59" s="178" customFormat="1" ht="8.25" customHeight="1" thickBot="1" x14ac:dyDescent="0.55000000000000004">
      <c r="B151" s="97"/>
      <c r="C151" s="4"/>
      <c r="D151" s="1074">
        <f>IF(AG162=2,1,0)</f>
        <v>0</v>
      </c>
      <c r="E151" s="58"/>
      <c r="F151" s="59"/>
      <c r="G151" s="59"/>
      <c r="H151" s="59"/>
      <c r="I151" s="59"/>
      <c r="J151" s="59"/>
      <c r="K151" s="59"/>
      <c r="L151" s="59"/>
      <c r="M151" s="59"/>
      <c r="N151" s="59"/>
      <c r="O151" s="59"/>
      <c r="P151" s="59"/>
      <c r="Q151" s="59"/>
      <c r="R151" s="44"/>
      <c r="S151" s="67"/>
      <c r="T151" s="67"/>
      <c r="U151" s="59"/>
      <c r="V151" s="60"/>
      <c r="W151" s="1074">
        <f>IF(AG162=1,1,0)</f>
        <v>0</v>
      </c>
      <c r="X151" s="4"/>
      <c r="Y151" s="68"/>
      <c r="Z151" s="4"/>
      <c r="AA151" s="53"/>
      <c r="AB151" s="53"/>
      <c r="AC151" s="93"/>
      <c r="AD151" s="264"/>
      <c r="AE151" s="206"/>
      <c r="AF151" s="106"/>
      <c r="AG151" s="4"/>
      <c r="AH151" s="4"/>
      <c r="AI151" s="66">
        <f>IF(AI134=2,$B$523,0)</f>
        <v>0</v>
      </c>
      <c r="AJ151" s="4"/>
      <c r="AK151" s="4"/>
      <c r="AL151" s="4">
        <v>17</v>
      </c>
      <c r="AM151" s="4"/>
      <c r="AN151" s="4"/>
      <c r="AO151" s="4" t="str">
        <f t="shared" si="18"/>
        <v xml:space="preserve"> ()</v>
      </c>
      <c r="AP151" s="242">
        <v>0</v>
      </c>
      <c r="AQ151" s="238" t="str">
        <f t="shared" si="19"/>
        <v/>
      </c>
      <c r="AR151" s="4"/>
      <c r="AS151" s="4"/>
      <c r="AT151" s="4"/>
      <c r="AU151" s="4"/>
      <c r="AV151" s="4"/>
      <c r="AW151" s="4"/>
      <c r="AX151" s="4"/>
      <c r="AY151" s="4"/>
      <c r="AZ151" s="256"/>
      <c r="BA151" s="256"/>
      <c r="BC151" s="137"/>
      <c r="BD151" s="62" t="e">
        <v>#REF!</v>
      </c>
      <c r="BE151" s="178" t="e">
        <f t="shared" si="16"/>
        <v>#REF!</v>
      </c>
    </row>
    <row r="152" spans="2:59" s="178" customFormat="1" ht="18" customHeight="1" x14ac:dyDescent="0.5">
      <c r="B152" s="97"/>
      <c r="C152" s="4"/>
      <c r="D152" s="1074" t="e">
        <f>IF(#REF!=$Y$41,1,0)</f>
        <v>#REF!</v>
      </c>
      <c r="E152" s="58"/>
      <c r="F152" s="59"/>
      <c r="G152" s="127"/>
      <c r="H152" s="59"/>
      <c r="I152" s="48"/>
      <c r="J152" s="48"/>
      <c r="K152" s="48"/>
      <c r="L152" s="1075"/>
      <c r="M152" s="1076"/>
      <c r="N152" s="1077"/>
      <c r="O152" s="59"/>
      <c r="P152" s="59"/>
      <c r="Q152" s="59"/>
      <c r="R152" s="44"/>
      <c r="S152" s="1078"/>
      <c r="T152" s="69"/>
      <c r="U152" s="67"/>
      <c r="V152" s="45"/>
      <c r="W152" s="1074" t="e">
        <f>IF(#REF!=$Y$41,1,0)</f>
        <v>#REF!</v>
      </c>
      <c r="X152" s="53"/>
      <c r="Y152" s="70"/>
      <c r="Z152" s="4"/>
      <c r="AA152" s="1101" t="str">
        <f>IF(OR(Y136&gt;2500,L160&gt;2500),MAX_ROZ_RAM,"")</f>
        <v/>
      </c>
      <c r="AB152" s="1101"/>
      <c r="AC152" s="1102"/>
      <c r="AD152" s="264"/>
      <c r="AE152" s="206"/>
      <c r="AF152" s="106"/>
      <c r="AG152" s="4"/>
      <c r="AH152" s="4"/>
      <c r="AI152" s="61">
        <f>IF(AI134=1,$B$530,IF(AI134=2,$B$531,0))</f>
        <v>0</v>
      </c>
      <c r="AJ152" s="4"/>
      <c r="AK152" s="4"/>
      <c r="AL152" s="4">
        <v>18</v>
      </c>
      <c r="AM152" s="4"/>
      <c r="AN152" s="4"/>
      <c r="AO152" s="4" t="str">
        <f t="shared" si="18"/>
        <v xml:space="preserve"> ()</v>
      </c>
      <c r="AP152" s="242">
        <v>0</v>
      </c>
      <c r="AQ152" s="238" t="str">
        <f t="shared" si="19"/>
        <v/>
      </c>
      <c r="AR152" s="4"/>
      <c r="AS152" s="4"/>
      <c r="AT152" s="4"/>
      <c r="AU152" s="4"/>
      <c r="AV152" s="4"/>
      <c r="AW152" s="4"/>
      <c r="AX152" s="4"/>
      <c r="AY152" s="4"/>
      <c r="AZ152" s="256"/>
      <c r="BA152" s="256"/>
      <c r="BC152" s="137"/>
      <c r="BD152" s="62" t="e">
        <v>#REF!</v>
      </c>
      <c r="BE152" s="178" t="e">
        <f t="shared" si="16"/>
        <v>#REF!</v>
      </c>
    </row>
    <row r="153" spans="2:59" s="178" customFormat="1" ht="6" customHeight="1" x14ac:dyDescent="0.5">
      <c r="B153" s="97"/>
      <c r="C153" s="4"/>
      <c r="D153" s="1081" t="str">
        <f>IF(D151=1,AC139,"")</f>
        <v/>
      </c>
      <c r="E153" s="58"/>
      <c r="F153" s="59"/>
      <c r="G153" s="71"/>
      <c r="H153" s="59"/>
      <c r="I153" s="48"/>
      <c r="J153" s="48"/>
      <c r="K153" s="48"/>
      <c r="L153" s="48"/>
      <c r="M153" s="71"/>
      <c r="N153" s="71"/>
      <c r="O153" s="59"/>
      <c r="P153" s="59"/>
      <c r="Q153" s="59"/>
      <c r="R153" s="44"/>
      <c r="S153" s="1079"/>
      <c r="T153" s="69"/>
      <c r="U153" s="67"/>
      <c r="V153" s="45"/>
      <c r="W153" s="1081" t="str">
        <f>IF(W151=1,AC139,"")</f>
        <v/>
      </c>
      <c r="X153" s="53"/>
      <c r="Y153" s="70"/>
      <c r="Z153" s="4"/>
      <c r="AA153" s="1101"/>
      <c r="AB153" s="1101"/>
      <c r="AC153" s="1102"/>
      <c r="AD153" s="264"/>
      <c r="AE153" s="206"/>
      <c r="AF153" s="106"/>
      <c r="AG153" s="4">
        <f>IF(AC144=$J$369,1,IF(AC144=$J$370,1,IF(AC144=$J$371,2,0)))</f>
        <v>0</v>
      </c>
      <c r="AH153" s="4"/>
      <c r="AI153" s="62">
        <f>IF(AI134=2,$B$532,0)</f>
        <v>0</v>
      </c>
      <c r="AJ153" s="4"/>
      <c r="AK153" s="4"/>
      <c r="AL153" s="4">
        <v>19</v>
      </c>
      <c r="AM153" s="4"/>
      <c r="AN153" s="4"/>
      <c r="AO153" s="4" t="str">
        <f t="shared" si="18"/>
        <v xml:space="preserve"> ()</v>
      </c>
      <c r="AP153" s="242">
        <v>0</v>
      </c>
      <c r="AQ153" s="238" t="str">
        <f t="shared" si="19"/>
        <v/>
      </c>
      <c r="AR153" s="4"/>
      <c r="AS153" s="4"/>
      <c r="AT153" s="4"/>
      <c r="AU153" s="4"/>
      <c r="AV153" s="4"/>
      <c r="AW153" s="4"/>
      <c r="AX153" s="4"/>
      <c r="AY153" s="4"/>
      <c r="AZ153" s="256"/>
      <c r="BA153" s="256"/>
      <c r="BC153" s="137"/>
      <c r="BD153" s="62" t="e">
        <v>#REF!</v>
      </c>
      <c r="BE153" s="178" t="e">
        <f t="shared" si="16"/>
        <v>#REF!</v>
      </c>
    </row>
    <row r="154" spans="2:59" s="178" customFormat="1" ht="22.5" customHeight="1" x14ac:dyDescent="0.5">
      <c r="B154" s="97"/>
      <c r="C154" s="4"/>
      <c r="D154" s="1081"/>
      <c r="E154" s="58"/>
      <c r="F154" s="59"/>
      <c r="G154" s="59"/>
      <c r="H154" s="59"/>
      <c r="I154" s="44" t="s">
        <v>15</v>
      </c>
      <c r="J154" s="48"/>
      <c r="K154" s="48"/>
      <c r="L154" s="48"/>
      <c r="M154" s="48"/>
      <c r="N154" s="48"/>
      <c r="O154" s="59"/>
      <c r="P154" s="44" t="s">
        <v>15</v>
      </c>
      <c r="Q154" s="48"/>
      <c r="R154" s="44"/>
      <c r="S154" s="1080"/>
      <c r="T154" s="69"/>
      <c r="U154" s="44"/>
      <c r="V154" s="60"/>
      <c r="W154" s="1081"/>
      <c r="X154" s="53"/>
      <c r="Y154" s="70"/>
      <c r="Z154" s="4"/>
      <c r="AA154" s="1101"/>
      <c r="AB154" s="1101"/>
      <c r="AC154" s="1102"/>
      <c r="AD154" s="264"/>
      <c r="AE154" s="206"/>
      <c r="AF154" s="106"/>
      <c r="AG154" s="4">
        <f>IF(AC143=0,0,VPRAVO)</f>
        <v>0</v>
      </c>
      <c r="AH154" s="4"/>
      <c r="AI154" s="62">
        <f>IF(AI134=2,$B$533,0)</f>
        <v>0</v>
      </c>
      <c r="AJ154" s="4"/>
      <c r="AK154" s="4"/>
      <c r="AL154" s="4">
        <v>20</v>
      </c>
      <c r="AM154" s="4"/>
      <c r="AN154" s="4"/>
      <c r="AO154" s="4" t="str">
        <f t="shared" si="18"/>
        <v xml:space="preserve"> ()</v>
      </c>
      <c r="AP154" s="242">
        <v>0</v>
      </c>
      <c r="AQ154" s="238" t="str">
        <f t="shared" si="19"/>
        <v/>
      </c>
      <c r="AR154" s="4"/>
      <c r="AS154" s="4"/>
      <c r="AT154" s="4"/>
      <c r="AU154" s="4"/>
      <c r="AV154" s="4"/>
      <c r="AW154" s="4"/>
      <c r="AX154" s="4"/>
      <c r="AY154" s="4"/>
      <c r="AZ154" s="256"/>
      <c r="BA154" s="256"/>
      <c r="BC154" s="137"/>
      <c r="BD154" s="62" t="e">
        <v>#REF!</v>
      </c>
      <c r="BE154" s="178" t="e">
        <f t="shared" si="16"/>
        <v>#REF!</v>
      </c>
    </row>
    <row r="155" spans="2:59" s="178" customFormat="1" ht="26.4" thickBot="1" x14ac:dyDescent="0.55000000000000004">
      <c r="B155" s="97"/>
      <c r="C155" s="4"/>
      <c r="D155" s="1081"/>
      <c r="E155" s="58"/>
      <c r="F155" s="59"/>
      <c r="G155" s="59"/>
      <c r="H155" s="59"/>
      <c r="I155" s="48"/>
      <c r="J155" s="1082"/>
      <c r="K155" s="48"/>
      <c r="L155" s="48"/>
      <c r="M155" s="48"/>
      <c r="N155" s="48"/>
      <c r="O155" s="59"/>
      <c r="P155" s="48"/>
      <c r="Q155" s="48"/>
      <c r="R155" s="59"/>
      <c r="S155" s="72"/>
      <c r="T155" s="72"/>
      <c r="U155" s="63"/>
      <c r="V155" s="60"/>
      <c r="W155" s="1081"/>
      <c r="X155" s="53"/>
      <c r="Y155" s="5"/>
      <c r="Z155" s="4"/>
      <c r="AA155" s="1101" t="str">
        <f>IF(AC139=0,"",IF(AND(OR(AC131="Palio (elox.)",AC131="Siena (elox.)"),AC139&lt;80),MIN_POZ_ZAVES_80,IF(AC139&lt;70,MIN_POZ_ZAVES,"")))</f>
        <v/>
      </c>
      <c r="AB155" s="1101"/>
      <c r="AC155" s="1102"/>
      <c r="AD155" s="257"/>
      <c r="AE155" s="199"/>
      <c r="AF155" s="106"/>
      <c r="AG155" s="4">
        <f>IF(AC143=0,0,VLEVO)</f>
        <v>0</v>
      </c>
      <c r="AH155" s="4"/>
      <c r="AI155" s="66">
        <f>IF(AI134=2,$B$534,0)</f>
        <v>0</v>
      </c>
      <c r="AJ155" s="4"/>
      <c r="AK155" s="4"/>
      <c r="AL155" s="4">
        <v>21</v>
      </c>
      <c r="AM155" s="4"/>
      <c r="AN155" s="4"/>
      <c r="AO155" s="4" t="str">
        <f t="shared" si="18"/>
        <v xml:space="preserve"> ()</v>
      </c>
      <c r="AP155" s="242">
        <v>0</v>
      </c>
      <c r="AQ155" s="238" t="str">
        <f t="shared" si="19"/>
        <v/>
      </c>
      <c r="AR155" s="4"/>
      <c r="AS155" s="4"/>
      <c r="AT155" s="4"/>
      <c r="AU155" s="4"/>
      <c r="AV155" s="4"/>
      <c r="AW155" s="4"/>
      <c r="AX155" s="4"/>
      <c r="AY155" s="4"/>
      <c r="AZ155" s="256"/>
      <c r="BA155" s="256"/>
      <c r="BC155" s="137"/>
      <c r="BD155" s="62" t="e">
        <v>#REF!</v>
      </c>
      <c r="BE155" s="178" t="e">
        <f t="shared" si="16"/>
        <v>#REF!</v>
      </c>
    </row>
    <row r="156" spans="2:59" s="178" customFormat="1" ht="25.8" x14ac:dyDescent="0.5">
      <c r="B156" s="97"/>
      <c r="C156" s="4"/>
      <c r="D156" s="1081"/>
      <c r="E156" s="58"/>
      <c r="F156" s="59"/>
      <c r="G156" s="59"/>
      <c r="H156" s="59"/>
      <c r="I156" s="48"/>
      <c r="J156" s="1083"/>
      <c r="K156" s="48"/>
      <c r="L156" s="48"/>
      <c r="M156" s="48"/>
      <c r="N156" s="48"/>
      <c r="O156" s="59"/>
      <c r="P156" s="48"/>
      <c r="Q156" s="48"/>
      <c r="R156" s="59"/>
      <c r="S156" s="73"/>
      <c r="T156" s="73"/>
      <c r="U156" s="63"/>
      <c r="V156" s="60"/>
      <c r="W156" s="1081"/>
      <c r="X156" s="53"/>
      <c r="Y156" s="4"/>
      <c r="Z156" s="4"/>
      <c r="AA156" s="4"/>
      <c r="AB156" s="4"/>
      <c r="AC156" s="98"/>
      <c r="AD156" s="257"/>
      <c r="AE156" s="199"/>
      <c r="AF156" s="106"/>
      <c r="AG156" s="4">
        <f>IF(AC143=0,0,OBE_STRANY)</f>
        <v>0</v>
      </c>
      <c r="AH156" s="4"/>
      <c r="AI156" s="4"/>
      <c r="AJ156" s="4">
        <f>IF(AC143=0,0,VLOOKUP(AC143,AI157:AJ170,2,0))</f>
        <v>0</v>
      </c>
      <c r="AK156" s="4"/>
      <c r="AL156" s="4">
        <v>22</v>
      </c>
      <c r="AM156" s="4"/>
      <c r="AN156" s="4"/>
      <c r="AO156" s="4" t="str">
        <f t="shared" si="18"/>
        <v xml:space="preserve"> ()</v>
      </c>
      <c r="AP156" s="242">
        <v>0</v>
      </c>
      <c r="AQ156" s="238" t="str">
        <f t="shared" si="19"/>
        <v/>
      </c>
      <c r="AR156" s="4"/>
      <c r="AS156" s="4"/>
      <c r="AT156" s="4"/>
      <c r="AU156" s="4"/>
      <c r="AV156" s="4"/>
      <c r="AW156" s="4"/>
      <c r="AX156" s="4"/>
      <c r="AY156" s="4"/>
      <c r="AZ156" s="256"/>
      <c r="BA156" s="256"/>
      <c r="BB156" s="4"/>
      <c r="BD156" s="62" t="e">
        <v>#REF!</v>
      </c>
      <c r="BE156" s="178" t="e">
        <f t="shared" si="16"/>
        <v>#REF!</v>
      </c>
    </row>
    <row r="157" spans="2:59" s="178" customFormat="1" ht="15.75" customHeight="1" thickBot="1" x14ac:dyDescent="0.55000000000000004">
      <c r="B157" s="97"/>
      <c r="C157" s="4"/>
      <c r="D157" s="1081"/>
      <c r="E157" s="74"/>
      <c r="F157" s="75"/>
      <c r="G157" s="75"/>
      <c r="H157" s="75"/>
      <c r="I157" s="47"/>
      <c r="J157" s="47"/>
      <c r="K157" s="47"/>
      <c r="L157" s="47"/>
      <c r="M157" s="47"/>
      <c r="N157" s="47"/>
      <c r="O157" s="75"/>
      <c r="P157" s="47"/>
      <c r="Q157" s="47"/>
      <c r="R157" s="75"/>
      <c r="S157" s="75"/>
      <c r="T157" s="75"/>
      <c r="U157" s="75"/>
      <c r="V157" s="76"/>
      <c r="W157" s="1081"/>
      <c r="X157" s="53"/>
      <c r="Y157" s="4"/>
      <c r="Z157" s="4"/>
      <c r="AA157" s="4"/>
      <c r="AB157" s="4"/>
      <c r="AC157" s="98"/>
      <c r="AD157" s="257"/>
      <c r="AE157" s="199"/>
      <c r="AF157" s="106"/>
      <c r="AG157" s="4"/>
      <c r="AH157" s="4">
        <f>IF(AA143=Ceny_n!$B$184,IF(AI134=1,Ceny!$F$919,IF(AI134=2,Ceny!$G$919,0)),0)</f>
        <v>0</v>
      </c>
      <c r="AI157" s="4">
        <f>IF(AG162=3,AH157,AH176)</f>
        <v>0</v>
      </c>
      <c r="AJ157" s="4">
        <f>IF(AC134=ZAVESY,Ceny!$E$948,0)</f>
        <v>0</v>
      </c>
      <c r="AK157" s="4"/>
      <c r="AL157" s="4">
        <v>22</v>
      </c>
      <c r="AM157" s="4"/>
      <c r="AN157" s="4"/>
      <c r="AO157" s="4" t="str">
        <f t="shared" si="18"/>
        <v xml:space="preserve"> ()</v>
      </c>
      <c r="AP157" s="242">
        <v>0</v>
      </c>
      <c r="AQ157" s="238" t="str">
        <f t="shared" si="19"/>
        <v/>
      </c>
      <c r="AR157" s="4"/>
      <c r="AS157" s="4" t="e">
        <f>VLOOKUP(AL157,Ceny!$B$963:$E$970,4,0)</f>
        <v>#N/A</v>
      </c>
      <c r="AT157" s="4"/>
      <c r="AU157" s="4"/>
      <c r="AV157" s="4"/>
      <c r="AW157" s="4"/>
      <c r="AX157" s="4"/>
      <c r="AY157" s="4" t="e">
        <f t="shared" ref="AY157:AY171" si="21">AJ157+AS157+AT157+AU157+AW157</f>
        <v>#N/A</v>
      </c>
      <c r="AZ157" s="256"/>
      <c r="BA157" s="256"/>
      <c r="BB157" s="4"/>
      <c r="BD157" s="62" t="e">
        <v>#REF!</v>
      </c>
      <c r="BE157" s="178" t="e">
        <f t="shared" si="16"/>
        <v>#REF!</v>
      </c>
    </row>
    <row r="158" spans="2:59" s="178" customFormat="1" ht="18.600000000000001" thickBot="1" x14ac:dyDescent="0.4">
      <c r="B158" s="97"/>
      <c r="C158" s="4"/>
      <c r="D158" s="1036" t="str">
        <f>IF(H158=1,AC139,"")</f>
        <v/>
      </c>
      <c r="E158" s="1037"/>
      <c r="F158" s="1037"/>
      <c r="G158" s="1037"/>
      <c r="H158" s="51">
        <f>IF(AG162=4,1,0)</f>
        <v>0</v>
      </c>
      <c r="I158" s="51"/>
      <c r="J158" s="51"/>
      <c r="K158" s="51" t="b">
        <f>IF(AG162=4,IF(AC138=4,1,0))</f>
        <v>0</v>
      </c>
      <c r="L158" s="51"/>
      <c r="M158" s="51" t="b">
        <f>IF(AG162=4,IF(AC138=3,1,0))</f>
        <v>0</v>
      </c>
      <c r="N158" s="51"/>
      <c r="O158" s="51" t="b">
        <f>IF(AG162=4,IF(AC138=4,1,0))</f>
        <v>0</v>
      </c>
      <c r="P158" s="51"/>
      <c r="Q158" s="51"/>
      <c r="R158" s="51">
        <f>IF(AG162=4,1,0)</f>
        <v>0</v>
      </c>
      <c r="S158" s="1038" t="str">
        <f>IF(R158=1,AC139,"")</f>
        <v/>
      </c>
      <c r="T158" s="1038"/>
      <c r="U158" s="1038"/>
      <c r="V158" s="1038"/>
      <c r="W158" s="1039"/>
      <c r="X158" s="53"/>
      <c r="Y158" s="54"/>
      <c r="Z158" s="195" t="str">
        <f>IF(OR(AC131=Ceny_n!$B$18,AC131=Ceny_n!$B$19,AC131=Ceny_n!$B$20),Ceny!$B$498,"")</f>
        <v/>
      </c>
      <c r="AA158" s="4"/>
      <c r="AB158" s="4"/>
      <c r="AC158" s="98"/>
      <c r="AD158" s="257"/>
      <c r="AE158" s="199"/>
      <c r="AF158" s="106"/>
      <c r="AG158" s="4">
        <f>IF(AC134=ZAVESY,VPRAVO,0)</f>
        <v>0</v>
      </c>
      <c r="AH158" s="4">
        <f>IF(AA143=Ceny_n!$B$184,IF(AI134=1,Ceny!$F$920,IF(AI134=2,Ceny!$G$920,0)),0)</f>
        <v>0</v>
      </c>
      <c r="AI158" s="4">
        <f>IF(AG162=3,AH158,AH177)</f>
        <v>0</v>
      </c>
      <c r="AJ158" s="4">
        <f>IF(AC134=ZAVESY,Ceny!$E$949,0)</f>
        <v>0</v>
      </c>
      <c r="AK158" s="4"/>
      <c r="AL158" s="4">
        <v>22</v>
      </c>
      <c r="AM158" s="4"/>
      <c r="AN158" s="4"/>
      <c r="AO158" s="4" t="str">
        <f t="shared" si="18"/>
        <v xml:space="preserve"> ()</v>
      </c>
      <c r="AP158" s="242">
        <v>0</v>
      </c>
      <c r="AQ158" s="238" t="str">
        <f t="shared" si="19"/>
        <v/>
      </c>
      <c r="AR158" s="4"/>
      <c r="AS158" s="4" t="e">
        <f>VLOOKUP(AL158,Ceny!$B$963:$E$970,4,0)</f>
        <v>#N/A</v>
      </c>
      <c r="AT158" s="4"/>
      <c r="AU158" s="4"/>
      <c r="AV158" s="4"/>
      <c r="AW158" s="4"/>
      <c r="AX158" s="4"/>
      <c r="AY158" s="4" t="e">
        <f t="shared" si="21"/>
        <v>#N/A</v>
      </c>
      <c r="AZ158" s="256"/>
      <c r="BA158" s="256"/>
      <c r="BB158" s="4"/>
      <c r="BD158" s="62" t="e">
        <v>#REF!</v>
      </c>
      <c r="BE158" s="178" t="e">
        <f t="shared" si="16"/>
        <v>#REF!</v>
      </c>
    </row>
    <row r="159" spans="2:59" s="178" customFormat="1" ht="6" customHeight="1" x14ac:dyDescent="0.3">
      <c r="B159" s="97"/>
      <c r="C159" s="4"/>
      <c r="D159" s="53"/>
      <c r="E159" s="53"/>
      <c r="F159" s="53"/>
      <c r="G159" s="53"/>
      <c r="H159" s="53"/>
      <c r="I159" s="4"/>
      <c r="J159" s="4"/>
      <c r="K159" s="4"/>
      <c r="L159" s="4"/>
      <c r="M159" s="4"/>
      <c r="N159" s="4"/>
      <c r="O159" s="4"/>
      <c r="P159" s="4"/>
      <c r="Q159" s="4"/>
      <c r="R159" s="53"/>
      <c r="S159" s="53"/>
      <c r="T159" s="53"/>
      <c r="U159" s="53"/>
      <c r="V159" s="53"/>
      <c r="W159" s="53"/>
      <c r="X159" s="4"/>
      <c r="Y159" s="4"/>
      <c r="Z159" s="4"/>
      <c r="AA159" s="4"/>
      <c r="AB159" s="4"/>
      <c r="AC159" s="98"/>
      <c r="AD159" s="257"/>
      <c r="AE159" s="199"/>
      <c r="AF159" s="106"/>
      <c r="AG159" s="4">
        <f>IF(AC134=ZAVESY,VLEVO,0)</f>
        <v>0</v>
      </c>
      <c r="AH159" s="4">
        <f>IF(AA143=Ceny_n!$B$184,IF(AI134=1,Ceny!$F$921,IF(AI134=2,Ceny!$G$921,0)),0)</f>
        <v>0</v>
      </c>
      <c r="AI159" s="4">
        <f>IF(AG162=3,AH159,AH178)</f>
        <v>0</v>
      </c>
      <c r="AJ159" s="4">
        <f>IF(AC134=ZAVESY,Ceny!$E$950,0)</f>
        <v>0</v>
      </c>
      <c r="AK159" s="4"/>
      <c r="AL159" s="4">
        <v>22</v>
      </c>
      <c r="AM159" s="4"/>
      <c r="AN159" s="4"/>
      <c r="AO159" s="4" t="str">
        <f t="shared" si="18"/>
        <v xml:space="preserve"> ()</v>
      </c>
      <c r="AP159" s="242">
        <v>0</v>
      </c>
      <c r="AQ159" s="238" t="str">
        <f t="shared" si="19"/>
        <v/>
      </c>
      <c r="AR159" s="4"/>
      <c r="AS159" s="4" t="e">
        <f>VLOOKUP(AL159,Ceny!$B$963:$E$970,4,0)</f>
        <v>#N/A</v>
      </c>
      <c r="AT159" s="4"/>
      <c r="AU159" s="4"/>
      <c r="AV159" s="4"/>
      <c r="AW159" s="4"/>
      <c r="AX159" s="4"/>
      <c r="AY159" s="4" t="e">
        <f t="shared" si="21"/>
        <v>#N/A</v>
      </c>
      <c r="AZ159" s="256"/>
      <c r="BA159" s="256"/>
      <c r="BB159" s="4"/>
      <c r="BD159" s="62" t="e">
        <v>#REF!</v>
      </c>
      <c r="BE159" s="178" t="e">
        <f t="shared" si="16"/>
        <v>#REF!</v>
      </c>
    </row>
    <row r="160" spans="2:59" s="178" customFormat="1" ht="20.25" customHeight="1" thickBot="1" x14ac:dyDescent="0.4">
      <c r="B160" s="97"/>
      <c r="C160" s="4"/>
      <c r="D160" s="54"/>
      <c r="E160" s="54"/>
      <c r="F160" s="54"/>
      <c r="G160" s="54"/>
      <c r="H160" s="4"/>
      <c r="I160" s="1040" t="str">
        <f>Ceny_n!$B$135</f>
        <v xml:space="preserve">Šířka </v>
      </c>
      <c r="J160" s="1041"/>
      <c r="K160" s="1041"/>
      <c r="L160" s="1042"/>
      <c r="M160" s="1042"/>
      <c r="N160" s="1042"/>
      <c r="O160" s="1042"/>
      <c r="P160" s="1042"/>
      <c r="Q160" s="1043"/>
      <c r="R160" s="54"/>
      <c r="S160" s="54"/>
      <c r="T160" s="54"/>
      <c r="U160" s="54"/>
      <c r="V160" s="54"/>
      <c r="W160" s="54"/>
      <c r="X160" s="4"/>
      <c r="Y160" s="4"/>
      <c r="Z160" s="195" t="str">
        <f>IF(L160&gt;1500,Ceny!$B$290,IF(Y136&gt;1500,Ceny!$B$290,""))</f>
        <v/>
      </c>
      <c r="AA160" s="4"/>
      <c r="AB160" s="4"/>
      <c r="AC160" s="98"/>
      <c r="AD160" s="257"/>
      <c r="AE160" s="199"/>
      <c r="AF160" s="106"/>
      <c r="AG160" s="4">
        <f>IF(AC134=ZAVESY,NAHORE,0)</f>
        <v>0</v>
      </c>
      <c r="AH160" s="4">
        <f>IF(AA143=Ceny_n!$B$184,IF(AI134=1,Ceny!$F$922,IF(AI134=2,Ceny!$G$922,0)),0)</f>
        <v>0</v>
      </c>
      <c r="AI160" s="4">
        <f>IF(AG162=3,AH160,AH179)</f>
        <v>0</v>
      </c>
      <c r="AJ160" s="4">
        <f>IF(AC134=ZAVESY,Ceny!$E$951,0)</f>
        <v>0</v>
      </c>
      <c r="AK160" s="4"/>
      <c r="AL160" s="4">
        <v>22</v>
      </c>
      <c r="AM160" s="4"/>
      <c r="AN160" s="4"/>
      <c r="AO160" s="4" t="str">
        <f t="shared" si="18"/>
        <v xml:space="preserve"> ()</v>
      </c>
      <c r="AP160" s="243">
        <v>0</v>
      </c>
      <c r="AQ160" s="240" t="str">
        <f t="shared" si="19"/>
        <v/>
      </c>
      <c r="AR160" s="4"/>
      <c r="AS160" s="4" t="e">
        <f>VLOOKUP(AL160,Ceny!$B$963:$E$970,4,0)</f>
        <v>#N/A</v>
      </c>
      <c r="AT160" s="4"/>
      <c r="AU160" s="4"/>
      <c r="AV160" s="4"/>
      <c r="AW160" s="4"/>
      <c r="AX160" s="4"/>
      <c r="AY160" s="4" t="e">
        <f t="shared" si="21"/>
        <v>#N/A</v>
      </c>
      <c r="AZ160" s="256"/>
      <c r="BA160" s="256"/>
      <c r="BD160" s="62" t="e">
        <v>#REF!</v>
      </c>
      <c r="BE160" s="178" t="e">
        <f t="shared" si="16"/>
        <v>#REF!</v>
      </c>
    </row>
    <row r="161" spans="2:57" s="178" customFormat="1" ht="17.25" customHeight="1" x14ac:dyDescent="0.35">
      <c r="B161" s="97"/>
      <c r="C161" s="4"/>
      <c r="D161" s="54"/>
      <c r="E161" s="54"/>
      <c r="F161" s="54"/>
      <c r="G161" s="54"/>
      <c r="H161" s="77"/>
      <c r="I161" s="77"/>
      <c r="J161" s="77"/>
      <c r="K161" s="78"/>
      <c r="L161" s="78"/>
      <c r="M161" s="79"/>
      <c r="N161" s="79"/>
      <c r="O161" s="79"/>
      <c r="P161" s="79"/>
      <c r="Q161" s="79"/>
      <c r="R161" s="54"/>
      <c r="S161" s="54"/>
      <c r="T161" s="54"/>
      <c r="U161" s="54"/>
      <c r="V161" s="54"/>
      <c r="W161" s="54"/>
      <c r="X161" s="4"/>
      <c r="Y161" s="4"/>
      <c r="Z161" s="1044" t="str">
        <f>Ceny_n!$B$138</f>
        <v>Cena rámečků celkem</v>
      </c>
      <c r="AA161" s="1045"/>
      <c r="AB161" s="1045"/>
      <c r="AC161" s="1048">
        <f>IF(AC131=$B$347,0,(AI131+AM131+AN131+AS131)-((AI131+AM131+AN131+AS131)*$AC$14))</f>
        <v>0</v>
      </c>
      <c r="AD161" s="269"/>
      <c r="AE161" s="214"/>
      <c r="AF161" s="106"/>
      <c r="AG161" s="4">
        <f>IF(AC134=ZAVESY,DOLE,0)</f>
        <v>0</v>
      </c>
      <c r="AH161" s="4">
        <f>IF(AA143=Ceny_n!$B$184,IF(AI134=1,Ceny!$F$923,IF(AI134=2,Ceny!$G$923,0)),0)</f>
        <v>0</v>
      </c>
      <c r="AI161" s="4">
        <f>IF(AG162=3,AH161,AH180)</f>
        <v>0</v>
      </c>
      <c r="AJ161" s="4">
        <f>IF(AC134=ZAVESY,Ceny!$E$952,0)</f>
        <v>0</v>
      </c>
      <c r="AK161" s="4"/>
      <c r="AL161" s="4">
        <f>IF(AI134=1,Ceny!$B$964,0)</f>
        <v>0</v>
      </c>
      <c r="AM161" s="4">
        <v>0</v>
      </c>
      <c r="AN161" s="4">
        <v>0</v>
      </c>
      <c r="AO161" s="4"/>
      <c r="AP161" s="4">
        <v>0</v>
      </c>
      <c r="AQ161" s="4"/>
      <c r="AR161" s="4"/>
      <c r="AS161" s="4">
        <f>VLOOKUP(AL161,Ceny!$B$963:$E$970,4,0)</f>
        <v>0</v>
      </c>
      <c r="AT161" s="4"/>
      <c r="AU161" s="4"/>
      <c r="AV161" s="4"/>
      <c r="AW161" s="4"/>
      <c r="AX161" s="4"/>
      <c r="AY161" s="4">
        <f t="shared" si="21"/>
        <v>0</v>
      </c>
      <c r="AZ161" s="256"/>
      <c r="BA161" s="256"/>
      <c r="BD161" s="62" t="e">
        <v>#REF!</v>
      </c>
      <c r="BE161" s="178" t="e">
        <f t="shared" si="16"/>
        <v>#REF!</v>
      </c>
    </row>
    <row r="162" spans="2:57" s="178" customFormat="1" ht="17.25" customHeight="1" x14ac:dyDescent="0.35">
      <c r="B162" s="97"/>
      <c r="C162" s="4"/>
      <c r="D162" s="54"/>
      <c r="E162" s="54"/>
      <c r="F162" s="54"/>
      <c r="G162" s="54"/>
      <c r="H162" s="77"/>
      <c r="I162" s="77"/>
      <c r="J162" s="77"/>
      <c r="K162" s="78"/>
      <c r="L162" s="78"/>
      <c r="M162" s="79"/>
      <c r="N162" s="79"/>
      <c r="O162" s="79"/>
      <c r="P162" s="79"/>
      <c r="Q162" s="79"/>
      <c r="R162" s="54"/>
      <c r="S162" s="54"/>
      <c r="T162" s="54"/>
      <c r="U162" s="54"/>
      <c r="V162" s="54"/>
      <c r="W162" s="54"/>
      <c r="X162" s="4"/>
      <c r="Y162" s="4"/>
      <c r="Z162" s="1046"/>
      <c r="AA162" s="1047"/>
      <c r="AB162" s="1047"/>
      <c r="AC162" s="1049"/>
      <c r="AD162" s="269"/>
      <c r="AE162" s="214"/>
      <c r="AF162" s="106"/>
      <c r="AG162" s="4">
        <f>IF(AC142=VPRAVO,1,IF('Běžné rámečky'!AC142=VLEVO,2,IF('Běžné rámečky'!AC142=NAHORE,3,IF('Běžné rámečky'!AC142=DOLE,4,0))))</f>
        <v>0</v>
      </c>
      <c r="AH162" s="4">
        <f>IF(AA143=Ceny_n!$B$184,IF(AI134=1,Ceny!$F$924,IF(AI134=2,Ceny!$G$924,0)),0)</f>
        <v>0</v>
      </c>
      <c r="AI162" s="4" t="str">
        <f>IF(AG162=3,AH162,AH181)</f>
        <v xml:space="preserve"> </v>
      </c>
      <c r="AJ162" s="4">
        <f>IF(AC134=ZAVESY,Ceny!$E$953,0)</f>
        <v>0</v>
      </c>
      <c r="AK162" s="4"/>
      <c r="AL162" s="80">
        <f>Ceny_n!$B$965</f>
        <v>15585</v>
      </c>
      <c r="AM162" s="4">
        <v>0</v>
      </c>
      <c r="AN162" s="4">
        <v>0</v>
      </c>
      <c r="AO162" s="4"/>
      <c r="AP162" s="4">
        <v>0</v>
      </c>
      <c r="AQ162" s="4"/>
      <c r="AR162" s="4"/>
      <c r="AS162" s="4">
        <f>VLOOKUP(AL162,Ceny!$B$963:$E$970,4,0)</f>
        <v>3.1249699999999998</v>
      </c>
      <c r="AT162" s="4"/>
      <c r="AU162" s="4"/>
      <c r="AV162" s="4"/>
      <c r="AW162" s="4"/>
      <c r="AX162" s="4"/>
      <c r="AY162" s="4">
        <f t="shared" si="21"/>
        <v>3.1249699999999998</v>
      </c>
      <c r="AZ162" s="256"/>
      <c r="BA162" s="256"/>
      <c r="BD162" s="62" t="e">
        <v>#REF!</v>
      </c>
      <c r="BE162" s="178" t="e">
        <f t="shared" si="16"/>
        <v>#REF!</v>
      </c>
    </row>
    <row r="163" spans="2:57" s="178" customFormat="1" ht="13.5" customHeight="1" x14ac:dyDescent="0.35">
      <c r="B163" s="97"/>
      <c r="C163" s="4"/>
      <c r="D163" s="54"/>
      <c r="E163" s="54"/>
      <c r="F163" s="54"/>
      <c r="G163" s="54"/>
      <c r="H163" s="77"/>
      <c r="I163" s="77"/>
      <c r="J163" s="77"/>
      <c r="K163" s="78"/>
      <c r="L163" s="78"/>
      <c r="M163" s="79"/>
      <c r="N163" s="79"/>
      <c r="O163" s="79"/>
      <c r="P163" s="79"/>
      <c r="Q163" s="79"/>
      <c r="R163" s="54"/>
      <c r="S163" s="54"/>
      <c r="T163" s="54"/>
      <c r="U163" s="54"/>
      <c r="V163" s="54"/>
      <c r="W163" s="54"/>
      <c r="X163" s="4"/>
      <c r="Y163" s="4"/>
      <c r="Z163" s="1050" t="str">
        <f>Ceny_n!$B$140</f>
        <v>Cena za kompletní objednávku</v>
      </c>
      <c r="AA163" s="1051"/>
      <c r="AB163" s="1051"/>
      <c r="AC163" s="1054" t="e">
        <f>SUM($AC$53,$AC$107,$AC$161,$AC$215,$AC$269,$AC$323)</f>
        <v>#REF!</v>
      </c>
      <c r="AD163" s="269"/>
      <c r="AE163" s="214"/>
      <c r="AF163" s="106"/>
      <c r="AG163" s="4"/>
      <c r="AH163" s="4">
        <f>IF(AA143=Ceny_n!$B$184,IF(AI134=1,Ceny!$F$925,IF(AI134=2,Ceny!$G$925,0)),0)</f>
        <v>0</v>
      </c>
      <c r="AI163" s="4" t="str">
        <f>IF(AG162=3,AH163,AH181)</f>
        <v xml:space="preserve"> </v>
      </c>
      <c r="AJ163" s="4">
        <f>IF(AC134=ZAVESY,Ceny!$E$954,0)</f>
        <v>0</v>
      </c>
      <c r="AK163" s="4"/>
      <c r="AL163" s="80">
        <f>Ceny_n!$B$965</f>
        <v>15585</v>
      </c>
      <c r="AM163" s="4">
        <v>0</v>
      </c>
      <c r="AN163" s="4">
        <v>0</v>
      </c>
      <c r="AO163" s="4"/>
      <c r="AP163" s="4">
        <v>0</v>
      </c>
      <c r="AQ163" s="4"/>
      <c r="AR163" s="4"/>
      <c r="AS163" s="4">
        <f>VLOOKUP(AL163,Ceny!$B$963:$E$970,4,0)</f>
        <v>3.1249699999999998</v>
      </c>
      <c r="AT163" s="4"/>
      <c r="AU163" s="4"/>
      <c r="AV163" s="4"/>
      <c r="AW163" s="4"/>
      <c r="AX163" s="4"/>
      <c r="AY163" s="4">
        <f t="shared" si="21"/>
        <v>3.1249699999999998</v>
      </c>
      <c r="AZ163" s="256"/>
      <c r="BA163" s="256"/>
      <c r="BD163" s="62" t="e">
        <v>#REF!</v>
      </c>
      <c r="BE163" s="178" t="e">
        <f t="shared" si="16"/>
        <v>#REF!</v>
      </c>
    </row>
    <row r="164" spans="2:57" s="178" customFormat="1" ht="17.25" customHeight="1" x14ac:dyDescent="0.35">
      <c r="B164" s="97"/>
      <c r="C164" s="4"/>
      <c r="D164" s="54"/>
      <c r="E164" s="54"/>
      <c r="F164" s="54"/>
      <c r="G164" s="54"/>
      <c r="H164" s="77"/>
      <c r="I164" s="77"/>
      <c r="J164" s="77"/>
      <c r="K164" s="78"/>
      <c r="L164" s="78"/>
      <c r="M164" s="79"/>
      <c r="N164" s="79"/>
      <c r="O164" s="79"/>
      <c r="P164" s="79"/>
      <c r="Q164" s="79"/>
      <c r="R164" s="54"/>
      <c r="S164" s="54"/>
      <c r="T164" s="54"/>
      <c r="U164" s="54"/>
      <c r="V164" s="54"/>
      <c r="W164" s="54"/>
      <c r="X164" s="4"/>
      <c r="Y164" s="4"/>
      <c r="Z164" s="1052"/>
      <c r="AA164" s="1053"/>
      <c r="AB164" s="1053"/>
      <c r="AC164" s="1055"/>
      <c r="AD164" s="270"/>
      <c r="AE164" s="215"/>
      <c r="AF164" s="106"/>
      <c r="AG164" s="4"/>
      <c r="AH164" s="4">
        <f>IF(AA143=Ceny_n!$B$184,IF(AI134=1,Ceny!$F$926,IF(AI134=2,Ceny!$G$926,0)),0)</f>
        <v>0</v>
      </c>
      <c r="AI164" s="4" t="str">
        <f>IF(AG162=3,AH164,AH181)</f>
        <v xml:space="preserve"> </v>
      </c>
      <c r="AJ164" s="4">
        <f>IF(AC134=ZAVESY,Ceny!$E$955,0)</f>
        <v>0</v>
      </c>
      <c r="AK164" s="4"/>
      <c r="AL164" s="80">
        <f>Ceny_n!$B$965</f>
        <v>15585</v>
      </c>
      <c r="AM164" s="4">
        <v>0</v>
      </c>
      <c r="AN164" s="4">
        <v>0</v>
      </c>
      <c r="AO164" s="4"/>
      <c r="AP164" s="4">
        <v>0</v>
      </c>
      <c r="AQ164" s="4"/>
      <c r="AR164" s="4"/>
      <c r="AS164" s="4">
        <f>VLOOKUP(AL164,Ceny!$B$963:$E$970,4,0)</f>
        <v>3.1249699999999998</v>
      </c>
      <c r="AT164" s="4"/>
      <c r="AU164" s="4"/>
      <c r="AV164" s="4"/>
      <c r="AW164" s="4"/>
      <c r="AX164" s="4"/>
      <c r="AY164" s="4">
        <f t="shared" si="21"/>
        <v>3.1249699999999998</v>
      </c>
      <c r="AZ164" s="256"/>
      <c r="BA164" s="256"/>
      <c r="BD164" s="62" t="e">
        <v>#REF!</v>
      </c>
      <c r="BE164" s="178" t="e">
        <f t="shared" si="16"/>
        <v>#REF!</v>
      </c>
    </row>
    <row r="165" spans="2:57" s="178" customFormat="1" ht="7.5" customHeight="1" x14ac:dyDescent="0.3">
      <c r="B165" s="97"/>
      <c r="C165" s="4"/>
      <c r="D165" s="54"/>
      <c r="E165" s="54"/>
      <c r="F165" s="54"/>
      <c r="G165" s="54"/>
      <c r="H165" s="77"/>
      <c r="I165" s="77"/>
      <c r="J165" s="77"/>
      <c r="K165" s="78"/>
      <c r="L165" s="78"/>
      <c r="M165" s="79"/>
      <c r="N165" s="79"/>
      <c r="O165" s="79"/>
      <c r="P165" s="79"/>
      <c r="Q165" s="79"/>
      <c r="R165" s="54"/>
      <c r="S165" s="54"/>
      <c r="T165" s="54"/>
      <c r="U165" s="54"/>
      <c r="V165" s="54"/>
      <c r="W165" s="54"/>
      <c r="X165" s="4"/>
      <c r="Y165" s="4"/>
      <c r="Z165" s="1056" t="str">
        <f>Ceny_n!$B$131</f>
        <v>Uvedené ceny jsou bez DPH a nezahrnují cenu požadovaného kování!</v>
      </c>
      <c r="AA165" s="1056"/>
      <c r="AB165" s="1056"/>
      <c r="AC165" s="1057"/>
      <c r="AD165" s="257"/>
      <c r="AE165" s="199"/>
      <c r="AF165" s="106"/>
      <c r="AG165" s="4"/>
      <c r="AH165" s="4">
        <f>IF(AA143=Ceny_n!$B$184,IF(AI134=1,Ceny!$F$927,IF(AI134=2,Ceny!$G$927,0)),0)</f>
        <v>0</v>
      </c>
      <c r="AI165" s="4" t="str">
        <f>IF(AG162=3,AH165,AH181)</f>
        <v xml:space="preserve"> </v>
      </c>
      <c r="AJ165" s="4">
        <f>IF(AC134=ZAVESY,Ceny!$E$956,0)</f>
        <v>0</v>
      </c>
      <c r="AK165" s="4"/>
      <c r="AL165" s="80">
        <f>Ceny_n!$B$965</f>
        <v>15585</v>
      </c>
      <c r="AM165" s="4">
        <v>0</v>
      </c>
      <c r="AN165" s="4">
        <v>0</v>
      </c>
      <c r="AO165" s="4"/>
      <c r="AP165" s="4">
        <v>0</v>
      </c>
      <c r="AQ165" s="4"/>
      <c r="AR165" s="4"/>
      <c r="AS165" s="4">
        <f>VLOOKUP(AL165,Ceny!$B$963:$E$970,4,0)</f>
        <v>3.1249699999999998</v>
      </c>
      <c r="AT165" s="4"/>
      <c r="AU165" s="4"/>
      <c r="AV165" s="4"/>
      <c r="AW165" s="4"/>
      <c r="AX165" s="4"/>
      <c r="AY165" s="4">
        <f t="shared" si="21"/>
        <v>3.1249699999999998</v>
      </c>
      <c r="AZ165" s="256"/>
      <c r="BA165" s="256"/>
      <c r="BD165" s="62" t="e">
        <v>#REF!</v>
      </c>
      <c r="BE165" s="178" t="e">
        <f t="shared" si="16"/>
        <v>#REF!</v>
      </c>
    </row>
    <row r="166" spans="2:57" s="4" customFormat="1" ht="7.5" customHeight="1" x14ac:dyDescent="0.3">
      <c r="B166" s="99"/>
      <c r="C166" s="100"/>
      <c r="D166" s="100"/>
      <c r="E166" s="100"/>
      <c r="F166" s="100"/>
      <c r="G166" s="100"/>
      <c r="H166" s="100"/>
      <c r="I166" s="101"/>
      <c r="J166" s="101"/>
      <c r="K166" s="101"/>
      <c r="L166" s="101"/>
      <c r="M166" s="101"/>
      <c r="N166" s="101"/>
      <c r="O166" s="102"/>
      <c r="P166" s="100"/>
      <c r="Q166" s="100"/>
      <c r="R166" s="100"/>
      <c r="S166" s="100"/>
      <c r="T166" s="100"/>
      <c r="U166" s="100"/>
      <c r="V166" s="100"/>
      <c r="W166" s="100"/>
      <c r="X166" s="100"/>
      <c r="Y166" s="100"/>
      <c r="Z166" s="1058"/>
      <c r="AA166" s="1058"/>
      <c r="AB166" s="1058"/>
      <c r="AC166" s="1059"/>
      <c r="AD166" s="257"/>
      <c r="AE166" s="199"/>
      <c r="AF166" s="106"/>
      <c r="AH166" s="4">
        <f>IF(AA143=Ceny_n!$B$184,IF(AI134=1,Ceny!$F$928,IF(AI134=2,Ceny!$G$928,0)),0)</f>
        <v>0</v>
      </c>
      <c r="AI166" s="4" t="str">
        <f>IF(AG162=3,AH166,AH181)</f>
        <v xml:space="preserve"> </v>
      </c>
      <c r="AJ166" s="4">
        <f>IF(AC134=ZAVESY,Ceny!$E$957,0)</f>
        <v>0</v>
      </c>
      <c r="AL166" s="80">
        <f>Ceny_n!$B$965</f>
        <v>15585</v>
      </c>
      <c r="AM166" s="4">
        <v>0</v>
      </c>
      <c r="AN166" s="4">
        <v>0</v>
      </c>
      <c r="AP166" s="4">
        <v>0</v>
      </c>
      <c r="AS166" s="4">
        <f>VLOOKUP(AL166,Ceny!$B$963:$E$970,4,0)</f>
        <v>3.1249699999999998</v>
      </c>
      <c r="AY166" s="4">
        <f t="shared" si="21"/>
        <v>3.1249699999999998</v>
      </c>
      <c r="AZ166" s="256"/>
      <c r="BA166" s="256"/>
      <c r="BB166" s="178"/>
      <c r="BD166" s="62" t="e">
        <v>#REF!</v>
      </c>
      <c r="BE166" s="178" t="e">
        <f t="shared" si="16"/>
        <v>#REF!</v>
      </c>
    </row>
    <row r="167" spans="2:57" s="178" customFormat="1" ht="6.9" customHeight="1" x14ac:dyDescent="0.3">
      <c r="B167" s="1024" t="str">
        <f>Ceny_n!$B$137</f>
        <v>Poznámky</v>
      </c>
      <c r="C167" s="1025"/>
      <c r="D167" s="1025"/>
      <c r="E167" s="1025"/>
      <c r="F167" s="1025"/>
      <c r="G167" s="1030"/>
      <c r="H167" s="1030"/>
      <c r="I167" s="1030"/>
      <c r="J167" s="1030"/>
      <c r="K167" s="1030"/>
      <c r="L167" s="1030"/>
      <c r="M167" s="1030"/>
      <c r="N167" s="1030"/>
      <c r="O167" s="1030"/>
      <c r="P167" s="1030"/>
      <c r="Q167" s="1030"/>
      <c r="R167" s="1030"/>
      <c r="S167" s="1030"/>
      <c r="T167" s="1030"/>
      <c r="U167" s="1030"/>
      <c r="V167" s="1030"/>
      <c r="W167" s="1030"/>
      <c r="X167" s="1030"/>
      <c r="Y167" s="1030"/>
      <c r="Z167" s="1030"/>
      <c r="AA167" s="1030"/>
      <c r="AB167" s="1030"/>
      <c r="AC167" s="1031"/>
      <c r="AD167" s="271"/>
      <c r="AE167" s="216"/>
      <c r="AF167" s="106"/>
      <c r="AG167" s="4"/>
      <c r="AH167" s="4">
        <f>IF(AA143=Ceny_n!$B$184,IF(AI134=1,Ceny!$F$929,IF(AI134=2,Ceny!$G$929,0)),0)</f>
        <v>0</v>
      </c>
      <c r="AI167" s="4" t="str">
        <f>IF(AG162=3,AH167,AH181)</f>
        <v xml:space="preserve"> </v>
      </c>
      <c r="AJ167" s="4">
        <f>IF(AC134=ZAVESY,Ceny!$E$958,0)</f>
        <v>0</v>
      </c>
      <c r="AK167" s="4"/>
      <c r="AL167" s="178">
        <f>Ceny_n!$B$968</f>
        <v>15596</v>
      </c>
      <c r="AM167" s="4">
        <f>Ceny_n!$B$967</f>
        <v>15595</v>
      </c>
      <c r="AN167" s="81">
        <f>IF(AI134=1,Ceny!$B$967,0)</f>
        <v>0</v>
      </c>
      <c r="AO167" s="81"/>
      <c r="AP167" s="81">
        <f>IF(AI134=1,Ceny!$B$968,0)</f>
        <v>0</v>
      </c>
      <c r="AQ167" s="81"/>
      <c r="AR167" s="81">
        <f>IF(AI134=1,Ceny!$B$969,0)</f>
        <v>0</v>
      </c>
      <c r="AS167" s="4">
        <f>VLOOKUP(AL167,Ceny!$B$963:$E$970,4,0)</f>
        <v>11.9</v>
      </c>
      <c r="AT167" s="4">
        <f>VLOOKUP(AM167,Ceny!$B$963:$E$970,4,0)</f>
        <v>13.4</v>
      </c>
      <c r="AU167" s="4">
        <f>VLOOKUP(AN167,Ceny!$B$963:$E$970,4,0)</f>
        <v>0</v>
      </c>
      <c r="AV167" s="4"/>
      <c r="AW167" s="4">
        <f>2*(VLOOKUP(AP167,Ceny!$B$963:$E$970,4,0))</f>
        <v>0</v>
      </c>
      <c r="AX167" s="4">
        <f>2*(VLOOKUP(AR167,Ceny!$B$963:$E$970,4,0))</f>
        <v>0</v>
      </c>
      <c r="AY167" s="4">
        <f t="shared" si="21"/>
        <v>25.3</v>
      </c>
      <c r="AZ167" s="256"/>
      <c r="BA167" s="256"/>
      <c r="BD167" s="62" t="e">
        <v>#REF!</v>
      </c>
      <c r="BE167" s="178" t="e">
        <f t="shared" si="16"/>
        <v>#REF!</v>
      </c>
    </row>
    <row r="168" spans="2:57" s="178" customFormat="1" ht="6.9" customHeight="1" x14ac:dyDescent="0.3">
      <c r="B168" s="1026"/>
      <c r="C168" s="1027"/>
      <c r="D168" s="1027"/>
      <c r="E168" s="1027"/>
      <c r="F168" s="1027"/>
      <c r="G168" s="1032"/>
      <c r="H168" s="1032"/>
      <c r="I168" s="1032"/>
      <c r="J168" s="1032"/>
      <c r="K168" s="1032"/>
      <c r="L168" s="1032"/>
      <c r="M168" s="1032"/>
      <c r="N168" s="1032"/>
      <c r="O168" s="1032"/>
      <c r="P168" s="1032"/>
      <c r="Q168" s="1032"/>
      <c r="R168" s="1032"/>
      <c r="S168" s="1032"/>
      <c r="T168" s="1032"/>
      <c r="U168" s="1032"/>
      <c r="V168" s="1032"/>
      <c r="W168" s="1032"/>
      <c r="X168" s="1032"/>
      <c r="Y168" s="1032"/>
      <c r="Z168" s="1032"/>
      <c r="AA168" s="1032"/>
      <c r="AB168" s="1032"/>
      <c r="AC168" s="1033"/>
      <c r="AD168" s="271"/>
      <c r="AE168" s="216"/>
      <c r="AF168" s="106"/>
      <c r="AG168" s="4"/>
      <c r="AH168" s="4">
        <f>IF(AA143=Ceny_n!$B$184,IF(AI134=1,Ceny!$F$930,IF(AI134=2,Ceny!$G$930,0)),0)</f>
        <v>0</v>
      </c>
      <c r="AI168" s="4" t="str">
        <f>IF(AG162=3,AH168,AH181)</f>
        <v xml:space="preserve"> </v>
      </c>
      <c r="AJ168" s="4">
        <f>IF(AC134=ZAVESY,Ceny!$E$959,0)</f>
        <v>0</v>
      </c>
      <c r="AK168" s="4"/>
      <c r="AL168" s="178">
        <f>Ceny_n!$B$968</f>
        <v>15596</v>
      </c>
      <c r="AM168" s="4">
        <f>Ceny_n!$B$967</f>
        <v>15595</v>
      </c>
      <c r="AN168" s="81">
        <f>IF(AI134=1,Ceny!$B$967,0)</f>
        <v>0</v>
      </c>
      <c r="AO168" s="81"/>
      <c r="AP168" s="81">
        <f>IF(AI134=1,Ceny!$B$968,0)</f>
        <v>0</v>
      </c>
      <c r="AQ168" s="81"/>
      <c r="AR168" s="81">
        <f>IF(AI134=1,Ceny!$B$969,0)</f>
        <v>0</v>
      </c>
      <c r="AS168" s="4">
        <f>VLOOKUP(AL168,Ceny!$B$963:$E$970,4,0)</f>
        <v>11.9</v>
      </c>
      <c r="AT168" s="4">
        <f>VLOOKUP(AM168,Ceny!$B$963:$E$970,4,0)</f>
        <v>13.4</v>
      </c>
      <c r="AU168" s="4">
        <f>VLOOKUP(AN168,Ceny!$B$963:$E$970,4,0)</f>
        <v>0</v>
      </c>
      <c r="AV168" s="4"/>
      <c r="AW168" s="4">
        <f>2*(VLOOKUP(AP168,Ceny!$B$963:$E$970,4,0))</f>
        <v>0</v>
      </c>
      <c r="AX168" s="4">
        <f>2*(VLOOKUP(AR168,Ceny!$B$963:$E$970,4,0))</f>
        <v>0</v>
      </c>
      <c r="AY168" s="4">
        <f t="shared" si="21"/>
        <v>25.3</v>
      </c>
      <c r="AZ168" s="256"/>
      <c r="BA168" s="256"/>
      <c r="BD168" s="62" t="e">
        <v>#REF!</v>
      </c>
      <c r="BE168" s="178" t="e">
        <f t="shared" si="16"/>
        <v>#REF!</v>
      </c>
    </row>
    <row r="169" spans="2:57" s="178" customFormat="1" ht="6.9" customHeight="1" x14ac:dyDescent="0.3">
      <c r="B169" s="1026"/>
      <c r="C169" s="1027"/>
      <c r="D169" s="1027"/>
      <c r="E169" s="1027"/>
      <c r="F169" s="1027"/>
      <c r="G169" s="1032"/>
      <c r="H169" s="1032"/>
      <c r="I169" s="1032"/>
      <c r="J169" s="1032"/>
      <c r="K169" s="1032"/>
      <c r="L169" s="1032"/>
      <c r="M169" s="1032"/>
      <c r="N169" s="1032"/>
      <c r="O169" s="1032"/>
      <c r="P169" s="1032"/>
      <c r="Q169" s="1032"/>
      <c r="R169" s="1032"/>
      <c r="S169" s="1032"/>
      <c r="T169" s="1032"/>
      <c r="U169" s="1032"/>
      <c r="V169" s="1032"/>
      <c r="W169" s="1032"/>
      <c r="X169" s="1032"/>
      <c r="Y169" s="1032"/>
      <c r="Z169" s="1032"/>
      <c r="AA169" s="1032"/>
      <c r="AB169" s="1032"/>
      <c r="AC169" s="1033"/>
      <c r="AD169" s="271"/>
      <c r="AE169" s="216"/>
      <c r="AF169" s="106"/>
      <c r="AG169" s="4"/>
      <c r="AH169" s="4">
        <f>IF(AA143=Ceny_n!$B$184,IF(AI134=1,Ceny!$F$931,IF(AI134=2,Ceny!$G$931,0)),0)</f>
        <v>0</v>
      </c>
      <c r="AI169" s="4" t="str">
        <f>IF(AG162=3,AH169,AH181)</f>
        <v xml:space="preserve"> </v>
      </c>
      <c r="AJ169" s="4">
        <f>IF(AC134=ZAVESY,Ceny!$E$960,0)</f>
        <v>0</v>
      </c>
      <c r="AK169" s="4"/>
      <c r="AL169" s="178">
        <f>Ceny_n!$B$968</f>
        <v>15596</v>
      </c>
      <c r="AM169" s="4">
        <f>Ceny_n!$B$967</f>
        <v>15595</v>
      </c>
      <c r="AN169" s="81">
        <f>IF(AI134=1,Ceny!$B$967,0)</f>
        <v>0</v>
      </c>
      <c r="AO169" s="81"/>
      <c r="AP169" s="81">
        <f>IF(AI134=1,Ceny!$B$968,0)</f>
        <v>0</v>
      </c>
      <c r="AQ169" s="81"/>
      <c r="AR169" s="81">
        <f>IF(AI134=1,Ceny!$B$969,0)</f>
        <v>0</v>
      </c>
      <c r="AS169" s="4">
        <f>VLOOKUP(AL169,Ceny!$B$963:$E$970,4,0)</f>
        <v>11.9</v>
      </c>
      <c r="AT169" s="4">
        <f>VLOOKUP(AM169,Ceny!$B$963:$E$970,4,0)</f>
        <v>13.4</v>
      </c>
      <c r="AU169" s="4">
        <f>VLOOKUP(AN169,Ceny!$B$963:$E$970,4,0)</f>
        <v>0</v>
      </c>
      <c r="AV169" s="4"/>
      <c r="AW169" s="4">
        <f>2*(VLOOKUP(AP169,Ceny!$B$963:$E$970,4,0))</f>
        <v>0</v>
      </c>
      <c r="AX169" s="4">
        <f>2*(VLOOKUP(AR169,Ceny!$B$963:$E$970,4,0))</f>
        <v>0</v>
      </c>
      <c r="AY169" s="4">
        <f t="shared" si="21"/>
        <v>25.3</v>
      </c>
      <c r="AZ169" s="256"/>
      <c r="BA169" s="256"/>
      <c r="BD169" s="62" t="e">
        <v>#REF!</v>
      </c>
      <c r="BE169" s="178" t="e">
        <f t="shared" si="16"/>
        <v>#REF!</v>
      </c>
    </row>
    <row r="170" spans="2:57" s="178" customFormat="1" ht="6.9" customHeight="1" x14ac:dyDescent="0.3">
      <c r="B170" s="1026"/>
      <c r="C170" s="1027"/>
      <c r="D170" s="1027"/>
      <c r="E170" s="1027"/>
      <c r="F170" s="1027"/>
      <c r="G170" s="1032"/>
      <c r="H170" s="1032"/>
      <c r="I170" s="1032"/>
      <c r="J170" s="1032"/>
      <c r="K170" s="1032"/>
      <c r="L170" s="1032"/>
      <c r="M170" s="1032"/>
      <c r="N170" s="1032"/>
      <c r="O170" s="1032"/>
      <c r="P170" s="1032"/>
      <c r="Q170" s="1032"/>
      <c r="R170" s="1032"/>
      <c r="S170" s="1032"/>
      <c r="T170" s="1032"/>
      <c r="U170" s="1032"/>
      <c r="V170" s="1032"/>
      <c r="W170" s="1032"/>
      <c r="X170" s="1032"/>
      <c r="Y170" s="1032"/>
      <c r="Z170" s="1032"/>
      <c r="AA170" s="1032"/>
      <c r="AB170" s="1032"/>
      <c r="AC170" s="1033"/>
      <c r="AD170" s="271"/>
      <c r="AE170" s="216"/>
      <c r="AF170" s="106"/>
      <c r="AG170" s="4"/>
      <c r="AH170" s="4">
        <f>IF(AA143=Ceny_n!$B$184,IF(AI134=1,Ceny!$F$932,IF(AI134=2,Ceny!$G$932,0)),0)</f>
        <v>0</v>
      </c>
      <c r="AI170" s="4" t="str">
        <f>IF(AG162=3,AH170,AH181)</f>
        <v xml:space="preserve"> </v>
      </c>
      <c r="AJ170" s="4">
        <f>IF(AC134=ZAVESY,Ceny!$E$961,0)</f>
        <v>0</v>
      </c>
      <c r="AK170" s="4"/>
      <c r="AL170" s="178">
        <f>Ceny_n!$B$968</f>
        <v>15596</v>
      </c>
      <c r="AM170" s="4">
        <f>Ceny_n!$B$967</f>
        <v>15595</v>
      </c>
      <c r="AN170" s="81">
        <f>IF(AI134=1,Ceny!$B$967,0)</f>
        <v>0</v>
      </c>
      <c r="AO170" s="81"/>
      <c r="AP170" s="81">
        <f>IF(AI134=1,Ceny!$B$968,0)</f>
        <v>0</v>
      </c>
      <c r="AQ170" s="81"/>
      <c r="AR170" s="81">
        <f>IF(AI134=1,Ceny!$B$969,0)</f>
        <v>0</v>
      </c>
      <c r="AS170" s="4">
        <f>VLOOKUP(AL170,Ceny!$B$963:$E$970,4,0)</f>
        <v>11.9</v>
      </c>
      <c r="AT170" s="4">
        <f>VLOOKUP(AM170,Ceny!$B$963:$E$970,4,0)</f>
        <v>13.4</v>
      </c>
      <c r="AU170" s="4">
        <f>VLOOKUP(AN170,Ceny!$B$963:$E$970,4,0)</f>
        <v>0</v>
      </c>
      <c r="AV170" s="4"/>
      <c r="AW170" s="4">
        <f>2*(VLOOKUP(AP170,Ceny!$B$963:$E$970,4,0))</f>
        <v>0</v>
      </c>
      <c r="AX170" s="4">
        <f>2*(VLOOKUP(AR170,Ceny!$B$963:$E$970,4,0))</f>
        <v>0</v>
      </c>
      <c r="AY170" s="4">
        <f t="shared" si="21"/>
        <v>25.3</v>
      </c>
      <c r="AZ170" s="256"/>
      <c r="BA170" s="256"/>
      <c r="BD170" s="62" t="e">
        <v>#REF!</v>
      </c>
      <c r="BE170" s="178" t="e">
        <f t="shared" si="16"/>
        <v>#REF!</v>
      </c>
    </row>
    <row r="171" spans="2:57" s="178" customFormat="1" ht="6.9" customHeight="1" x14ac:dyDescent="0.3">
      <c r="B171" s="1026"/>
      <c r="C171" s="1027"/>
      <c r="D171" s="1027"/>
      <c r="E171" s="1027"/>
      <c r="F171" s="1027"/>
      <c r="G171" s="1032"/>
      <c r="H171" s="1032"/>
      <c r="I171" s="1032"/>
      <c r="J171" s="1032"/>
      <c r="K171" s="1032"/>
      <c r="L171" s="1032"/>
      <c r="M171" s="1032"/>
      <c r="N171" s="1032"/>
      <c r="O171" s="1032"/>
      <c r="P171" s="1032"/>
      <c r="Q171" s="1032"/>
      <c r="R171" s="1032"/>
      <c r="S171" s="1032"/>
      <c r="T171" s="1032"/>
      <c r="U171" s="1032"/>
      <c r="V171" s="1032"/>
      <c r="W171" s="1032"/>
      <c r="X171" s="1032"/>
      <c r="Y171" s="1032"/>
      <c r="Z171" s="1032"/>
      <c r="AA171" s="1032"/>
      <c r="AB171" s="1032"/>
      <c r="AC171" s="1033"/>
      <c r="AD171" s="271"/>
      <c r="AE171" s="216"/>
      <c r="AF171" s="106"/>
      <c r="AG171" s="4"/>
      <c r="AH171" s="4">
        <f>IF(AA143=Ceny_n!$B$184,IF(AI134=1,Ceny!$F$933,IF(AI134=2,Ceny!$G$933,0)),0)</f>
        <v>0</v>
      </c>
      <c r="AI171" s="4" t="str">
        <f>IF(AG162=3,AH171,AH181)</f>
        <v xml:space="preserve"> </v>
      </c>
      <c r="AJ171" s="4">
        <f>IF(AC134=ZAVESY,Ceny!$E$962,0)</f>
        <v>0</v>
      </c>
      <c r="AK171" s="4"/>
      <c r="AL171" s="4"/>
      <c r="AM171" s="4"/>
      <c r="AN171" s="4"/>
      <c r="AO171" s="4"/>
      <c r="AP171" s="4"/>
      <c r="AQ171" s="4"/>
      <c r="AR171" s="4"/>
      <c r="AS171" s="4"/>
      <c r="AT171" s="4"/>
      <c r="AU171" s="4"/>
      <c r="AV171" s="4"/>
      <c r="AW171" s="4"/>
      <c r="AX171" s="4"/>
      <c r="AY171" s="4">
        <f t="shared" si="21"/>
        <v>0</v>
      </c>
      <c r="AZ171" s="256"/>
      <c r="BA171" s="256"/>
      <c r="BB171" s="4"/>
      <c r="BD171" s="62" t="e">
        <v>#REF!</v>
      </c>
      <c r="BE171" s="178" t="e">
        <f t="shared" si="16"/>
        <v>#REF!</v>
      </c>
    </row>
    <row r="172" spans="2:57" s="178" customFormat="1" ht="6" customHeight="1" x14ac:dyDescent="0.3">
      <c r="B172" s="1026"/>
      <c r="C172" s="1027"/>
      <c r="D172" s="1027"/>
      <c r="E172" s="1027"/>
      <c r="F172" s="1027"/>
      <c r="G172" s="1032"/>
      <c r="H172" s="1032"/>
      <c r="I172" s="1032"/>
      <c r="J172" s="1032"/>
      <c r="K172" s="1032"/>
      <c r="L172" s="1032"/>
      <c r="M172" s="1032"/>
      <c r="N172" s="1032"/>
      <c r="O172" s="1032"/>
      <c r="P172" s="1032"/>
      <c r="Q172" s="1032"/>
      <c r="R172" s="1032"/>
      <c r="S172" s="1032"/>
      <c r="T172" s="1032"/>
      <c r="U172" s="1032"/>
      <c r="V172" s="1032"/>
      <c r="W172" s="1032"/>
      <c r="X172" s="1032"/>
      <c r="Y172" s="1032"/>
      <c r="Z172" s="1032"/>
      <c r="AA172" s="1032"/>
      <c r="AB172" s="1032"/>
      <c r="AC172" s="1033"/>
      <c r="AD172" s="271"/>
      <c r="AE172" s="216"/>
      <c r="AF172" s="106"/>
      <c r="AG172" s="4"/>
      <c r="AH172" s="4">
        <f>IF(AA143=Ceny_n!$B$184,IF(AI134=1,Ceny!$F$934,IF(AI134=2,Ceny!$G$934,0)),0)</f>
        <v>0</v>
      </c>
      <c r="AI172" s="4" t="str">
        <f>IF(AG162=3,AH172,AH181)</f>
        <v xml:space="preserve"> </v>
      </c>
      <c r="AJ172" s="4"/>
      <c r="AK172" s="4"/>
      <c r="AL172" s="4"/>
      <c r="AM172" s="4"/>
      <c r="AN172" s="4"/>
      <c r="AO172" s="4"/>
      <c r="AP172" s="4"/>
      <c r="AQ172" s="4"/>
      <c r="AR172" s="4"/>
      <c r="AS172" s="4"/>
      <c r="AT172" s="4"/>
      <c r="AU172" s="4"/>
      <c r="AV172" s="4"/>
      <c r="AW172" s="4"/>
      <c r="AX172" s="4"/>
      <c r="AY172" s="4"/>
      <c r="AZ172" s="256"/>
      <c r="BA172" s="256"/>
      <c r="BB172" s="4"/>
      <c r="BD172" s="62" t="e">
        <v>#REF!</v>
      </c>
      <c r="BE172" s="178" t="e">
        <f t="shared" si="16"/>
        <v>#REF!</v>
      </c>
    </row>
    <row r="173" spans="2:57" s="178" customFormat="1" ht="6.9" customHeight="1" thickBot="1" x14ac:dyDescent="0.35">
      <c r="B173" s="1026"/>
      <c r="C173" s="1027"/>
      <c r="D173" s="1027"/>
      <c r="E173" s="1027"/>
      <c r="F173" s="1027"/>
      <c r="G173" s="1032"/>
      <c r="H173" s="1032"/>
      <c r="I173" s="1032"/>
      <c r="J173" s="1032"/>
      <c r="K173" s="1032"/>
      <c r="L173" s="1032"/>
      <c r="M173" s="1032"/>
      <c r="N173" s="1032"/>
      <c r="O173" s="1032"/>
      <c r="P173" s="1032"/>
      <c r="Q173" s="1032"/>
      <c r="R173" s="1032"/>
      <c r="S173" s="1032"/>
      <c r="T173" s="1032"/>
      <c r="U173" s="1032"/>
      <c r="V173" s="1032"/>
      <c r="W173" s="1032"/>
      <c r="X173" s="1032"/>
      <c r="Y173" s="1032"/>
      <c r="Z173" s="1032"/>
      <c r="AA173" s="1032"/>
      <c r="AB173" s="1032"/>
      <c r="AC173" s="1033"/>
      <c r="AD173" s="271"/>
      <c r="AE173" s="216"/>
      <c r="AF173" s="106"/>
      <c r="AG173" s="4"/>
      <c r="AH173" s="4">
        <f>IF(AA143=Ceny_n!$B$184,IF(AI134=1,Ceny!$F$935,IF(AI134=2,Ceny!$G$935,0)),0)</f>
        <v>0</v>
      </c>
      <c r="AI173" s="4" t="str">
        <f>IF(AG162=3,AH173,AH181)</f>
        <v xml:space="preserve"> </v>
      </c>
      <c r="AJ173" s="4"/>
      <c r="AK173" s="4"/>
      <c r="AL173" s="4"/>
      <c r="AM173" s="4"/>
      <c r="AN173" s="4"/>
      <c r="AO173" s="4"/>
      <c r="AP173" s="4"/>
      <c r="AQ173" s="4"/>
      <c r="AR173" s="4"/>
      <c r="AS173" s="4"/>
      <c r="AT173" s="4"/>
      <c r="AU173" s="4"/>
      <c r="AV173" s="4"/>
      <c r="AW173" s="4"/>
      <c r="AX173" s="4"/>
      <c r="AY173" s="4"/>
      <c r="AZ173" s="256"/>
      <c r="BA173" s="256"/>
      <c r="BD173" s="66" t="e">
        <v>#REF!</v>
      </c>
      <c r="BE173" s="178" t="e">
        <f t="shared" si="16"/>
        <v>#REF!</v>
      </c>
    </row>
    <row r="174" spans="2:57" s="178" customFormat="1" ht="6.9" customHeight="1" x14ac:dyDescent="0.3">
      <c r="B174" s="1026"/>
      <c r="C174" s="1027"/>
      <c r="D174" s="1027"/>
      <c r="E174" s="1027"/>
      <c r="F174" s="1027"/>
      <c r="G174" s="1032"/>
      <c r="H174" s="1032"/>
      <c r="I174" s="1032"/>
      <c r="J174" s="1032"/>
      <c r="K174" s="1032"/>
      <c r="L174" s="1032"/>
      <c r="M174" s="1032"/>
      <c r="N174" s="1032"/>
      <c r="O174" s="1032"/>
      <c r="P174" s="1032"/>
      <c r="Q174" s="1032"/>
      <c r="R174" s="1032"/>
      <c r="S174" s="1032"/>
      <c r="T174" s="1032"/>
      <c r="U174" s="1032"/>
      <c r="V174" s="1032"/>
      <c r="W174" s="1032"/>
      <c r="X174" s="1032"/>
      <c r="Y174" s="1032"/>
      <c r="Z174" s="1032"/>
      <c r="AA174" s="1032"/>
      <c r="AB174" s="1032"/>
      <c r="AC174" s="1033"/>
      <c r="AD174" s="271"/>
      <c r="AE174" s="216"/>
      <c r="AF174" s="106"/>
      <c r="AG174" s="4"/>
      <c r="AH174" s="4">
        <f>IF(AA143=Ceny_n!$B$184,IF(AI134=1,Ceny!$F$936,IF(AI134=2,Ceny!$G$936,0)),0)</f>
        <v>0</v>
      </c>
      <c r="AI174" s="4" t="str">
        <f>IF(AG162=3,AH174,AH181)</f>
        <v xml:space="preserve"> </v>
      </c>
      <c r="AJ174" s="4"/>
      <c r="AK174" s="4"/>
      <c r="AL174" s="4"/>
      <c r="AM174" s="4"/>
      <c r="AN174" s="4"/>
      <c r="AO174" s="4"/>
      <c r="AP174" s="4"/>
      <c r="AQ174" s="4"/>
      <c r="AR174" s="4"/>
      <c r="AS174" s="4"/>
      <c r="AT174" s="4"/>
      <c r="AU174" s="4"/>
      <c r="AV174" s="4"/>
      <c r="AW174" s="4"/>
      <c r="AX174" s="4"/>
      <c r="AY174" s="4"/>
      <c r="AZ174" s="256"/>
      <c r="BA174" s="256"/>
    </row>
    <row r="175" spans="2:57" s="178" customFormat="1" ht="6.9" customHeight="1" x14ac:dyDescent="0.3">
      <c r="B175" s="1026"/>
      <c r="C175" s="1027"/>
      <c r="D175" s="1027"/>
      <c r="E175" s="1027"/>
      <c r="F175" s="1027"/>
      <c r="G175" s="1032"/>
      <c r="H175" s="1032"/>
      <c r="I175" s="1032"/>
      <c r="J175" s="1032"/>
      <c r="K175" s="1032"/>
      <c r="L175" s="1032"/>
      <c r="M175" s="1032"/>
      <c r="N175" s="1032"/>
      <c r="O175" s="1032"/>
      <c r="P175" s="1032"/>
      <c r="Q175" s="1032"/>
      <c r="R175" s="1032"/>
      <c r="S175" s="1032"/>
      <c r="T175" s="1032"/>
      <c r="U175" s="1032"/>
      <c r="V175" s="1032"/>
      <c r="W175" s="1032"/>
      <c r="X175" s="1032"/>
      <c r="Y175" s="1032"/>
      <c r="Z175" s="1032"/>
      <c r="AA175" s="1032"/>
      <c r="AB175" s="1032"/>
      <c r="AC175" s="1033"/>
      <c r="AD175" s="271"/>
      <c r="AE175" s="216"/>
      <c r="AF175" s="106"/>
      <c r="AG175" s="4"/>
      <c r="AH175" s="4">
        <f>IF(AA143=Ceny_n!$B$184,IF(AI134=1,Ceny!$F$937,IF(AI134=2,Ceny!$G$937,0)),0)</f>
        <v>0</v>
      </c>
      <c r="AI175" s="4" t="str">
        <f>IF(AG162=3,AH175,AH181)</f>
        <v xml:space="preserve"> </v>
      </c>
      <c r="AJ175" s="4"/>
      <c r="AK175" s="4"/>
      <c r="AL175" s="4"/>
      <c r="AM175" s="4"/>
      <c r="AN175" s="4"/>
      <c r="AO175" s="4"/>
      <c r="AP175" s="4"/>
      <c r="AQ175" s="4"/>
      <c r="AR175" s="4"/>
      <c r="AS175" s="4"/>
      <c r="AT175" s="4"/>
      <c r="AU175" s="4"/>
      <c r="AV175" s="4"/>
      <c r="AW175" s="4"/>
      <c r="AX175" s="4"/>
      <c r="AY175" s="4"/>
      <c r="AZ175" s="256"/>
      <c r="BA175" s="256"/>
    </row>
    <row r="176" spans="2:57" s="178" customFormat="1" ht="20.25" customHeight="1" x14ac:dyDescent="0.3">
      <c r="B176" s="1026"/>
      <c r="C176" s="1027"/>
      <c r="D176" s="1027"/>
      <c r="E176" s="1027"/>
      <c r="F176" s="1027"/>
      <c r="G176" s="1032"/>
      <c r="H176" s="1032"/>
      <c r="I176" s="1032"/>
      <c r="J176" s="1032"/>
      <c r="K176" s="1032"/>
      <c r="L176" s="1032"/>
      <c r="M176" s="1032"/>
      <c r="N176" s="1032"/>
      <c r="O176" s="1032"/>
      <c r="P176" s="1032"/>
      <c r="Q176" s="1032"/>
      <c r="R176" s="1032"/>
      <c r="S176" s="1032"/>
      <c r="T176" s="1032"/>
      <c r="U176" s="1032"/>
      <c r="V176" s="1032"/>
      <c r="W176" s="1032"/>
      <c r="X176" s="1032"/>
      <c r="Y176" s="1032"/>
      <c r="Z176" s="1032"/>
      <c r="AA176" s="1032"/>
      <c r="AB176" s="1032"/>
      <c r="AC176" s="1033"/>
      <c r="AD176" s="271"/>
      <c r="AE176" s="216"/>
      <c r="AF176" s="106"/>
      <c r="AG176" s="4"/>
      <c r="AH176" s="4">
        <f>IF(AA143=Ceny_n!$B$184,IF(AI134=1,Ceny!$F$938,IF(AI134=2,Ceny!$G$938,0)),0)</f>
        <v>0</v>
      </c>
      <c r="AI176" s="4" t="str">
        <f>IF(AG162=3,AH176,AH181)</f>
        <v xml:space="preserve"> </v>
      </c>
      <c r="AJ176" s="4"/>
      <c r="AK176" s="4"/>
      <c r="AL176" s="4"/>
      <c r="AM176" s="4"/>
      <c r="AN176" s="4"/>
      <c r="AO176" s="4"/>
      <c r="AP176" s="4"/>
      <c r="AQ176" s="4"/>
      <c r="AR176" s="4"/>
      <c r="AS176" s="4"/>
      <c r="AT176" s="4"/>
      <c r="AU176" s="4"/>
      <c r="AV176" s="4"/>
      <c r="AW176" s="4"/>
      <c r="AX176" s="4"/>
      <c r="AY176" s="4"/>
      <c r="AZ176" s="256"/>
      <c r="BA176" s="256"/>
    </row>
    <row r="177" spans="2:59" s="178" customFormat="1" ht="6.9" customHeight="1" x14ac:dyDescent="0.3">
      <c r="B177" s="1026"/>
      <c r="C177" s="1027"/>
      <c r="D177" s="1027"/>
      <c r="E177" s="1027"/>
      <c r="F177" s="1027"/>
      <c r="G177" s="1032"/>
      <c r="H177" s="1032"/>
      <c r="I177" s="1032"/>
      <c r="J177" s="1032"/>
      <c r="K177" s="1032"/>
      <c r="L177" s="1032"/>
      <c r="M177" s="1032"/>
      <c r="N177" s="1032"/>
      <c r="O177" s="1032"/>
      <c r="P177" s="1032"/>
      <c r="Q177" s="1032"/>
      <c r="R177" s="1032"/>
      <c r="S177" s="1032"/>
      <c r="T177" s="1032"/>
      <c r="U177" s="1032"/>
      <c r="V177" s="1032"/>
      <c r="W177" s="1032"/>
      <c r="X177" s="1032"/>
      <c r="Y177" s="1032"/>
      <c r="Z177" s="1032"/>
      <c r="AA177" s="1032"/>
      <c r="AB177" s="1032"/>
      <c r="AC177" s="1033"/>
      <c r="AD177" s="271"/>
      <c r="AE177" s="216"/>
      <c r="AF177" s="106"/>
      <c r="AG177" s="4"/>
      <c r="AH177" s="4">
        <f>IF(AA143=Ceny_n!$B$184,IF(AI134=1,Ceny!$F$939,IF(AI134=2,Ceny!$G$939,0)),0)</f>
        <v>0</v>
      </c>
      <c r="AI177" s="4"/>
      <c r="AJ177" s="4"/>
      <c r="AK177" s="4"/>
      <c r="AL177" s="4"/>
      <c r="AM177" s="4"/>
      <c r="AN177" s="4"/>
      <c r="AO177" s="4"/>
      <c r="AP177" s="4"/>
      <c r="AQ177" s="4"/>
      <c r="AR177" s="4"/>
      <c r="AS177" s="4"/>
      <c r="AT177" s="4"/>
      <c r="AU177" s="4"/>
      <c r="AV177" s="4"/>
      <c r="AW177" s="4"/>
      <c r="AX177" s="4"/>
      <c r="AY177" s="4"/>
      <c r="AZ177" s="256"/>
      <c r="BA177" s="256"/>
    </row>
    <row r="178" spans="2:59" s="178" customFormat="1" ht="6.9" customHeight="1" x14ac:dyDescent="0.3">
      <c r="B178" s="1026"/>
      <c r="C178" s="1027"/>
      <c r="D178" s="1027"/>
      <c r="E178" s="1027"/>
      <c r="F178" s="1027"/>
      <c r="G178" s="1032"/>
      <c r="H178" s="1032"/>
      <c r="I178" s="1032"/>
      <c r="J178" s="1032"/>
      <c r="K178" s="1032"/>
      <c r="L178" s="1032"/>
      <c r="M178" s="1032"/>
      <c r="N178" s="1032"/>
      <c r="O178" s="1032"/>
      <c r="P178" s="1032"/>
      <c r="Q178" s="1032"/>
      <c r="R178" s="1032"/>
      <c r="S178" s="1032"/>
      <c r="T178" s="1032"/>
      <c r="U178" s="1032"/>
      <c r="V178" s="1032"/>
      <c r="W178" s="1032"/>
      <c r="X178" s="1032"/>
      <c r="Y178" s="1032"/>
      <c r="Z178" s="1032"/>
      <c r="AA178" s="1032"/>
      <c r="AB178" s="1032"/>
      <c r="AC178" s="1033"/>
      <c r="AD178" s="271"/>
      <c r="AE178" s="216"/>
      <c r="AF178" s="106"/>
      <c r="AG178" s="4"/>
      <c r="AH178" s="4">
        <f>IF(AA143=Ceny_n!$B$184,IF(AI134=1,Ceny!$F$940,IF(AI134=2,Ceny!$G$940,0)),0)</f>
        <v>0</v>
      </c>
      <c r="AI178" s="4"/>
      <c r="AJ178" s="4"/>
      <c r="AK178" s="4"/>
      <c r="AL178" s="4"/>
      <c r="AM178" s="4"/>
      <c r="AN178" s="4"/>
      <c r="AO178" s="4"/>
      <c r="AP178" s="4"/>
      <c r="AQ178" s="4"/>
      <c r="AR178" s="4"/>
      <c r="AS178" s="4"/>
      <c r="AT178" s="4"/>
      <c r="AU178" s="4"/>
      <c r="AV178" s="4"/>
      <c r="AW178" s="4"/>
      <c r="AX178" s="4"/>
      <c r="AY178" s="4"/>
      <c r="AZ178" s="256"/>
      <c r="BA178" s="256"/>
    </row>
    <row r="179" spans="2:59" s="178" customFormat="1" ht="6.9" customHeight="1" x14ac:dyDescent="0.3">
      <c r="B179" s="1026"/>
      <c r="C179" s="1027"/>
      <c r="D179" s="1027"/>
      <c r="E179" s="1027"/>
      <c r="F179" s="1027"/>
      <c r="G179" s="1032"/>
      <c r="H179" s="1032"/>
      <c r="I179" s="1032"/>
      <c r="J179" s="1032"/>
      <c r="K179" s="1032"/>
      <c r="L179" s="1032"/>
      <c r="M179" s="1032"/>
      <c r="N179" s="1032"/>
      <c r="O179" s="1032"/>
      <c r="P179" s="1032"/>
      <c r="Q179" s="1032"/>
      <c r="R179" s="1032"/>
      <c r="S179" s="1032"/>
      <c r="T179" s="1032"/>
      <c r="U179" s="1032"/>
      <c r="V179" s="1032"/>
      <c r="W179" s="1032"/>
      <c r="X179" s="1032"/>
      <c r="Y179" s="1032"/>
      <c r="Z179" s="1032"/>
      <c r="AA179" s="1032"/>
      <c r="AB179" s="1032"/>
      <c r="AC179" s="1033"/>
      <c r="AD179" s="271"/>
      <c r="AE179" s="216"/>
      <c r="AF179" s="106"/>
      <c r="AG179" s="4"/>
      <c r="AH179" s="4">
        <f>IF(AA143=Ceny_n!$B$184,IF(AI134=1,Ceny!$F$941,IF(AI134=2,Ceny!$G$941,0)),0)</f>
        <v>0</v>
      </c>
      <c r="AI179" s="4"/>
      <c r="AJ179" s="4"/>
      <c r="AK179" s="4"/>
      <c r="AL179" s="4"/>
      <c r="AM179" s="4"/>
      <c r="AN179" s="4"/>
      <c r="AO179" s="4"/>
      <c r="AP179" s="4"/>
      <c r="AQ179" s="4"/>
      <c r="AR179" s="4"/>
      <c r="AS179" s="4"/>
      <c r="AT179" s="4"/>
      <c r="AU179" s="4"/>
      <c r="AV179" s="4"/>
      <c r="AW179" s="4"/>
      <c r="AX179" s="4"/>
      <c r="AY179" s="4"/>
      <c r="AZ179" s="256"/>
      <c r="BA179" s="256"/>
    </row>
    <row r="180" spans="2:59" s="178" customFormat="1" ht="6.9" customHeight="1" x14ac:dyDescent="0.3">
      <c r="B180" s="1028"/>
      <c r="C180" s="1029"/>
      <c r="D180" s="1029"/>
      <c r="E180" s="1029"/>
      <c r="F180" s="1029"/>
      <c r="G180" s="1034"/>
      <c r="H180" s="1034"/>
      <c r="I180" s="1034"/>
      <c r="J180" s="1034"/>
      <c r="K180" s="1034"/>
      <c r="L180" s="1034"/>
      <c r="M180" s="1034"/>
      <c r="N180" s="1034"/>
      <c r="O180" s="1034"/>
      <c r="P180" s="1034"/>
      <c r="Q180" s="1034"/>
      <c r="R180" s="1034"/>
      <c r="S180" s="1034"/>
      <c r="T180" s="1034"/>
      <c r="U180" s="1034"/>
      <c r="V180" s="1034"/>
      <c r="W180" s="1034"/>
      <c r="X180" s="1034"/>
      <c r="Y180" s="1034"/>
      <c r="Z180" s="1034"/>
      <c r="AA180" s="1034"/>
      <c r="AB180" s="1034"/>
      <c r="AC180" s="1035"/>
      <c r="AD180" s="271"/>
      <c r="AE180" s="216"/>
      <c r="AF180" s="106"/>
      <c r="AG180" s="4"/>
      <c r="AH180" s="4">
        <f>IF(AA143=Ceny_n!$B$184,IF(AI134=1,Ceny!$F$942,IF(AI134=2,Ceny!$G$942,0)),0)</f>
        <v>0</v>
      </c>
      <c r="AI180" s="4"/>
      <c r="AJ180" s="4"/>
      <c r="AK180" s="4"/>
      <c r="AL180" s="4"/>
      <c r="AM180" s="4"/>
      <c r="AN180" s="4"/>
      <c r="AO180" s="4"/>
      <c r="AP180" s="4"/>
      <c r="AQ180" s="4"/>
      <c r="AR180" s="4"/>
      <c r="AS180" s="4"/>
      <c r="AT180" s="4"/>
      <c r="AU180" s="4"/>
      <c r="AV180" s="4"/>
      <c r="AW180" s="4"/>
      <c r="AX180" s="4"/>
      <c r="AY180" s="4"/>
      <c r="AZ180" s="256"/>
      <c r="BA180" s="256"/>
    </row>
    <row r="181" spans="2:59" s="178" customFormat="1" ht="7.5" customHeight="1" x14ac:dyDescent="0.3">
      <c r="B181" s="111"/>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3"/>
      <c r="AD181" s="272"/>
      <c r="AE181" s="217"/>
      <c r="AF181" s="106"/>
      <c r="AG181" s="4"/>
      <c r="AH181" s="4" t="s">
        <v>684</v>
      </c>
      <c r="AI181" s="4"/>
      <c r="AJ181" s="4"/>
      <c r="AK181" s="4"/>
      <c r="AL181" s="4"/>
      <c r="AM181" s="4"/>
      <c r="AN181" s="4"/>
      <c r="AO181" s="4"/>
      <c r="AP181" s="4"/>
      <c r="AQ181" s="4"/>
      <c r="AR181" s="4"/>
      <c r="AS181" s="4"/>
      <c r="AT181" s="4"/>
      <c r="AU181" s="4"/>
      <c r="AV181" s="4"/>
      <c r="AW181" s="4"/>
      <c r="AX181" s="4"/>
      <c r="AY181" s="4"/>
      <c r="AZ181" s="256"/>
      <c r="BA181" s="256"/>
    </row>
    <row r="182" spans="2:59" s="4" customFormat="1" ht="25.8" x14ac:dyDescent="0.3">
      <c r="B182" s="141" t="s">
        <v>3</v>
      </c>
      <c r="C182" s="1090" t="str">
        <f>Ceny_n!$B$129</f>
        <v>Rámeček</v>
      </c>
      <c r="D182" s="1090"/>
      <c r="E182" s="1090"/>
      <c r="F182" s="1090"/>
      <c r="G182" s="1090"/>
      <c r="H182" s="1090"/>
      <c r="I182" s="1090"/>
      <c r="J182" s="1090"/>
      <c r="K182" s="1090"/>
      <c r="L182" s="1090"/>
      <c r="M182" s="1090"/>
      <c r="N182" s="1090"/>
      <c r="O182" s="1090"/>
      <c r="P182" s="1090"/>
      <c r="Q182" s="1090"/>
      <c r="R182" s="1090"/>
      <c r="S182" s="1090"/>
      <c r="T182" s="1090"/>
      <c r="U182" s="1090"/>
      <c r="V182" s="1090"/>
      <c r="W182" s="1090"/>
      <c r="X182" s="1090"/>
      <c r="Y182" s="1090"/>
      <c r="Z182" s="1090"/>
      <c r="AA182" s="1090"/>
      <c r="AB182" s="1090"/>
      <c r="AC182" s="1091"/>
      <c r="AD182" s="263"/>
      <c r="AE182" s="205"/>
      <c r="AF182" s="106"/>
      <c r="AZ182" s="256"/>
      <c r="BA182" s="256"/>
    </row>
    <row r="183" spans="2:59" s="4" customFormat="1" ht="15" thickBot="1" x14ac:dyDescent="0.35">
      <c r="B183" s="96"/>
      <c r="Y183" s="53"/>
      <c r="Z183" s="53"/>
      <c r="AA183" s="53"/>
      <c r="AB183" s="53"/>
      <c r="AC183" s="93"/>
      <c r="AD183" s="273" t="s">
        <v>1199</v>
      </c>
      <c r="AE183" s="206"/>
      <c r="AF183" s="106"/>
      <c r="AJ183" s="1092" t="s">
        <v>1527</v>
      </c>
      <c r="AK183" s="1092"/>
      <c r="AZ183" s="256"/>
      <c r="BA183" s="256"/>
    </row>
    <row r="184" spans="2:59" s="178" customFormat="1" ht="15" thickBot="1" x14ac:dyDescent="0.35">
      <c r="B184" s="97"/>
      <c r="C184" s="4"/>
      <c r="D184" s="1093" t="str">
        <f>IF(H184=1,AC193,"")</f>
        <v/>
      </c>
      <c r="E184" s="1094"/>
      <c r="F184" s="1094"/>
      <c r="G184" s="1094"/>
      <c r="H184" s="50">
        <f>IF(AG216=3,1,0)</f>
        <v>0</v>
      </c>
      <c r="I184" s="50"/>
      <c r="J184" s="50"/>
      <c r="K184" s="50" t="b">
        <f>IF(AG216=3,IF(AC192=4,1,0))</f>
        <v>0</v>
      </c>
      <c r="L184" s="50"/>
      <c r="M184" s="50" t="b">
        <f>IF(AG216=3,IF(AC192=3,1,0))</f>
        <v>0</v>
      </c>
      <c r="N184" s="50"/>
      <c r="O184" s="50" t="b">
        <f>IF(AG216=3,IF(AC192=4,1,0))</f>
        <v>0</v>
      </c>
      <c r="P184" s="50"/>
      <c r="Q184" s="50"/>
      <c r="R184" s="50">
        <f>IF(AG216=3,1,0)</f>
        <v>0</v>
      </c>
      <c r="S184" s="1095" t="str">
        <f>IF(R184=1,AC193,"")</f>
        <v/>
      </c>
      <c r="T184" s="1095"/>
      <c r="U184" s="1095"/>
      <c r="V184" s="1095"/>
      <c r="W184" s="1096"/>
      <c r="X184" s="53"/>
      <c r="Y184" s="54"/>
      <c r="Z184" s="4"/>
      <c r="AA184" s="948"/>
      <c r="AB184" s="948"/>
      <c r="AC184" s="98"/>
      <c r="AD184" s="257"/>
      <c r="AE184" s="199"/>
      <c r="AF184" s="106"/>
      <c r="AG184" s="4" t="s">
        <v>87</v>
      </c>
      <c r="AH184" s="4" t="s">
        <v>88</v>
      </c>
      <c r="AI184" s="4" t="s">
        <v>89</v>
      </c>
      <c r="AJ184" s="4" t="s">
        <v>6</v>
      </c>
      <c r="AK184" s="4"/>
      <c r="AL184" s="4" t="s">
        <v>99</v>
      </c>
      <c r="AM184" s="4" t="s">
        <v>90</v>
      </c>
      <c r="AN184" s="4" t="s">
        <v>109</v>
      </c>
      <c r="AO184" s="4"/>
      <c r="AP184" s="4" t="s">
        <v>91</v>
      </c>
      <c r="AQ184" s="4"/>
      <c r="AR184" s="4" t="s">
        <v>93</v>
      </c>
      <c r="AS184" s="4" t="s">
        <v>92</v>
      </c>
      <c r="AT184" s="4"/>
      <c r="AU184" s="4"/>
      <c r="AV184" s="4"/>
      <c r="AW184" s="4"/>
      <c r="AX184" s="4"/>
      <c r="AY184" s="4"/>
      <c r="AZ184" s="256"/>
      <c r="BA184" s="256"/>
      <c r="BB184" s="178">
        <v>0</v>
      </c>
      <c r="BD184" s="178" t="e">
        <f>IF(ISNA(VLOOKUP(AC190,#REF!,14,FALSE)),2,IF(VLOOKUP(AC190,#REF!,14,FALSE)="N",1,2))</f>
        <v>#REF!</v>
      </c>
    </row>
    <row r="185" spans="2:59" s="178" customFormat="1" ht="18" customHeight="1" x14ac:dyDescent="0.4">
      <c r="B185" s="97"/>
      <c r="C185" s="4"/>
      <c r="D185" s="1081" t="str">
        <f>IF(D189=1,AC193,"")</f>
        <v/>
      </c>
      <c r="E185" s="55"/>
      <c r="F185" s="56"/>
      <c r="G185" s="56"/>
      <c r="H185" s="56"/>
      <c r="I185" s="56"/>
      <c r="J185" s="56"/>
      <c r="K185" s="56"/>
      <c r="L185" s="56"/>
      <c r="M185" s="56"/>
      <c r="N185" s="56"/>
      <c r="O185" s="56"/>
      <c r="P185" s="56"/>
      <c r="Q185" s="56"/>
      <c r="R185" s="56"/>
      <c r="S185" s="56"/>
      <c r="T185" s="56"/>
      <c r="U185" s="56"/>
      <c r="V185" s="57"/>
      <c r="W185" s="1081" t="str">
        <f>IF(W189=1,AC193,"")</f>
        <v/>
      </c>
      <c r="X185" s="53"/>
      <c r="Y185" s="4"/>
      <c r="Z185" s="4"/>
      <c r="AA185" s="1097" t="str">
        <f>Ceny_n!$B$132</f>
        <v>Typ profilu</v>
      </c>
      <c r="AB185" s="1098"/>
      <c r="AC185" s="250" t="s">
        <v>258</v>
      </c>
      <c r="AD185" s="207" t="s">
        <v>1687</v>
      </c>
      <c r="AE185" s="207"/>
      <c r="AF185" s="106">
        <f>IF(AC189=AV_HL_SD,TYP_RAM,AG190)</f>
        <v>0</v>
      </c>
      <c r="AG185" s="4" t="e">
        <f>VLOOKUP(AC185,$B$348:$D$391,2,0)</f>
        <v>#N/A</v>
      </c>
      <c r="AH185" s="4" t="e">
        <f>AG185*(((L214/1000)+(Y190/1000))*2)</f>
        <v>#N/A</v>
      </c>
      <c r="AI185" s="4" t="e">
        <f>AH185*AC187</f>
        <v>#N/A</v>
      </c>
      <c r="AJ185" s="4" t="e">
        <f>VLOOKUP(AC185,$B$348:$D$391,3,0)</f>
        <v>#N/A</v>
      </c>
      <c r="AK185" s="4"/>
      <c r="AL185" s="4" t="e">
        <f>VLOOKUP(AC185,$B$348:$I$392,AH189,0)</f>
        <v>#N/A</v>
      </c>
      <c r="AM185" s="4" t="e">
        <f>AJ185*AC187</f>
        <v>#N/A</v>
      </c>
      <c r="AN185" s="4" t="e">
        <f>AL185*AC187</f>
        <v>#N/A</v>
      </c>
      <c r="AO185" s="4"/>
      <c r="AP185" s="4">
        <f>VLOOKUP(AC186,$B$403:$C$477,2,0)</f>
        <v>0</v>
      </c>
      <c r="AQ185" s="4"/>
      <c r="AR185" s="4">
        <f>(L214/1000)*(Y190/1000)*AP185</f>
        <v>0</v>
      </c>
      <c r="AS185" s="4">
        <f>AR185*AC187</f>
        <v>0</v>
      </c>
      <c r="AT185" s="4"/>
      <c r="AU185" s="4"/>
      <c r="AV185" s="4"/>
      <c r="AW185" s="4"/>
      <c r="AX185" s="4"/>
      <c r="AY185" s="4"/>
      <c r="AZ185" s="256"/>
      <c r="BA185" s="256"/>
      <c r="BB185" s="1099" t="s">
        <v>1179</v>
      </c>
      <c r="BC185" s="1099"/>
      <c r="BD185" s="1099"/>
      <c r="BE185" s="1099"/>
      <c r="BF185" s="1099"/>
      <c r="BG185" s="1099"/>
    </row>
    <row r="186" spans="2:59" s="178" customFormat="1" ht="18" customHeight="1" thickBot="1" x14ac:dyDescent="0.35">
      <c r="B186" s="97"/>
      <c r="C186" s="4"/>
      <c r="D186" s="1081"/>
      <c r="E186" s="58"/>
      <c r="F186" s="59"/>
      <c r="G186" s="59"/>
      <c r="H186" s="59"/>
      <c r="I186" s="59"/>
      <c r="J186" s="59"/>
      <c r="K186" s="59"/>
      <c r="L186" s="59"/>
      <c r="M186" s="59"/>
      <c r="N186" s="59"/>
      <c r="O186" s="59"/>
      <c r="P186" s="59"/>
      <c r="Q186" s="59"/>
      <c r="R186" s="59"/>
      <c r="S186" s="59"/>
      <c r="T186" s="59"/>
      <c r="U186" s="59"/>
      <c r="V186" s="60"/>
      <c r="W186" s="1081"/>
      <c r="X186" s="53"/>
      <c r="Y186" s="4"/>
      <c r="Z186" s="4"/>
      <c r="AA186" s="1084" t="str">
        <f>Ceny_n!$B$133</f>
        <v>Typ skla</v>
      </c>
      <c r="AB186" s="1085"/>
      <c r="AC186" s="251"/>
      <c r="AD186" s="207" t="s">
        <v>1536</v>
      </c>
      <c r="AE186" s="208"/>
      <c r="AF186" s="178" t="str">
        <f>Ceny_n!$B$199</f>
        <v>Vyberte ze seznamu</v>
      </c>
      <c r="AG186" s="4" t="s">
        <v>220</v>
      </c>
      <c r="AH186" s="4" t="s">
        <v>226</v>
      </c>
      <c r="AI186" s="4" t="s">
        <v>227</v>
      </c>
      <c r="AJ186" s="4" t="s">
        <v>371</v>
      </c>
      <c r="AK186" s="4"/>
      <c r="AL186" s="4" t="s">
        <v>29</v>
      </c>
      <c r="AM186" s="4"/>
      <c r="AN186" s="4"/>
      <c r="AO186" s="4"/>
      <c r="AP186" s="4"/>
      <c r="AQ186" s="4"/>
      <c r="AR186" s="4"/>
      <c r="AS186" s="4"/>
      <c r="AT186" s="4"/>
      <c r="AU186" s="4"/>
      <c r="AV186" s="4"/>
      <c r="AW186" s="4"/>
      <c r="AX186" s="4"/>
      <c r="AY186" s="4"/>
      <c r="AZ186" s="256"/>
      <c r="BA186" s="256"/>
      <c r="BB186" s="219" t="s">
        <v>1058</v>
      </c>
      <c r="BC186" s="220" t="s">
        <v>1064</v>
      </c>
      <c r="BD186" s="223" t="s">
        <v>1085</v>
      </c>
      <c r="BE186" s="223"/>
      <c r="BF186" s="178" t="s">
        <v>1173</v>
      </c>
      <c r="BG186" s="178" t="s">
        <v>1174</v>
      </c>
    </row>
    <row r="187" spans="2:59" s="178" customFormat="1" ht="18" customHeight="1" thickBot="1" x14ac:dyDescent="0.35">
      <c r="B187" s="97"/>
      <c r="C187" s="4"/>
      <c r="D187" s="1081"/>
      <c r="E187" s="58"/>
      <c r="F187" s="59"/>
      <c r="G187" s="59"/>
      <c r="H187" s="59"/>
      <c r="I187" s="59"/>
      <c r="J187" s="59"/>
      <c r="K187" s="59"/>
      <c r="L187" s="59"/>
      <c r="M187" s="59"/>
      <c r="N187" s="59"/>
      <c r="O187" s="59"/>
      <c r="P187" s="59"/>
      <c r="Q187" s="59"/>
      <c r="R187" s="59"/>
      <c r="S187" s="59"/>
      <c r="T187" s="59"/>
      <c r="U187" s="59"/>
      <c r="V187" s="60"/>
      <c r="W187" s="1081"/>
      <c r="X187" s="53"/>
      <c r="Y187" s="4"/>
      <c r="Z187" s="4"/>
      <c r="AA187" s="1084" t="str">
        <f>Ceny_n!$B$134</f>
        <v>Počet kusů</v>
      </c>
      <c r="AB187" s="1085"/>
      <c r="AC187" s="251"/>
      <c r="AD187" s="207" t="s">
        <v>1202</v>
      </c>
      <c r="AE187" s="208"/>
      <c r="AF187" s="178" t="str">
        <f>IF(AC185=AF186,"",Ceny!$B$141)</f>
        <v/>
      </c>
      <c r="AG187" s="4">
        <f>VLOOKUP(AR188,Ceny!$B$847:$D$917,3,0)</f>
        <v>0</v>
      </c>
      <c r="AH187" s="4" t="e">
        <f>VLOOKUP(AW188,Ceny!$B$847:$D$917,3,0)</f>
        <v>#REF!</v>
      </c>
      <c r="AI187" s="4" t="e">
        <f>(AG187+AH187)*AC187*AC192</f>
        <v>#REF!</v>
      </c>
      <c r="AJ187" s="4">
        <f>IF(AC197=0,0,VLOOKUP(AC197,AI211:AY225,13,0))</f>
        <v>0</v>
      </c>
      <c r="AK187" s="4"/>
      <c r="AL187" s="4">
        <f>AG207*AC187*AJ187</f>
        <v>0</v>
      </c>
      <c r="AM187" s="4"/>
      <c r="AN187" s="4"/>
      <c r="AO187" s="4"/>
      <c r="AP187" s="1092" t="s">
        <v>1528</v>
      </c>
      <c r="AQ187" s="1092"/>
      <c r="AR187" s="4"/>
      <c r="AS187" s="4"/>
      <c r="AT187" s="4"/>
      <c r="AU187" s="4"/>
      <c r="AV187" s="4"/>
      <c r="AW187" s="4"/>
      <c r="AX187" s="4"/>
      <c r="AY187" s="4"/>
      <c r="AZ187" s="256"/>
      <c r="BA187" s="256"/>
      <c r="BB187" s="61" t="e">
        <f t="array" ref="BB187:BB204">IF(AI188=1,PANT_HETTICH_WIDE,PANT_HETTICH_SLIM)</f>
        <v>#REF!</v>
      </c>
      <c r="BC187" s="227" t="e">
        <f t="array" ref="BC187:BC204">IF(AI188=2,PANT_BLUM_WIDE,PANT_BLUM_SLIM)</f>
        <v>#REF!</v>
      </c>
      <c r="BD187" s="61" t="e">
        <f t="array" ref="BD187:BD227">IF(ISNA(IF(AND(AI188=2,AC196=NAHORE),VYKLOP_UP_WIDE,
IF(AND(AI188=2,AC196=DOLE),VYKLOP_DWN_WIDE,
IF(AND(AI188=1,AC196=NAHORE),VYKLOP_UP_SLIM,
IF(AND(AI188=1,AC196=DOLE),VYKLOP_DWN_SLIM,""))))),"",IF(BD184=2,"",IF(AND(AI188=2,AC196=NAHORE),VYKLOP_UP_WIDE,
IF(AND(AI188=2,AC196=DOLE),VYKLOP_DWN_WIDE,
IF(AND(AI188=1,AC196=NAHORE),VYKLOP_UP_SLIM,
IF(AND(AI188=1,AC196=DOLE),VYKLOP_DWN_SLIM,""))))))</f>
        <v>#REF!</v>
      </c>
      <c r="BE187" s="178" t="e">
        <f>IF(OR(ISNA(BD187),BD187="",BD187=0),"",1)</f>
        <v>#REF!</v>
      </c>
      <c r="BF187" s="61" t="e">
        <f t="array" ref="BF187:BF203">IF(AI188=1,PANT_STRONG_SLIM_BTL,PANT_STRONG_WIDE_BTL)</f>
        <v>#REF!</v>
      </c>
      <c r="BG187" s="61" t="e">
        <f t="array" ref="BG187:BG203">IF(AI188=1,PANT_STRONG_SLIM_STL,PANT_STRONG_WIDE_STL)</f>
        <v>#REF!</v>
      </c>
    </row>
    <row r="188" spans="2:59" s="178" customFormat="1" ht="18" customHeight="1" thickBot="1" x14ac:dyDescent="0.45">
      <c r="B188" s="97"/>
      <c r="C188" s="4"/>
      <c r="D188" s="1081"/>
      <c r="E188" s="58"/>
      <c r="F188" s="59"/>
      <c r="G188" s="59"/>
      <c r="H188" s="59"/>
      <c r="I188" s="59"/>
      <c r="J188" s="59"/>
      <c r="K188" s="59"/>
      <c r="L188" s="59"/>
      <c r="M188" s="59"/>
      <c r="N188" s="59"/>
      <c r="O188" s="59"/>
      <c r="P188" s="59"/>
      <c r="Q188" s="59"/>
      <c r="R188" s="59"/>
      <c r="S188" s="59"/>
      <c r="T188" s="59"/>
      <c r="U188" s="59"/>
      <c r="V188" s="60"/>
      <c r="W188" s="1081"/>
      <c r="X188" s="53"/>
      <c r="Y188" s="4"/>
      <c r="Z188" s="4"/>
      <c r="AA188" s="1084" t="str">
        <f>Ceny_n!$B$215</f>
        <v>Typ kování</v>
      </c>
      <c r="AB188" s="1085"/>
      <c r="AC188" s="251"/>
      <c r="AD188" s="207" t="s">
        <v>1196</v>
      </c>
      <c r="AE188" s="208"/>
      <c r="AF188" s="106" t="str">
        <f>IF(AC185=AF186,"",AV_HF)</f>
        <v/>
      </c>
      <c r="AG188" s="4"/>
      <c r="AH188" s="4"/>
      <c r="AI188" s="4">
        <f>IF(AC185=AF186,0,VLOOKUP(AC185,#REF!,2,0))</f>
        <v>0</v>
      </c>
      <c r="AJ188" s="235" t="str">
        <f>IF(AC188=AV_HF,HOR_DV,
IF(AC188=AV_HF_SD,HOR_DV,
IF(AC188=AV_OST,AV_HK,
IF(AC188=ZAVESY,PRAZDNE_1,""))))</f>
        <v/>
      </c>
      <c r="AK188" s="236" t="str">
        <f t="shared" ref="AK188:AK199" si="22">IF(OR(ISNA(AJ188),AJ188=""),"",1)</f>
        <v/>
      </c>
      <c r="AL188" s="948" t="s">
        <v>21</v>
      </c>
      <c r="AM188" s="948"/>
      <c r="AN188" s="948"/>
      <c r="AO188" s="247"/>
      <c r="AP188" s="4">
        <f>IF(AE190=AP189,1,IF(AE190=AP190,2,IF(AE190=AP191,3,IF(AE190=AP192,4,IF(AE190=AP193,5,IF(AE190=AP194,6,IF(AE190=AP195,7,0)))))))</f>
        <v>1</v>
      </c>
      <c r="AQ188" s="4"/>
      <c r="AR188" s="218">
        <f>VLOOKUP(AP188,AL189:AR514,5,0)</f>
        <v>0</v>
      </c>
      <c r="AS188" s="1100" t="s">
        <v>1183</v>
      </c>
      <c r="AT188" s="1100"/>
      <c r="AU188" s="4" t="e">
        <f>IF(AE191=AU189,1,IF(AE191=AU190,2,0))</f>
        <v>#REF!</v>
      </c>
      <c r="AV188" s="4"/>
      <c r="AW188" s="4" t="e">
        <f>VLOOKUP(AU188,AL189:AS190,6,0)</f>
        <v>#REF!</v>
      </c>
      <c r="AX188" s="4"/>
      <c r="AY188" s="4"/>
      <c r="AZ188" s="256"/>
      <c r="BA188" s="256"/>
      <c r="BB188" s="62" t="e">
        <v>#REF!</v>
      </c>
      <c r="BC188" s="228" t="e">
        <v>#REF!</v>
      </c>
      <c r="BD188" s="62" t="e">
        <v>#REF!</v>
      </c>
      <c r="BE188" s="178" t="e">
        <f t="shared" ref="BE188:BE227" si="23">IF(OR(ISNA(BD188),BD188="",BD188=0),"",1)</f>
        <v>#REF!</v>
      </c>
      <c r="BF188" s="62" t="e">
        <v>#REF!</v>
      </c>
      <c r="BG188" s="62" t="e">
        <v>#REF!</v>
      </c>
    </row>
    <row r="189" spans="2:59" s="178" customFormat="1" ht="18" customHeight="1" x14ac:dyDescent="0.35">
      <c r="B189" s="97"/>
      <c r="C189" s="4"/>
      <c r="D189" s="49">
        <f>IF(AG216=2,1,0)</f>
        <v>0</v>
      </c>
      <c r="E189" s="58"/>
      <c r="F189" s="59"/>
      <c r="G189" s="59"/>
      <c r="H189" s="59"/>
      <c r="I189" s="59"/>
      <c r="J189" s="59"/>
      <c r="K189" s="59"/>
      <c r="L189" s="59"/>
      <c r="M189" s="59"/>
      <c r="N189" s="59"/>
      <c r="O189" s="59"/>
      <c r="P189" s="59"/>
      <c r="Q189" s="59"/>
      <c r="R189" s="59"/>
      <c r="S189" s="59"/>
      <c r="T189" s="59"/>
      <c r="U189" s="59"/>
      <c r="V189" s="60"/>
      <c r="W189" s="49">
        <f>IF(AG216=1,1,0)</f>
        <v>0</v>
      </c>
      <c r="X189" s="53"/>
      <c r="Y189" s="4"/>
      <c r="Z189" s="4"/>
      <c r="AA189" s="1084">
        <f>IF(AC188=AV_HF,POZ_RAM,
IF(AC188=AV_HF_SD,POZ_RAM,
IF(AC188=ZAVESY,VYR_ZAVES,
IF(AC188=AV_OST,TYP_AV,0))))</f>
        <v>0</v>
      </c>
      <c r="AB189" s="1085"/>
      <c r="AC189" s="252"/>
      <c r="AD189" s="265" t="s">
        <v>1210</v>
      </c>
      <c r="AE189" s="209"/>
      <c r="AF189" s="106" t="str">
        <f>IF(AC185=AF186,"",AV_HF_SD)</f>
        <v/>
      </c>
      <c r="AG189" s="4"/>
      <c r="AH189" s="4">
        <f>IF(AC188=AV_HF,5,IF(AC188=AV_HF_SD,5,IF(AC188=AV_OST,5,8)))</f>
        <v>8</v>
      </c>
      <c r="AI189" s="232">
        <f>IF(AI188=1,$B$480,IF(AI188=2,$B$484,0))</f>
        <v>0</v>
      </c>
      <c r="AJ189" s="237" t="str">
        <f>IF(AC188=AV_HF,DOL_DV,
IF(AC188=AV_HF_SD,DOL_DV,
IF(AC188=AV_OST,AV_HK_TIP,
IF(AC188=ZAVESY,BLUM,""))))</f>
        <v/>
      </c>
      <c r="AK189" s="238" t="str">
        <f t="shared" si="22"/>
        <v/>
      </c>
      <c r="AL189" s="4">
        <v>1</v>
      </c>
      <c r="AM189" s="4">
        <f>IF(AC189=PRAZDNE_1,AI189,IF(AC189=BLUM,BC187,IF(AC189=STRONG_INT_TL,AI206,IF(AC189=STRONG_BINT_TL,AI202,IF(AC189=HETTICH,BB187,"")))))</f>
        <v>0</v>
      </c>
      <c r="AN189" s="4" t="str">
        <f t="shared" ref="AN189:AN203" si="24">IF(ISNA(VLOOKUP(AM189,$B$480:$C$615,2,0)),"",VLOOKUP(AM189,$B$480:$C$615,2,0))</f>
        <v/>
      </c>
      <c r="AO189" s="4" t="str">
        <f>CONCATENATE(AN189," (",AM189,")")</f>
        <v xml:space="preserve"> (0)</v>
      </c>
      <c r="AP189" s="241">
        <f t="array" ref="AP189:AP214">IF(OR(AC188=AV_HF,AC188=AV_HF_SD),HF_TYP_2_CILKA,
IF(AC189=AV_HL,TYP_RAM_AV_HL1,
IF(AC189=AV_HL_SD,TYP_RAM_AV_HL,
IF(OR(AC189=AV_HKXS,AC189=AV_HKXS_TIP),UMISTENI_RAM_HKXS,
IF(AC189=HETTICH,T1_PANT_HETTICH,
IF(AC189=BLUM,T1_PANT_BLUM,
IF(AC189=STRONG_BINT_TL,T1_PANT_STRONG_BTL,
IF(AC189=STRONG_INT_TL,T1_PANT_STRONG_STL,PRAZDNE_1))))))))</f>
        <v>0</v>
      </c>
      <c r="AQ189" s="236" t="str">
        <f>IF(OR(ISNA(AP189),AP189=0),"",1)</f>
        <v/>
      </c>
      <c r="AR189" s="4"/>
      <c r="AS189" s="244" t="e">
        <f>VLOOKUP(AR188,#REF!,8,0)</f>
        <v>#REF!</v>
      </c>
      <c r="AT189" s="236" t="e">
        <f>IF(OR(ISNA(AS189),AS189=0),"",1)</f>
        <v>#REF!</v>
      </c>
      <c r="AU189" s="4" t="e">
        <f>IF(OR(ISNA(AS189),AS189=0),PRAZDNE_1,VLOOKUP(AR188,#REF!,5,FALSE))</f>
        <v>#REF!</v>
      </c>
      <c r="AV189" s="4"/>
      <c r="AW189" s="4"/>
      <c r="AX189" s="4"/>
      <c r="AY189" s="4"/>
      <c r="AZ189" s="256"/>
      <c r="BA189" s="256"/>
      <c r="BB189" s="62" t="e">
        <v>#REF!</v>
      </c>
      <c r="BC189" s="228" t="e">
        <v>#REF!</v>
      </c>
      <c r="BD189" s="62" t="e">
        <v>#REF!</v>
      </c>
      <c r="BE189" s="178" t="e">
        <f t="shared" si="23"/>
        <v>#REF!</v>
      </c>
      <c r="BF189" s="62" t="e">
        <v>#REF!</v>
      </c>
      <c r="BG189" s="62" t="e">
        <v>#REF!</v>
      </c>
    </row>
    <row r="190" spans="2:59" s="178" customFormat="1" ht="18" customHeight="1" x14ac:dyDescent="0.5">
      <c r="B190" s="97"/>
      <c r="C190" s="4"/>
      <c r="D190" s="49"/>
      <c r="E190" s="58"/>
      <c r="F190" s="59"/>
      <c r="G190" s="59"/>
      <c r="H190" s="59"/>
      <c r="I190" s="59"/>
      <c r="J190" s="59"/>
      <c r="K190" s="59"/>
      <c r="L190" s="59"/>
      <c r="M190" s="59"/>
      <c r="N190" s="59"/>
      <c r="O190" s="59"/>
      <c r="P190" s="59"/>
      <c r="Q190" s="59"/>
      <c r="R190" s="44"/>
      <c r="S190" s="44"/>
      <c r="T190" s="44"/>
      <c r="U190" s="44"/>
      <c r="V190" s="45"/>
      <c r="W190" s="49"/>
      <c r="X190" s="53"/>
      <c r="Y190" s="1086"/>
      <c r="Z190" s="1106"/>
      <c r="AA190" s="1084">
        <f>IF(AC189=AV_HF,HM_UCH,
IF(OR('Běžné rámečky'!AC189=AV_HKS,'Běžné rámečky'!AC189=AV_HS),HM_UCH,
IF(AC189=AV_HL,TYP_RAM,
IF(AC188=ZAVESY,TYP_ZAV,
IF(AC188=AV_HF,PROV_2_CILKA,
IF(AC188=AV_HF_SD,PROV_2_CILKA,
IF(AC189=AV_HK_SD,HM_UCH,
IF(AC189=AV_HK,HM_UCH,
IF(AC189=AV_HKXS,POZICE_RAMENE,
IF(AC189=AV_HKXS_TIP,POZICE_RAMENE,AF185))))))))))</f>
        <v>0</v>
      </c>
      <c r="AB190" s="1085"/>
      <c r="AC190" s="281"/>
      <c r="AD190" s="266" t="s">
        <v>1211</v>
      </c>
      <c r="AE190" s="210">
        <f>IF(AA190=HM_UCH,0,AC190)</f>
        <v>0</v>
      </c>
      <c r="AF190" s="106" t="str">
        <f>IF(AC185=AF186,"",AV_OST)</f>
        <v/>
      </c>
      <c r="AG190" s="4">
        <f>IF(AC189=AV_HL_SD,HM_UCH,IF(AC189=AV_HS_SD,HM_UCH,0))</f>
        <v>0</v>
      </c>
      <c r="AH190" s="4"/>
      <c r="AI190" s="233">
        <f>IF(AI188=1,$B$481,IF(AI188=2,$B$485,0))</f>
        <v>0</v>
      </c>
      <c r="AJ190" s="237" t="str">
        <f>IF(AC188=AV_OST,AV_HK_SD,
IF(AC188=ZAVESY,HETTICH,""))</f>
        <v/>
      </c>
      <c r="AK190" s="238" t="str">
        <f t="shared" si="22"/>
        <v/>
      </c>
      <c r="AL190" s="4">
        <v>2</v>
      </c>
      <c r="AM190" s="4">
        <f>IF(AC189=PRAZDNE_1,AI190,IF(AC189=BLUM,BC188,IF(AC189=STRONG_INT_TL,AI207,IF(AC189=STRONG_BINT_TL,AI203,IF(AC189=HETTICH,BB188,"")))))</f>
        <v>0</v>
      </c>
      <c r="AN190" s="4" t="str">
        <f t="shared" si="24"/>
        <v/>
      </c>
      <c r="AO190" s="4" t="str">
        <f t="shared" ref="AO190:AO214" si="25">CONCATENATE(AN190," (",AM190,")")</f>
        <v xml:space="preserve"> (0)</v>
      </c>
      <c r="AP190" s="242">
        <v>0</v>
      </c>
      <c r="AQ190" s="238" t="str">
        <f t="shared" ref="AQ190:AQ214" si="26">IF(OR(ISNA(AP190),AP190=0),"",1)</f>
        <v/>
      </c>
      <c r="AR190" s="4"/>
      <c r="AS190" s="245" t="e">
        <f>VLOOKUP(AR188,#REF!,9,0)</f>
        <v>#REF!</v>
      </c>
      <c r="AT190" s="238" t="e">
        <f t="shared" ref="AT190:AT198" si="27">IF(OR(ISNA(AS190),AS190=0),"",1)</f>
        <v>#REF!</v>
      </c>
      <c r="AU190" s="4" t="e">
        <f>IF(OR(ISNA(AS190),AS190=0),PRAZDNE_1,VLOOKUP(AR189,#REF!,5,FALSE))</f>
        <v>#REF!</v>
      </c>
      <c r="AV190" s="4"/>
      <c r="AW190" s="4"/>
      <c r="AX190" s="4"/>
      <c r="AY190" s="4"/>
      <c r="AZ190" s="256"/>
      <c r="BA190" s="256"/>
      <c r="BB190" s="62" t="e">
        <v>#REF!</v>
      </c>
      <c r="BC190" s="228" t="e">
        <v>#REF!</v>
      </c>
      <c r="BD190" s="62" t="e">
        <v>#REF!</v>
      </c>
      <c r="BE190" s="178" t="e">
        <f t="shared" si="23"/>
        <v>#REF!</v>
      </c>
      <c r="BF190" s="62" t="e">
        <v>#REF!</v>
      </c>
      <c r="BG190" s="62" t="e">
        <v>#REF!</v>
      </c>
    </row>
    <row r="191" spans="2:59" s="178" customFormat="1" ht="18" customHeight="1" x14ac:dyDescent="0.35">
      <c r="B191" s="97"/>
      <c r="C191" s="4"/>
      <c r="D191" s="49"/>
      <c r="E191" s="58"/>
      <c r="F191" s="59"/>
      <c r="G191" s="59"/>
      <c r="H191" s="59"/>
      <c r="I191" s="59"/>
      <c r="J191" s="59"/>
      <c r="K191" s="59"/>
      <c r="L191" s="59"/>
      <c r="M191" s="59"/>
      <c r="N191" s="59"/>
      <c r="O191" s="59"/>
      <c r="P191" s="59"/>
      <c r="Q191" s="59"/>
      <c r="R191" s="46" t="s">
        <v>15</v>
      </c>
      <c r="S191" s="59"/>
      <c r="T191" s="59"/>
      <c r="U191" s="63"/>
      <c r="V191" s="60"/>
      <c r="W191" s="49"/>
      <c r="X191" s="4"/>
      <c r="Y191" s="1087"/>
      <c r="Z191" s="1107"/>
      <c r="AA191" s="1084">
        <f>IF(AC188=AV_HF,HM_UCH,
IF(AC189=AV_HL,HM_UCH,
IF('Běžné rámečky'!AC189=AV_HL_SD,HM_UCH,
IF(AC188=AV_HF_SD,HM_UCH,
IF(AC188=ZAVESY,TYP_PODL,IF(AC189=AV_HKXS,HM_UCH,0))))))</f>
        <v>0</v>
      </c>
      <c r="AB191" s="1085"/>
      <c r="AC191" s="252"/>
      <c r="AD191" s="266" t="s">
        <v>1537</v>
      </c>
      <c r="AE191" s="210">
        <f>IF(AA191=HM_UCH,0,AC191)</f>
        <v>0</v>
      </c>
      <c r="AF191" s="106" t="str">
        <f>IF(AC185=$B$372,0,$J$353)</f>
        <v>Závěsy se zvedacím pístem</v>
      </c>
      <c r="AG191" s="4"/>
      <c r="AH191" s="4"/>
      <c r="AI191" s="233">
        <f>IF(AI188=1,$B$482,IF(AI188=2,$B$486,0))</f>
        <v>0</v>
      </c>
      <c r="AJ191" s="237" t="str">
        <f>IF(AC188=AV_OST,AV_HL,
IF(AC188=ZAVESY,STRONG_INT_TL,""))</f>
        <v/>
      </c>
      <c r="AK191" s="238" t="str">
        <f t="shared" si="22"/>
        <v/>
      </c>
      <c r="AL191" s="4">
        <v>3</v>
      </c>
      <c r="AM191" s="4">
        <f>IF(AC189=PRAZDNE_1,AI191,IF(AC189=BLUM,BC189,IF(AC189=STRONG_INT_TL,AI208,IF(AC189=STRONG_BINT_TL,AI204,IF(AC189=HETTICH,BB189,"")))))</f>
        <v>0</v>
      </c>
      <c r="AN191" s="4" t="str">
        <f t="shared" si="24"/>
        <v/>
      </c>
      <c r="AO191" s="4" t="str">
        <f t="shared" si="25"/>
        <v xml:space="preserve"> (0)</v>
      </c>
      <c r="AP191" s="242">
        <v>0</v>
      </c>
      <c r="AQ191" s="238" t="str">
        <f t="shared" si="26"/>
        <v/>
      </c>
      <c r="AR191" s="4"/>
      <c r="AS191" s="245" t="e">
        <f>VLOOKUP(AR188,#REF!,10,0)</f>
        <v>#REF!</v>
      </c>
      <c r="AT191" s="238" t="e">
        <f t="shared" si="27"/>
        <v>#REF!</v>
      </c>
      <c r="AU191" s="4" t="e">
        <f>IF(OR(ISNA(AS191),AS191=0),PRAZDNE_1,VLOOKUP(AR190,#REF!,5,FALSE))</f>
        <v>#REF!</v>
      </c>
      <c r="AV191" s="4"/>
      <c r="AW191" s="4"/>
      <c r="AX191" s="4"/>
      <c r="AY191" s="4"/>
      <c r="AZ191" s="256"/>
      <c r="BA191" s="256"/>
      <c r="BB191" s="62" t="e">
        <v>#REF!</v>
      </c>
      <c r="BC191" s="228" t="e">
        <v>#REF!</v>
      </c>
      <c r="BD191" s="62" t="e">
        <v>#REF!</v>
      </c>
      <c r="BE191" s="178" t="e">
        <f t="shared" si="23"/>
        <v>#REF!</v>
      </c>
      <c r="BF191" s="62" t="e">
        <v>#REF!</v>
      </c>
      <c r="BG191" s="62" t="e">
        <v>#REF!</v>
      </c>
    </row>
    <row r="192" spans="2:59" s="178" customFormat="1" ht="18" customHeight="1" x14ac:dyDescent="0.3">
      <c r="B192" s="97"/>
      <c r="C192" s="4"/>
      <c r="D192" s="49" t="b">
        <f>IF(AG216=2,IF(AC192=4,1,0))</f>
        <v>0</v>
      </c>
      <c r="E192" s="58"/>
      <c r="F192" s="59"/>
      <c r="G192" s="59"/>
      <c r="H192" s="59"/>
      <c r="I192" s="59"/>
      <c r="J192" s="59"/>
      <c r="K192" s="59"/>
      <c r="L192" s="59"/>
      <c r="M192" s="59"/>
      <c r="N192" s="59"/>
      <c r="O192" s="59"/>
      <c r="P192" s="59"/>
      <c r="Q192" s="59"/>
      <c r="R192" s="59"/>
      <c r="S192" s="64"/>
      <c r="T192" s="65"/>
      <c r="U192" s="63"/>
      <c r="V192" s="60"/>
      <c r="W192" s="49" t="b">
        <f>IF(AG216=1,IF(AC192=4,1,0))</f>
        <v>0</v>
      </c>
      <c r="X192" s="40"/>
      <c r="Y192" s="1087"/>
      <c r="Z192" s="1107"/>
      <c r="AA192" s="1084">
        <f>IF(AC188=ZAVESY,POC_ZAVES,0)</f>
        <v>0</v>
      </c>
      <c r="AB192" s="1085"/>
      <c r="AC192" s="251"/>
      <c r="AD192" s="207" t="s">
        <v>1201</v>
      </c>
      <c r="AE192" s="208"/>
      <c r="AF192" s="106"/>
      <c r="AG192" s="4"/>
      <c r="AH192" s="4"/>
      <c r="AI192" s="233">
        <f>IF(AI188=1,$B$483,IF(AI188=2,$B$487,0))</f>
        <v>0</v>
      </c>
      <c r="AJ192" s="237" t="str">
        <f>IF(AC188=AV_OST,AV_HL_SD,
IF(AC188=ZAVESY,STRONG_BINT_TL,""))</f>
        <v/>
      </c>
      <c r="AK192" s="238" t="str">
        <f t="shared" si="22"/>
        <v/>
      </c>
      <c r="AL192" s="4">
        <v>4</v>
      </c>
      <c r="AM192" s="4">
        <f>IF(AC189=PRAZDNE_1,AI192,IF(AC189=BLUM,BC190,IF(AC189=STRONG_INT_TL,AI209,IF(AC189=STRONG_BINT_TL,AI205,IF(AC189=HETTICH,BB190,"")))))</f>
        <v>0</v>
      </c>
      <c r="AN192" s="4" t="str">
        <f t="shared" si="24"/>
        <v/>
      </c>
      <c r="AO192" s="4" t="str">
        <f t="shared" si="25"/>
        <v xml:space="preserve"> (0)</v>
      </c>
      <c r="AP192" s="242">
        <v>0</v>
      </c>
      <c r="AQ192" s="238" t="str">
        <f t="shared" si="26"/>
        <v/>
      </c>
      <c r="AR192" s="4"/>
      <c r="AS192" s="245" t="e">
        <f>VLOOKUP(AR188,#REF!,11,0)</f>
        <v>#REF!</v>
      </c>
      <c r="AT192" s="238" t="e">
        <f t="shared" si="27"/>
        <v>#REF!</v>
      </c>
      <c r="AU192" s="4"/>
      <c r="AV192" s="4"/>
      <c r="AW192" s="4"/>
      <c r="AX192" s="4"/>
      <c r="AY192" s="4"/>
      <c r="AZ192" s="256"/>
      <c r="BA192" s="256"/>
      <c r="BB192" s="62" t="e">
        <v>#REF!</v>
      </c>
      <c r="BC192" s="228" t="e">
        <v>#REF!</v>
      </c>
      <c r="BD192" s="62" t="e">
        <v>#REF!</v>
      </c>
      <c r="BE192" s="178" t="e">
        <f t="shared" si="23"/>
        <v>#REF!</v>
      </c>
      <c r="BF192" s="62" t="e">
        <v>#REF!</v>
      </c>
      <c r="BG192" s="62" t="e">
        <v>#REF!</v>
      </c>
    </row>
    <row r="193" spans="2:59" s="178" customFormat="1" ht="18" customHeight="1" x14ac:dyDescent="0.3">
      <c r="B193" s="97"/>
      <c r="C193" s="4"/>
      <c r="D193" s="49"/>
      <c r="E193" s="58"/>
      <c r="F193" s="59"/>
      <c r="G193" s="59"/>
      <c r="H193" s="59"/>
      <c r="I193" s="59"/>
      <c r="J193" s="59"/>
      <c r="K193" s="59"/>
      <c r="L193" s="59"/>
      <c r="M193" s="59"/>
      <c r="N193" s="59"/>
      <c r="O193" s="59"/>
      <c r="P193" s="59"/>
      <c r="Q193" s="59"/>
      <c r="R193" s="59"/>
      <c r="S193" s="1088"/>
      <c r="T193" s="65"/>
      <c r="U193" s="63"/>
      <c r="V193" s="60"/>
      <c r="W193" s="49"/>
      <c r="X193" s="4"/>
      <c r="Y193" s="1087"/>
      <c r="Z193" s="1107"/>
      <c r="AA193" s="1084">
        <f>IF(AC188=ZAVESY,VZD_ZAVES,0)</f>
        <v>0</v>
      </c>
      <c r="AB193" s="1085"/>
      <c r="AC193" s="253"/>
      <c r="AD193" s="207" t="s">
        <v>1202</v>
      </c>
      <c r="AE193" s="211"/>
      <c r="AF193" s="1089"/>
      <c r="AG193" s="4"/>
      <c r="AH193" s="4"/>
      <c r="AI193" s="233">
        <f>IF(AI188=2,$B$488,0)</f>
        <v>0</v>
      </c>
      <c r="AJ193" s="237" t="str">
        <f>IF(AC188=AV_OST,AV_HS,
IF(AC188=ZAVESY,
IF(AI188=1,PANT_STRONG_PLUS_SLIM,PANT_STRONG_SLIM_BTL),""))</f>
        <v/>
      </c>
      <c r="AK193" s="238" t="str">
        <f t="shared" si="22"/>
        <v/>
      </c>
      <c r="AL193" s="4">
        <v>5</v>
      </c>
      <c r="AM193" s="4">
        <f>IF(AC189=PRAZDNE_1,AI193,IF(AC189=BLUM,BC191,IF(AC189=HETTICH,BB191,"")))</f>
        <v>0</v>
      </c>
      <c r="AN193" s="4" t="str">
        <f t="shared" si="24"/>
        <v/>
      </c>
      <c r="AO193" s="4" t="str">
        <f t="shared" si="25"/>
        <v xml:space="preserve"> (0)</v>
      </c>
      <c r="AP193" s="242">
        <v>0</v>
      </c>
      <c r="AQ193" s="238" t="str">
        <f t="shared" si="26"/>
        <v/>
      </c>
      <c r="AR193" s="4"/>
      <c r="AS193" s="245" t="e">
        <f>VLOOKUP(AR188,#REF!,12,0)</f>
        <v>#REF!</v>
      </c>
      <c r="AT193" s="238" t="e">
        <f t="shared" si="27"/>
        <v>#REF!</v>
      </c>
      <c r="AU193" s="4"/>
      <c r="AV193" s="4"/>
      <c r="AW193" s="4"/>
      <c r="AX193" s="4"/>
      <c r="AY193" s="4"/>
      <c r="AZ193" s="256"/>
      <c r="BA193" s="256"/>
      <c r="BB193" s="62" t="e">
        <v>#REF!</v>
      </c>
      <c r="BC193" s="228" t="e">
        <v>#REF!</v>
      </c>
      <c r="BD193" s="62" t="e">
        <v>#REF!</v>
      </c>
      <c r="BE193" s="178" t="e">
        <f t="shared" si="23"/>
        <v>#REF!</v>
      </c>
      <c r="BF193" s="62" t="e">
        <v>#REF!</v>
      </c>
      <c r="BG193" s="62" t="e">
        <v>#REF!</v>
      </c>
    </row>
    <row r="194" spans="2:59" s="178" customFormat="1" ht="24.75" customHeight="1" thickBot="1" x14ac:dyDescent="0.4">
      <c r="B194" s="97"/>
      <c r="C194" s="4"/>
      <c r="D194" s="49"/>
      <c r="E194" s="58"/>
      <c r="F194" s="59"/>
      <c r="G194" s="59"/>
      <c r="H194" s="59"/>
      <c r="I194" s="59"/>
      <c r="J194" s="59"/>
      <c r="K194" s="59"/>
      <c r="L194" s="59"/>
      <c r="M194" s="59"/>
      <c r="N194" s="59"/>
      <c r="O194" s="59"/>
      <c r="P194" s="59"/>
      <c r="Q194" s="59"/>
      <c r="R194" s="59"/>
      <c r="S194" s="1088"/>
      <c r="T194" s="65"/>
      <c r="U194" s="63"/>
      <c r="V194" s="60"/>
      <c r="W194" s="49"/>
      <c r="X194" s="4"/>
      <c r="Y194" s="1087"/>
      <c r="Z194" s="1107"/>
      <c r="AA194" s="230"/>
      <c r="AB194" s="231"/>
      <c r="AC194" s="254"/>
      <c r="AD194" s="267"/>
      <c r="AE194" s="212"/>
      <c r="AF194" s="1089"/>
      <c r="AG194" s="4"/>
      <c r="AH194" s="4"/>
      <c r="AI194" s="234">
        <f>IF(AI188=2,$B$489,0)</f>
        <v>0</v>
      </c>
      <c r="AJ194" s="237" t="str">
        <f>IF(AC188=AV_OST,AV_HS_SD,"")</f>
        <v/>
      </c>
      <c r="AK194" s="238" t="str">
        <f t="shared" si="22"/>
        <v/>
      </c>
      <c r="AL194" s="4">
        <v>6</v>
      </c>
      <c r="AM194" s="4">
        <f>IF(AC189=PRAZDNE_1,AI194,IF(AC189=BLUM,BC192,IF(AC189=HETTICH,BB192,"")))</f>
        <v>0</v>
      </c>
      <c r="AN194" s="4" t="str">
        <f t="shared" si="24"/>
        <v/>
      </c>
      <c r="AO194" s="4" t="str">
        <f t="shared" si="25"/>
        <v xml:space="preserve"> (0)</v>
      </c>
      <c r="AP194" s="242">
        <v>0</v>
      </c>
      <c r="AQ194" s="238" t="str">
        <f t="shared" si="26"/>
        <v/>
      </c>
      <c r="AR194" s="4"/>
      <c r="AS194" s="245" t="e">
        <f>VLOOKUP(AR188,#REF!,13,0)</f>
        <v>#REF!</v>
      </c>
      <c r="AT194" s="238" t="e">
        <f t="shared" si="27"/>
        <v>#REF!</v>
      </c>
      <c r="AU194" s="4"/>
      <c r="AV194" s="4"/>
      <c r="AW194" s="4"/>
      <c r="AX194" s="4"/>
      <c r="AY194" s="4"/>
      <c r="AZ194" s="256"/>
      <c r="BA194" s="256"/>
      <c r="BB194" s="62" t="e">
        <v>#REF!</v>
      </c>
      <c r="BC194" s="228" t="e">
        <v>#REF!</v>
      </c>
      <c r="BD194" s="62" t="e">
        <v>#REF!</v>
      </c>
      <c r="BE194" s="178" t="e">
        <f t="shared" si="23"/>
        <v>#REF!</v>
      </c>
      <c r="BF194" s="62" t="e">
        <v>#REF!</v>
      </c>
      <c r="BG194" s="62" t="e">
        <v>#REF!</v>
      </c>
    </row>
    <row r="195" spans="2:59" s="178" customFormat="1" ht="18.75" customHeight="1" x14ac:dyDescent="0.35">
      <c r="B195" s="97"/>
      <c r="C195" s="4"/>
      <c r="D195" s="49"/>
      <c r="E195" s="58"/>
      <c r="F195" s="59"/>
      <c r="G195" s="59"/>
      <c r="H195" s="59"/>
      <c r="I195" s="59"/>
      <c r="J195" s="59"/>
      <c r="K195" s="59"/>
      <c r="L195" s="59"/>
      <c r="M195" s="59"/>
      <c r="N195" s="59"/>
      <c r="O195" s="59"/>
      <c r="P195" s="59"/>
      <c r="Q195" s="59"/>
      <c r="R195" s="59"/>
      <c r="S195" s="1088"/>
      <c r="T195" s="65"/>
      <c r="U195" s="63"/>
      <c r="V195" s="60"/>
      <c r="W195" s="49"/>
      <c r="X195" s="4"/>
      <c r="Y195" s="1087"/>
      <c r="Z195" s="1107"/>
      <c r="AA195" s="230"/>
      <c r="AB195" s="231"/>
      <c r="AC195" s="254"/>
      <c r="AD195" s="267"/>
      <c r="AE195" s="212"/>
      <c r="AF195" s="1089"/>
      <c r="AG195" s="4"/>
      <c r="AH195" s="4"/>
      <c r="AI195" s="232">
        <f>IF(AI188=1,$B$499,IF(AI188=2,$B$507,0))</f>
        <v>0</v>
      </c>
      <c r="AJ195" s="237" t="str">
        <f>IF(AC188=AV_OST,AV_HKS,"")</f>
        <v/>
      </c>
      <c r="AK195" s="238" t="str">
        <f t="shared" si="22"/>
        <v/>
      </c>
      <c r="AL195" s="4">
        <v>7</v>
      </c>
      <c r="AM195" s="4" t="str">
        <f>IF(AC189=HETTICH,BB193,IF(AC189=BLUM,BC193,""))</f>
        <v/>
      </c>
      <c r="AN195" s="4" t="str">
        <f t="shared" si="24"/>
        <v/>
      </c>
      <c r="AO195" s="4" t="str">
        <f t="shared" si="25"/>
        <v xml:space="preserve"> ()</v>
      </c>
      <c r="AP195" s="242">
        <v>0</v>
      </c>
      <c r="AQ195" s="238" t="str">
        <f t="shared" si="26"/>
        <v/>
      </c>
      <c r="AR195" s="4"/>
      <c r="AS195" s="245"/>
      <c r="AT195" s="238" t="str">
        <f t="shared" si="27"/>
        <v/>
      </c>
      <c r="AU195" s="4"/>
      <c r="AV195" s="4"/>
      <c r="AW195" s="4"/>
      <c r="AX195" s="4"/>
      <c r="AY195" s="4"/>
      <c r="AZ195" s="256"/>
      <c r="BA195" s="256"/>
      <c r="BB195" s="62" t="e">
        <v>#REF!</v>
      </c>
      <c r="BC195" s="228" t="e">
        <v>#REF!</v>
      </c>
      <c r="BD195" s="62" t="e">
        <v>#REF!</v>
      </c>
      <c r="BE195" s="178" t="e">
        <f t="shared" si="23"/>
        <v>#REF!</v>
      </c>
      <c r="BF195" s="62" t="e">
        <v>#REF!</v>
      </c>
      <c r="BG195" s="62" t="e">
        <v>#REF!</v>
      </c>
    </row>
    <row r="196" spans="2:59" s="178" customFormat="1" ht="18" customHeight="1" x14ac:dyDescent="0.3">
      <c r="B196" s="97"/>
      <c r="C196" s="4"/>
      <c r="D196" s="49" t="b">
        <f>IF(AG216=2,IF(AC192=3,1,0))</f>
        <v>0</v>
      </c>
      <c r="E196" s="58"/>
      <c r="F196" s="59"/>
      <c r="G196" s="59"/>
      <c r="H196" s="59"/>
      <c r="I196" s="59"/>
      <c r="J196" s="59"/>
      <c r="K196" s="59"/>
      <c r="L196" s="59"/>
      <c r="M196" s="59"/>
      <c r="N196" s="59"/>
      <c r="O196" s="59"/>
      <c r="P196" s="59"/>
      <c r="Q196" s="59"/>
      <c r="R196" s="59"/>
      <c r="S196" s="1088"/>
      <c r="T196" s="65"/>
      <c r="U196" s="63"/>
      <c r="V196" s="60"/>
      <c r="W196" s="49" t="b">
        <f>IF(AG216=1,IF(AC192=3,1,0))</f>
        <v>0</v>
      </c>
      <c r="X196" s="4"/>
      <c r="Y196" s="1087"/>
      <c r="Z196" s="1107"/>
      <c r="AA196" s="1084">
        <f>IF(AC188=ZAVESY,Ceny!$B$196,0)</f>
        <v>0</v>
      </c>
      <c r="AB196" s="1085"/>
      <c r="AC196" s="251"/>
      <c r="AD196" s="207" t="s">
        <v>1203</v>
      </c>
      <c r="AE196" s="208"/>
      <c r="AF196" s="106"/>
      <c r="AG196" s="4">
        <v>2</v>
      </c>
      <c r="AH196" s="4">
        <f>IF(AC188=ZAVESY,AG196,0)</f>
        <v>0</v>
      </c>
      <c r="AI196" s="233">
        <f>IF(AI188=1,$B$500,IF(AI188=2,$B$508,0))</f>
        <v>0</v>
      </c>
      <c r="AJ196" s="237" t="str">
        <f>IF(AC188=AV_OST,AV_HKS_TIP,"")</f>
        <v/>
      </c>
      <c r="AK196" s="238" t="str">
        <f t="shared" si="22"/>
        <v/>
      </c>
      <c r="AL196" s="4">
        <v>8</v>
      </c>
      <c r="AM196" s="4" t="str">
        <f>IF(AC189=HETTICH,BB194,IF(AC189=BLUM,BC194,""))</f>
        <v/>
      </c>
      <c r="AN196" s="4" t="str">
        <f t="shared" si="24"/>
        <v/>
      </c>
      <c r="AO196" s="4" t="str">
        <f t="shared" si="25"/>
        <v xml:space="preserve"> ()</v>
      </c>
      <c r="AP196" s="242">
        <v>0</v>
      </c>
      <c r="AQ196" s="238" t="str">
        <f t="shared" si="26"/>
        <v/>
      </c>
      <c r="AR196" s="4"/>
      <c r="AS196" s="245"/>
      <c r="AT196" s="238" t="str">
        <f t="shared" si="27"/>
        <v/>
      </c>
      <c r="AU196" s="4"/>
      <c r="AV196" s="4"/>
      <c r="AW196" s="4"/>
      <c r="AX196" s="4"/>
      <c r="AY196" s="4"/>
      <c r="AZ196" s="256"/>
      <c r="BA196" s="256"/>
      <c r="BB196" s="62" t="e">
        <v>#REF!</v>
      </c>
      <c r="BC196" s="228" t="e">
        <v>#REF!</v>
      </c>
      <c r="BD196" s="62" t="e">
        <v>#REF!</v>
      </c>
      <c r="BE196" s="178" t="e">
        <f t="shared" si="23"/>
        <v>#REF!</v>
      </c>
      <c r="BF196" s="62" t="e">
        <v>#REF!</v>
      </c>
      <c r="BG196" s="62" t="e">
        <v>#REF!</v>
      </c>
    </row>
    <row r="197" spans="2:59" s="178" customFormat="1" ht="18" customHeight="1" x14ac:dyDescent="0.3">
      <c r="B197" s="97"/>
      <c r="C197" s="4"/>
      <c r="D197" s="49"/>
      <c r="E197" s="58"/>
      <c r="F197" s="59"/>
      <c r="G197" s="59"/>
      <c r="H197" s="59"/>
      <c r="I197" s="59"/>
      <c r="J197" s="59"/>
      <c r="K197" s="59"/>
      <c r="L197" s="59"/>
      <c r="M197" s="59"/>
      <c r="N197" s="59"/>
      <c r="O197" s="59"/>
      <c r="P197" s="59"/>
      <c r="Q197" s="59"/>
      <c r="R197" s="59"/>
      <c r="S197" s="1083"/>
      <c r="T197" s="65"/>
      <c r="U197" s="63"/>
      <c r="V197" s="60"/>
      <c r="W197" s="49"/>
      <c r="X197" s="4"/>
      <c r="Y197" s="1087"/>
      <c r="Z197" s="1107"/>
      <c r="AA197" s="1084">
        <f>IF(AG216=1,0,IF(AG216=2,0,IF(AC188=ZAVESY,IF(BD184,0,Ceny!$B$184),0)))</f>
        <v>0</v>
      </c>
      <c r="AB197" s="1085"/>
      <c r="AC197" s="190"/>
      <c r="AD197" s="207" t="s">
        <v>1538</v>
      </c>
      <c r="AE197" s="208"/>
      <c r="AF197" s="106" t="b">
        <v>1</v>
      </c>
      <c r="AG197" s="4">
        <v>3</v>
      </c>
      <c r="AH197" s="4">
        <f>IF(AC188=ZAVESY,AG197,0)</f>
        <v>0</v>
      </c>
      <c r="AI197" s="233">
        <f>IF(AI188=1,$B$501,IF(AI188=2,$B$509,0))</f>
        <v>0</v>
      </c>
      <c r="AJ197" s="237" t="str">
        <f>IF(AC188=AV_OST,AV_HKXS,"")</f>
        <v/>
      </c>
      <c r="AK197" s="238" t="str">
        <f t="shared" si="22"/>
        <v/>
      </c>
      <c r="AL197" s="4">
        <v>9</v>
      </c>
      <c r="AM197" s="4" t="str">
        <f>IF(AC189=HETTICH,BB195,IF(AC189=BLUM,BC195,""))</f>
        <v/>
      </c>
      <c r="AN197" s="4" t="str">
        <f t="shared" si="24"/>
        <v/>
      </c>
      <c r="AO197" s="4" t="str">
        <f t="shared" si="25"/>
        <v xml:space="preserve"> ()</v>
      </c>
      <c r="AP197" s="242">
        <v>0</v>
      </c>
      <c r="AQ197" s="238" t="str">
        <f t="shared" si="26"/>
        <v/>
      </c>
      <c r="AR197" s="4"/>
      <c r="AS197" s="245"/>
      <c r="AT197" s="238" t="str">
        <f t="shared" si="27"/>
        <v/>
      </c>
      <c r="AU197" s="4"/>
      <c r="AV197" s="4"/>
      <c r="AW197" s="4"/>
      <c r="AX197" s="4"/>
      <c r="AY197" s="4"/>
      <c r="AZ197" s="256"/>
      <c r="BA197" s="256"/>
      <c r="BB197" s="62" t="e">
        <v>#REF!</v>
      </c>
      <c r="BC197" s="228" t="e">
        <v>#REF!</v>
      </c>
      <c r="BD197" s="62" t="e">
        <v>#REF!</v>
      </c>
      <c r="BE197" s="178" t="e">
        <f t="shared" si="23"/>
        <v>#REF!</v>
      </c>
      <c r="BF197" s="62" t="e">
        <v>#REF!</v>
      </c>
      <c r="BG197" s="62" t="e">
        <v>#REF!</v>
      </c>
    </row>
    <row r="198" spans="2:59" s="178" customFormat="1" ht="18" customHeight="1" thickBot="1" x14ac:dyDescent="0.35">
      <c r="B198" s="97"/>
      <c r="C198" s="4"/>
      <c r="D198" s="49" t="b">
        <f>IF(AG216=2,IF(AC192=4,1,0))</f>
        <v>0</v>
      </c>
      <c r="E198" s="58"/>
      <c r="F198" s="59"/>
      <c r="G198" s="59"/>
      <c r="H198" s="59"/>
      <c r="I198" s="59"/>
      <c r="J198" s="59"/>
      <c r="K198" s="59"/>
      <c r="L198" s="59"/>
      <c r="M198" s="59"/>
      <c r="N198" s="59"/>
      <c r="O198" s="59"/>
      <c r="P198" s="59"/>
      <c r="Q198" s="59"/>
      <c r="R198" s="59"/>
      <c r="S198" s="65"/>
      <c r="T198" s="65"/>
      <c r="U198" s="63"/>
      <c r="V198" s="60"/>
      <c r="W198" s="49" t="b">
        <f>IF(AG216=1,IF(AC192=4,1,0))</f>
        <v>0</v>
      </c>
      <c r="X198" s="4"/>
      <c r="Y198" s="1060" t="str">
        <f>Ceny_n!$B$136</f>
        <v>Výška</v>
      </c>
      <c r="Z198" s="1107"/>
      <c r="AA198" s="1061">
        <f>IF(AC197=0,0,Ceny!$B$186)</f>
        <v>0</v>
      </c>
      <c r="AB198" s="1062"/>
      <c r="AC198" s="191"/>
      <c r="AD198" s="207" t="s">
        <v>1205</v>
      </c>
      <c r="AE198" s="208"/>
      <c r="AF198" s="106"/>
      <c r="AG198" s="4">
        <v>4</v>
      </c>
      <c r="AH198" s="4">
        <f>IF(AC188=ZAVESY,AG198,0)</f>
        <v>0</v>
      </c>
      <c r="AI198" s="233">
        <f>IF(AI188=1,$B$502,IF(AI188=2,$B$510,0))</f>
        <v>0</v>
      </c>
      <c r="AJ198" s="239" t="str">
        <f>IF(AC188=AV_OST,AV_HKXS_TIP,"")</f>
        <v/>
      </c>
      <c r="AK198" s="240" t="str">
        <f t="shared" si="22"/>
        <v/>
      </c>
      <c r="AL198" s="4">
        <v>10</v>
      </c>
      <c r="AM198" s="4" t="str">
        <f>IF(AC189=HETTICH,BB196,IF(AC189=BLUM,BC196,""))</f>
        <v/>
      </c>
      <c r="AN198" s="4" t="str">
        <f t="shared" si="24"/>
        <v/>
      </c>
      <c r="AO198" s="4" t="str">
        <f t="shared" si="25"/>
        <v xml:space="preserve"> ()</v>
      </c>
      <c r="AP198" s="242">
        <v>0</v>
      </c>
      <c r="AQ198" s="238" t="str">
        <f t="shared" si="26"/>
        <v/>
      </c>
      <c r="AR198" s="4"/>
      <c r="AS198" s="246"/>
      <c r="AT198" s="240" t="str">
        <f t="shared" si="27"/>
        <v/>
      </c>
      <c r="AU198" s="4"/>
      <c r="AV198" s="4"/>
      <c r="AW198" s="4"/>
      <c r="AX198" s="4"/>
      <c r="AY198" s="4"/>
      <c r="AZ198" s="256"/>
      <c r="BA198" s="256"/>
      <c r="BB198" s="62" t="e">
        <v>#REF!</v>
      </c>
      <c r="BC198" s="228" t="e">
        <v>#REF!</v>
      </c>
      <c r="BD198" s="62" t="e">
        <v>#REF!</v>
      </c>
      <c r="BE198" s="178" t="e">
        <f t="shared" si="23"/>
        <v>#REF!</v>
      </c>
      <c r="BF198" s="62" t="e">
        <v>#REF!</v>
      </c>
      <c r="BG198" s="62" t="e">
        <v>#REF!</v>
      </c>
    </row>
    <row r="199" spans="2:59" s="178" customFormat="1" ht="3" customHeight="1" x14ac:dyDescent="0.3">
      <c r="B199" s="97"/>
      <c r="C199" s="4"/>
      <c r="D199" s="49"/>
      <c r="E199" s="58"/>
      <c r="F199" s="59"/>
      <c r="G199" s="59"/>
      <c r="H199" s="59"/>
      <c r="I199" s="59"/>
      <c r="J199" s="59"/>
      <c r="K199" s="59"/>
      <c r="L199" s="59"/>
      <c r="M199" s="59"/>
      <c r="N199" s="59"/>
      <c r="O199" s="59"/>
      <c r="P199" s="59"/>
      <c r="Q199" s="59"/>
      <c r="R199" s="59"/>
      <c r="S199" s="65"/>
      <c r="T199" s="65"/>
      <c r="U199" s="63"/>
      <c r="V199" s="60"/>
      <c r="W199" s="49"/>
      <c r="X199" s="4"/>
      <c r="Y199" s="1060"/>
      <c r="Z199" s="1107"/>
      <c r="AA199" s="1103"/>
      <c r="AB199" s="1066" t="str">
        <f>Ceny_n!$B$185</f>
        <v>Dodat včetně uvedeného kování</v>
      </c>
      <c r="AC199" s="1067"/>
      <c r="AD199" s="268"/>
      <c r="AE199" s="213"/>
      <c r="AF199" s="106"/>
      <c r="AG199" s="4">
        <v>5</v>
      </c>
      <c r="AH199" s="4">
        <f>IF(AC188=ZAVESY,AG199,0)</f>
        <v>0</v>
      </c>
      <c r="AI199" s="62">
        <f>IF(AI188=1,$B$503,IF(AI188=2,$B$511,0))</f>
        <v>0</v>
      </c>
      <c r="AJ199" s="4"/>
      <c r="AK199" s="178" t="str">
        <f t="shared" si="22"/>
        <v/>
      </c>
      <c r="AL199" s="4">
        <v>11</v>
      </c>
      <c r="AM199" s="4">
        <f>IF(AC189=HETTICH,BB197,IF(AC189=BLUM,BC197,))</f>
        <v>0</v>
      </c>
      <c r="AN199" s="4" t="str">
        <f t="shared" si="24"/>
        <v/>
      </c>
      <c r="AO199" s="4" t="str">
        <f t="shared" si="25"/>
        <v xml:space="preserve"> (0)</v>
      </c>
      <c r="AP199" s="242">
        <v>0</v>
      </c>
      <c r="AQ199" s="238" t="str">
        <f t="shared" si="26"/>
        <v/>
      </c>
      <c r="AR199" s="4"/>
      <c r="AS199" s="4"/>
      <c r="AT199" s="4"/>
      <c r="AU199" s="4"/>
      <c r="AV199" s="4"/>
      <c r="AW199" s="4"/>
      <c r="AX199" s="4"/>
      <c r="AY199" s="4"/>
      <c r="AZ199" s="256"/>
      <c r="BA199" s="256"/>
      <c r="BB199" s="62" t="e">
        <v>#REF!</v>
      </c>
      <c r="BC199" s="228" t="e">
        <v>#REF!</v>
      </c>
      <c r="BD199" s="62" t="e">
        <v>#REF!</v>
      </c>
      <c r="BE199" s="178" t="e">
        <f t="shared" si="23"/>
        <v>#REF!</v>
      </c>
      <c r="BF199" s="62" t="e">
        <v>#REF!</v>
      </c>
      <c r="BG199" s="62" t="e">
        <v>#REF!</v>
      </c>
    </row>
    <row r="200" spans="2:59" s="178" customFormat="1" ht="15.75" customHeight="1" x14ac:dyDescent="0.3">
      <c r="B200" s="97"/>
      <c r="C200" s="4"/>
      <c r="D200" s="49"/>
      <c r="E200" s="58"/>
      <c r="F200" s="59"/>
      <c r="G200" s="59"/>
      <c r="H200" s="59"/>
      <c r="I200" s="59"/>
      <c r="J200" s="59"/>
      <c r="K200" s="59"/>
      <c r="L200" s="59"/>
      <c r="M200" s="59"/>
      <c r="N200" s="59"/>
      <c r="O200" s="59"/>
      <c r="P200" s="59"/>
      <c r="Q200" s="59"/>
      <c r="R200" s="59"/>
      <c r="S200" s="59"/>
      <c r="T200" s="59"/>
      <c r="U200" s="59"/>
      <c r="V200" s="60"/>
      <c r="W200" s="49"/>
      <c r="X200" s="4"/>
      <c r="Y200" s="1060"/>
      <c r="Z200" s="1107"/>
      <c r="AA200" s="1104"/>
      <c r="AB200" s="1068"/>
      <c r="AC200" s="1069"/>
      <c r="AD200" s="268"/>
      <c r="AE200" s="213"/>
      <c r="AF200" s="106"/>
      <c r="AG200" s="4"/>
      <c r="AH200" s="4"/>
      <c r="AI200" s="62">
        <f>IF(AI188=1,$B$504,IF(AI188=2,$B$513,0))</f>
        <v>0</v>
      </c>
      <c r="AJ200" s="4"/>
      <c r="AK200" s="4"/>
      <c r="AL200" s="4">
        <v>12</v>
      </c>
      <c r="AM200" s="4" t="str">
        <f>IF(AC189=HETTICH,BB198,IF(AC189=BLUM,BC198,""))</f>
        <v/>
      </c>
      <c r="AN200" s="4" t="str">
        <f t="shared" si="24"/>
        <v/>
      </c>
      <c r="AO200" s="4" t="str">
        <f t="shared" si="25"/>
        <v xml:space="preserve"> ()</v>
      </c>
      <c r="AP200" s="242">
        <v>0</v>
      </c>
      <c r="AQ200" s="238" t="str">
        <f t="shared" si="26"/>
        <v/>
      </c>
      <c r="AR200" s="4"/>
      <c r="AS200" s="4"/>
      <c r="AT200" s="4"/>
      <c r="AU200" s="4"/>
      <c r="AV200" s="4"/>
      <c r="AW200" s="4"/>
      <c r="AX200" s="4"/>
      <c r="AY200" s="4"/>
      <c r="AZ200" s="256"/>
      <c r="BA200" s="256"/>
      <c r="BB200" s="62" t="e">
        <v>#REF!</v>
      </c>
      <c r="BC200" s="228" t="e">
        <v>#REF!</v>
      </c>
      <c r="BD200" s="62" t="e">
        <v>#REF!</v>
      </c>
      <c r="BE200" s="178" t="e">
        <f t="shared" si="23"/>
        <v>#REF!</v>
      </c>
      <c r="BF200" s="62" t="e">
        <v>#REF!</v>
      </c>
      <c r="BG200" s="62" t="e">
        <v>#REF!</v>
      </c>
    </row>
    <row r="201" spans="2:59" s="178" customFormat="1" ht="3.75" customHeight="1" thickBot="1" x14ac:dyDescent="0.35">
      <c r="B201" s="97"/>
      <c r="C201" s="4"/>
      <c r="D201" s="49"/>
      <c r="E201" s="58"/>
      <c r="F201" s="59"/>
      <c r="G201" s="59"/>
      <c r="H201" s="59"/>
      <c r="I201" s="59"/>
      <c r="J201" s="59"/>
      <c r="K201" s="59"/>
      <c r="L201" s="59"/>
      <c r="M201" s="59"/>
      <c r="N201" s="59"/>
      <c r="O201" s="59"/>
      <c r="P201" s="59"/>
      <c r="Q201" s="59"/>
      <c r="R201" s="59"/>
      <c r="S201" s="59"/>
      <c r="T201" s="59"/>
      <c r="U201" s="1072"/>
      <c r="V201" s="60"/>
      <c r="W201" s="49"/>
      <c r="X201" s="4"/>
      <c r="Y201" s="1060"/>
      <c r="Z201" s="1107"/>
      <c r="AA201" s="1104"/>
      <c r="AB201" s="1068"/>
      <c r="AC201" s="1069"/>
      <c r="AD201" s="268"/>
      <c r="AE201" s="213"/>
      <c r="AF201" s="106"/>
      <c r="AG201" s="4"/>
      <c r="AH201" s="4"/>
      <c r="AI201" s="66">
        <f>IF(AI188=1,$B$506,0)</f>
        <v>0</v>
      </c>
      <c r="AJ201" s="4"/>
      <c r="AK201" s="4"/>
      <c r="AL201" s="4">
        <v>13</v>
      </c>
      <c r="AM201" s="221"/>
      <c r="AN201" s="4" t="str">
        <f t="shared" si="24"/>
        <v/>
      </c>
      <c r="AO201" s="4" t="str">
        <f t="shared" si="25"/>
        <v xml:space="preserve"> ()</v>
      </c>
      <c r="AP201" s="242">
        <v>0</v>
      </c>
      <c r="AQ201" s="238" t="str">
        <f t="shared" si="26"/>
        <v/>
      </c>
      <c r="AR201" s="4"/>
      <c r="AS201" s="4"/>
      <c r="AT201" s="4"/>
      <c r="AU201" s="4"/>
      <c r="AV201" s="4"/>
      <c r="AW201" s="4"/>
      <c r="AX201" s="4"/>
      <c r="AY201" s="4"/>
      <c r="AZ201" s="256"/>
      <c r="BA201" s="256"/>
      <c r="BB201" s="62" t="e">
        <v>#REF!</v>
      </c>
      <c r="BC201" s="228" t="e">
        <v>#REF!</v>
      </c>
      <c r="BD201" s="62" t="e">
        <v>#REF!</v>
      </c>
      <c r="BE201" s="178" t="e">
        <f t="shared" si="23"/>
        <v>#REF!</v>
      </c>
      <c r="BF201" s="62" t="e">
        <v>#REF!</v>
      </c>
      <c r="BG201" s="62" t="e">
        <v>#REF!</v>
      </c>
    </row>
    <row r="202" spans="2:59" s="178" customFormat="1" ht="12" customHeight="1" x14ac:dyDescent="0.3">
      <c r="B202" s="97"/>
      <c r="C202" s="4"/>
      <c r="D202" s="49"/>
      <c r="E202" s="58"/>
      <c r="F202" s="59"/>
      <c r="G202" s="59"/>
      <c r="H202" s="59"/>
      <c r="I202" s="59"/>
      <c r="J202" s="59"/>
      <c r="K202" s="59"/>
      <c r="L202" s="59"/>
      <c r="M202" s="59"/>
      <c r="N202" s="59"/>
      <c r="O202" s="59"/>
      <c r="P202" s="59"/>
      <c r="Q202" s="59"/>
      <c r="R202" s="59"/>
      <c r="S202" s="59"/>
      <c r="T202" s="59"/>
      <c r="U202" s="1073"/>
      <c r="V202" s="60"/>
      <c r="W202" s="49"/>
      <c r="X202" s="4"/>
      <c r="Y202" s="1060"/>
      <c r="Z202" s="1107"/>
      <c r="AA202" s="1105"/>
      <c r="AB202" s="1070"/>
      <c r="AC202" s="1071"/>
      <c r="AD202" s="268"/>
      <c r="AE202" s="213"/>
      <c r="AF202" s="106"/>
      <c r="AG202" s="4"/>
      <c r="AH202" s="4"/>
      <c r="AI202" s="61">
        <f>IF(AI188=2,$B$520,0)</f>
        <v>0</v>
      </c>
      <c r="AJ202" s="4"/>
      <c r="AK202" s="4"/>
      <c r="AL202" s="4">
        <v>14</v>
      </c>
      <c r="AM202" s="4"/>
      <c r="AN202" s="4" t="str">
        <f t="shared" si="24"/>
        <v/>
      </c>
      <c r="AO202" s="4" t="str">
        <f t="shared" si="25"/>
        <v xml:space="preserve"> ()</v>
      </c>
      <c r="AP202" s="242">
        <v>0</v>
      </c>
      <c r="AQ202" s="238" t="str">
        <f t="shared" si="26"/>
        <v/>
      </c>
      <c r="AR202" s="4"/>
      <c r="AS202" s="4"/>
      <c r="AT202" s="4"/>
      <c r="AU202" s="4"/>
      <c r="AV202" s="4"/>
      <c r="AW202" s="4"/>
      <c r="AX202" s="4"/>
      <c r="AY202" s="4"/>
      <c r="AZ202" s="256"/>
      <c r="BA202" s="256"/>
      <c r="BB202" s="62" t="e">
        <v>#REF!</v>
      </c>
      <c r="BC202" s="228" t="e">
        <v>#REF!</v>
      </c>
      <c r="BD202" s="62" t="e">
        <v>#REF!</v>
      </c>
      <c r="BE202" s="178" t="e">
        <f t="shared" si="23"/>
        <v>#REF!</v>
      </c>
      <c r="BF202" s="62" t="e">
        <v>#REF!</v>
      </c>
      <c r="BG202" s="62" t="e">
        <v>#REF!</v>
      </c>
    </row>
    <row r="203" spans="2:59" s="178" customFormat="1" ht="26.4" thickBot="1" x14ac:dyDescent="0.55000000000000004">
      <c r="B203" s="97"/>
      <c r="C203" s="4"/>
      <c r="D203" s="49"/>
      <c r="E203" s="58"/>
      <c r="F203" s="59"/>
      <c r="G203" s="59"/>
      <c r="H203" s="59"/>
      <c r="I203" s="59"/>
      <c r="J203" s="59"/>
      <c r="K203" s="59"/>
      <c r="L203" s="59"/>
      <c r="M203" s="59"/>
      <c r="N203" s="59"/>
      <c r="O203" s="59"/>
      <c r="P203" s="59"/>
      <c r="Q203" s="59"/>
      <c r="R203" s="44" t="s">
        <v>15</v>
      </c>
      <c r="S203" s="59"/>
      <c r="T203" s="59"/>
      <c r="U203" s="59"/>
      <c r="V203" s="60"/>
      <c r="W203" s="49"/>
      <c r="X203" s="4"/>
      <c r="Y203" s="1060"/>
      <c r="Z203" s="1107"/>
      <c r="AA203" s="4"/>
      <c r="AB203" s="4"/>
      <c r="AC203" s="98"/>
      <c r="AD203" s="257"/>
      <c r="AE203" s="199"/>
      <c r="AF203" s="106"/>
      <c r="AG203" s="4"/>
      <c r="AH203" s="4"/>
      <c r="AI203" s="62">
        <f>IF(AI188=2,$B$521,0)</f>
        <v>0</v>
      </c>
      <c r="AJ203" s="4"/>
      <c r="AK203" s="4"/>
      <c r="AL203" s="4">
        <v>15</v>
      </c>
      <c r="AM203" s="4"/>
      <c r="AN203" s="4" t="str">
        <f t="shared" si="24"/>
        <v/>
      </c>
      <c r="AO203" s="4" t="str">
        <f t="shared" si="25"/>
        <v xml:space="preserve"> ()</v>
      </c>
      <c r="AP203" s="242">
        <v>0</v>
      </c>
      <c r="AQ203" s="238" t="str">
        <f t="shared" si="26"/>
        <v/>
      </c>
      <c r="AR203" s="4"/>
      <c r="AS203" s="4"/>
      <c r="AT203" s="4"/>
      <c r="AU203" s="4"/>
      <c r="AV203" s="4"/>
      <c r="AW203" s="4"/>
      <c r="AX203" s="4"/>
      <c r="AY203" s="4"/>
      <c r="AZ203" s="256"/>
      <c r="BA203" s="256"/>
      <c r="BB203" s="62" t="e">
        <v>#REF!</v>
      </c>
      <c r="BC203" s="228" t="e">
        <v>#REF!</v>
      </c>
      <c r="BD203" s="62" t="e">
        <v>#REF!</v>
      </c>
      <c r="BE203" s="178" t="e">
        <f t="shared" si="23"/>
        <v>#REF!</v>
      </c>
      <c r="BF203" s="66" t="e">
        <v>#REF!</v>
      </c>
      <c r="BG203" s="66" t="e">
        <v>#REF!</v>
      </c>
    </row>
    <row r="204" spans="2:59" s="178" customFormat="1" ht="5.25" customHeight="1" thickBot="1" x14ac:dyDescent="1.1499999999999999">
      <c r="B204" s="97"/>
      <c r="C204" s="4"/>
      <c r="D204" s="49"/>
      <c r="E204" s="58"/>
      <c r="F204" s="59"/>
      <c r="G204" s="59"/>
      <c r="H204" s="59"/>
      <c r="I204" s="59"/>
      <c r="J204" s="59"/>
      <c r="K204" s="59"/>
      <c r="L204" s="59"/>
      <c r="M204" s="59"/>
      <c r="N204" s="59"/>
      <c r="O204" s="59"/>
      <c r="P204" s="59"/>
      <c r="Q204" s="59"/>
      <c r="R204" s="44"/>
      <c r="S204" s="59"/>
      <c r="T204" s="59"/>
      <c r="U204" s="59"/>
      <c r="V204" s="60"/>
      <c r="W204" s="49"/>
      <c r="X204" s="4"/>
      <c r="Y204" s="1060"/>
      <c r="Z204" s="1107"/>
      <c r="AA204" s="104"/>
      <c r="AB204" s="53"/>
      <c r="AC204" s="93"/>
      <c r="AD204" s="264"/>
      <c r="AE204" s="206"/>
      <c r="AF204" s="106"/>
      <c r="AG204" s="4"/>
      <c r="AH204" s="4"/>
      <c r="AI204" s="62">
        <f>IF(AI188=2,$B$522,0)</f>
        <v>0</v>
      </c>
      <c r="AJ204" s="4"/>
      <c r="AK204" s="4"/>
      <c r="AL204" s="4">
        <v>16</v>
      </c>
      <c r="AM204" s="4"/>
      <c r="AN204" s="4"/>
      <c r="AO204" s="4" t="str">
        <f t="shared" si="25"/>
        <v xml:space="preserve"> ()</v>
      </c>
      <c r="AP204" s="242">
        <v>0</v>
      </c>
      <c r="AQ204" s="238" t="str">
        <f t="shared" si="26"/>
        <v/>
      </c>
      <c r="AR204" s="4"/>
      <c r="AS204" s="4"/>
      <c r="AT204" s="4"/>
      <c r="AU204" s="4"/>
      <c r="AV204" s="4"/>
      <c r="AW204" s="4"/>
      <c r="AX204" s="4"/>
      <c r="AY204" s="4"/>
      <c r="AZ204" s="256"/>
      <c r="BA204" s="256"/>
      <c r="BB204" s="66" t="e">
        <v>#REF!</v>
      </c>
      <c r="BC204" s="229" t="e">
        <v>#REF!</v>
      </c>
      <c r="BD204" s="62" t="e">
        <v>#REF!</v>
      </c>
      <c r="BE204" s="178" t="e">
        <f t="shared" si="23"/>
        <v>#REF!</v>
      </c>
    </row>
    <row r="205" spans="2:59" s="178" customFormat="1" ht="8.25" customHeight="1" thickBot="1" x14ac:dyDescent="0.55000000000000004">
      <c r="B205" s="97"/>
      <c r="C205" s="4"/>
      <c r="D205" s="1074">
        <f>IF(AG216=2,1,0)</f>
        <v>0</v>
      </c>
      <c r="E205" s="58"/>
      <c r="F205" s="59"/>
      <c r="G205" s="59"/>
      <c r="H205" s="59"/>
      <c r="I205" s="59"/>
      <c r="J205" s="59"/>
      <c r="K205" s="59"/>
      <c r="L205" s="59"/>
      <c r="M205" s="59"/>
      <c r="N205" s="59"/>
      <c r="O205" s="59"/>
      <c r="P205" s="59"/>
      <c r="Q205" s="59"/>
      <c r="R205" s="44"/>
      <c r="S205" s="67"/>
      <c r="T205" s="67"/>
      <c r="U205" s="59"/>
      <c r="V205" s="60"/>
      <c r="W205" s="1074">
        <f>IF(AG216=1,1,0)</f>
        <v>0</v>
      </c>
      <c r="X205" s="4"/>
      <c r="Y205" s="68"/>
      <c r="Z205" s="4"/>
      <c r="AA205" s="53"/>
      <c r="AB205" s="53"/>
      <c r="AC205" s="93"/>
      <c r="AD205" s="264"/>
      <c r="AE205" s="206"/>
      <c r="AF205" s="106"/>
      <c r="AG205" s="4"/>
      <c r="AH205" s="4"/>
      <c r="AI205" s="66">
        <f>IF(AI188=2,$B$523,0)</f>
        <v>0</v>
      </c>
      <c r="AJ205" s="4"/>
      <c r="AK205" s="4"/>
      <c r="AL205" s="4">
        <v>17</v>
      </c>
      <c r="AM205" s="4"/>
      <c r="AN205" s="4"/>
      <c r="AO205" s="4" t="str">
        <f t="shared" si="25"/>
        <v xml:space="preserve"> ()</v>
      </c>
      <c r="AP205" s="242">
        <v>0</v>
      </c>
      <c r="AQ205" s="238" t="str">
        <f t="shared" si="26"/>
        <v/>
      </c>
      <c r="AR205" s="4"/>
      <c r="AS205" s="4"/>
      <c r="AT205" s="4"/>
      <c r="AU205" s="4"/>
      <c r="AV205" s="4"/>
      <c r="AW205" s="4"/>
      <c r="AX205" s="4"/>
      <c r="AY205" s="4"/>
      <c r="AZ205" s="256"/>
      <c r="BA205" s="256"/>
      <c r="BC205" s="137"/>
      <c r="BD205" s="62" t="e">
        <v>#REF!</v>
      </c>
      <c r="BE205" s="178" t="e">
        <f t="shared" si="23"/>
        <v>#REF!</v>
      </c>
    </row>
    <row r="206" spans="2:59" s="178" customFormat="1" ht="18" customHeight="1" x14ac:dyDescent="0.5">
      <c r="B206" s="97"/>
      <c r="C206" s="4"/>
      <c r="D206" s="1074" t="e">
        <f>IF(#REF!=$Y$41,1,0)</f>
        <v>#REF!</v>
      </c>
      <c r="E206" s="58"/>
      <c r="F206" s="59"/>
      <c r="G206" s="127"/>
      <c r="H206" s="59"/>
      <c r="I206" s="48"/>
      <c r="J206" s="48"/>
      <c r="K206" s="48"/>
      <c r="L206" s="1075"/>
      <c r="M206" s="1076"/>
      <c r="N206" s="1077"/>
      <c r="O206" s="59"/>
      <c r="P206" s="59"/>
      <c r="Q206" s="59"/>
      <c r="R206" s="44"/>
      <c r="S206" s="1078"/>
      <c r="T206" s="69"/>
      <c r="U206" s="67"/>
      <c r="V206" s="45"/>
      <c r="W206" s="1074" t="e">
        <f>IF(#REF!=$Y$41,1,0)</f>
        <v>#REF!</v>
      </c>
      <c r="X206" s="53"/>
      <c r="Y206" s="70"/>
      <c r="Z206" s="4"/>
      <c r="AA206" s="1101" t="str">
        <f>IF(OR(Y190&gt;2500,L214&gt;2500),MAX_ROZ_RAM,"")</f>
        <v/>
      </c>
      <c r="AB206" s="1101"/>
      <c r="AC206" s="1102"/>
      <c r="AD206" s="264"/>
      <c r="AE206" s="206"/>
      <c r="AF206" s="106"/>
      <c r="AG206" s="4"/>
      <c r="AH206" s="4"/>
      <c r="AI206" s="61">
        <f>IF(AI188=1,$B$530,IF(AI188=2,$B$531,0))</f>
        <v>0</v>
      </c>
      <c r="AJ206" s="4"/>
      <c r="AK206" s="4"/>
      <c r="AL206" s="4">
        <v>18</v>
      </c>
      <c r="AM206" s="4"/>
      <c r="AN206" s="4"/>
      <c r="AO206" s="4" t="str">
        <f t="shared" si="25"/>
        <v xml:space="preserve"> ()</v>
      </c>
      <c r="AP206" s="242">
        <v>0</v>
      </c>
      <c r="AQ206" s="238" t="str">
        <f t="shared" si="26"/>
        <v/>
      </c>
      <c r="AR206" s="4"/>
      <c r="AS206" s="4"/>
      <c r="AT206" s="4"/>
      <c r="AU206" s="4"/>
      <c r="AV206" s="4"/>
      <c r="AW206" s="4"/>
      <c r="AX206" s="4"/>
      <c r="AY206" s="4"/>
      <c r="AZ206" s="256"/>
      <c r="BA206" s="256"/>
      <c r="BC206" s="137"/>
      <c r="BD206" s="62" t="e">
        <v>#REF!</v>
      </c>
      <c r="BE206" s="178" t="e">
        <f t="shared" si="23"/>
        <v>#REF!</v>
      </c>
    </row>
    <row r="207" spans="2:59" s="178" customFormat="1" ht="6" customHeight="1" x14ac:dyDescent="0.5">
      <c r="B207" s="97"/>
      <c r="C207" s="4"/>
      <c r="D207" s="1081" t="str">
        <f>IF(D205=1,AC193,"")</f>
        <v/>
      </c>
      <c r="E207" s="58"/>
      <c r="F207" s="59"/>
      <c r="G207" s="71"/>
      <c r="H207" s="59"/>
      <c r="I207" s="48"/>
      <c r="J207" s="48"/>
      <c r="K207" s="48"/>
      <c r="L207" s="48"/>
      <c r="M207" s="71"/>
      <c r="N207" s="71"/>
      <c r="O207" s="59"/>
      <c r="P207" s="59"/>
      <c r="Q207" s="59"/>
      <c r="R207" s="44"/>
      <c r="S207" s="1079"/>
      <c r="T207" s="69"/>
      <c r="U207" s="67"/>
      <c r="V207" s="45"/>
      <c r="W207" s="1081" t="str">
        <f>IF(W205=1,AC193,"")</f>
        <v/>
      </c>
      <c r="X207" s="53"/>
      <c r="Y207" s="70"/>
      <c r="Z207" s="4"/>
      <c r="AA207" s="1101"/>
      <c r="AB207" s="1101"/>
      <c r="AC207" s="1102"/>
      <c r="AD207" s="264"/>
      <c r="AE207" s="206"/>
      <c r="AF207" s="106"/>
      <c r="AG207" s="4">
        <f>IF(AC198=$J$369,1,IF(AC198=$J$370,1,IF(AC198=$J$371,2,0)))</f>
        <v>0</v>
      </c>
      <c r="AH207" s="4"/>
      <c r="AI207" s="62">
        <f>IF(AI188=2,$B$532,0)</f>
        <v>0</v>
      </c>
      <c r="AJ207" s="4"/>
      <c r="AK207" s="4"/>
      <c r="AL207" s="4">
        <v>19</v>
      </c>
      <c r="AM207" s="4"/>
      <c r="AN207" s="4"/>
      <c r="AO207" s="4" t="str">
        <f t="shared" si="25"/>
        <v xml:space="preserve"> ()</v>
      </c>
      <c r="AP207" s="242">
        <v>0</v>
      </c>
      <c r="AQ207" s="238" t="str">
        <f t="shared" si="26"/>
        <v/>
      </c>
      <c r="AR207" s="4"/>
      <c r="AS207" s="4"/>
      <c r="AT207" s="4"/>
      <c r="AU207" s="4"/>
      <c r="AV207" s="4"/>
      <c r="AW207" s="4"/>
      <c r="AX207" s="4"/>
      <c r="AY207" s="4"/>
      <c r="AZ207" s="256"/>
      <c r="BA207" s="256"/>
      <c r="BC207" s="137"/>
      <c r="BD207" s="62" t="e">
        <v>#REF!</v>
      </c>
      <c r="BE207" s="178" t="e">
        <f t="shared" si="23"/>
        <v>#REF!</v>
      </c>
    </row>
    <row r="208" spans="2:59" s="178" customFormat="1" ht="22.5" customHeight="1" x14ac:dyDescent="0.5">
      <c r="B208" s="97"/>
      <c r="C208" s="4"/>
      <c r="D208" s="1081"/>
      <c r="E208" s="58"/>
      <c r="F208" s="59"/>
      <c r="G208" s="59"/>
      <c r="H208" s="59"/>
      <c r="I208" s="44" t="s">
        <v>15</v>
      </c>
      <c r="J208" s="48"/>
      <c r="K208" s="48"/>
      <c r="L208" s="48"/>
      <c r="M208" s="48"/>
      <c r="N208" s="48"/>
      <c r="O208" s="59"/>
      <c r="P208" s="44" t="s">
        <v>15</v>
      </c>
      <c r="Q208" s="48"/>
      <c r="R208" s="44"/>
      <c r="S208" s="1080"/>
      <c r="T208" s="69"/>
      <c r="U208" s="44"/>
      <c r="V208" s="60"/>
      <c r="W208" s="1081"/>
      <c r="X208" s="53"/>
      <c r="Y208" s="70"/>
      <c r="Z208" s="4"/>
      <c r="AA208" s="1101"/>
      <c r="AB208" s="1101"/>
      <c r="AC208" s="1102"/>
      <c r="AD208" s="264"/>
      <c r="AE208" s="206"/>
      <c r="AF208" s="106"/>
      <c r="AG208" s="4">
        <f>IF(AC197=0,0,VPRAVO)</f>
        <v>0</v>
      </c>
      <c r="AH208" s="4"/>
      <c r="AI208" s="62">
        <f>IF(AI188=2,$B$533,0)</f>
        <v>0</v>
      </c>
      <c r="AJ208" s="4"/>
      <c r="AK208" s="4"/>
      <c r="AL208" s="4">
        <v>20</v>
      </c>
      <c r="AM208" s="4"/>
      <c r="AN208" s="4"/>
      <c r="AO208" s="4" t="str">
        <f t="shared" si="25"/>
        <v xml:space="preserve"> ()</v>
      </c>
      <c r="AP208" s="242">
        <v>0</v>
      </c>
      <c r="AQ208" s="238" t="str">
        <f t="shared" si="26"/>
        <v/>
      </c>
      <c r="AR208" s="4"/>
      <c r="AS208" s="4"/>
      <c r="AT208" s="4"/>
      <c r="AU208" s="4"/>
      <c r="AV208" s="4"/>
      <c r="AW208" s="4"/>
      <c r="AX208" s="4"/>
      <c r="AY208" s="4"/>
      <c r="AZ208" s="256"/>
      <c r="BA208" s="256"/>
      <c r="BC208" s="137"/>
      <c r="BD208" s="62" t="e">
        <v>#REF!</v>
      </c>
      <c r="BE208" s="178" t="e">
        <f t="shared" si="23"/>
        <v>#REF!</v>
      </c>
    </row>
    <row r="209" spans="2:57" s="178" customFormat="1" ht="26.4" thickBot="1" x14ac:dyDescent="0.55000000000000004">
      <c r="B209" s="97"/>
      <c r="C209" s="4"/>
      <c r="D209" s="1081"/>
      <c r="E209" s="58"/>
      <c r="F209" s="59"/>
      <c r="G209" s="59"/>
      <c r="H209" s="59"/>
      <c r="I209" s="48"/>
      <c r="J209" s="1082"/>
      <c r="K209" s="48"/>
      <c r="L209" s="48"/>
      <c r="M209" s="48"/>
      <c r="N209" s="48"/>
      <c r="O209" s="59"/>
      <c r="P209" s="48"/>
      <c r="Q209" s="48"/>
      <c r="R209" s="59"/>
      <c r="S209" s="72"/>
      <c r="T209" s="72"/>
      <c r="U209" s="63"/>
      <c r="V209" s="60"/>
      <c r="W209" s="1081"/>
      <c r="X209" s="53"/>
      <c r="Y209" s="5"/>
      <c r="Z209" s="4"/>
      <c r="AA209" s="1101" t="str">
        <f>IF(AC193=0,"",IF(AND(OR(AC185="Palio (elox.)",AC185="Siena (elox.)"),AC193&lt;80),MIN_POZ_ZAVES_80,IF(AC193&lt;70,MIN_POZ_ZAVES,"")))</f>
        <v/>
      </c>
      <c r="AB209" s="1101"/>
      <c r="AC209" s="1102"/>
      <c r="AD209" s="257"/>
      <c r="AE209" s="199"/>
      <c r="AF209" s="106"/>
      <c r="AG209" s="4">
        <f>IF(AC197=0,0,VLEVO)</f>
        <v>0</v>
      </c>
      <c r="AH209" s="4"/>
      <c r="AI209" s="66">
        <f>IF(AI188=2,$B$534,0)</f>
        <v>0</v>
      </c>
      <c r="AJ209" s="4"/>
      <c r="AK209" s="4"/>
      <c r="AL209" s="4">
        <v>21</v>
      </c>
      <c r="AM209" s="4"/>
      <c r="AN209" s="4"/>
      <c r="AO209" s="4" t="str">
        <f t="shared" si="25"/>
        <v xml:space="preserve"> ()</v>
      </c>
      <c r="AP209" s="242">
        <v>0</v>
      </c>
      <c r="AQ209" s="238" t="str">
        <f t="shared" si="26"/>
        <v/>
      </c>
      <c r="AR209" s="4"/>
      <c r="AS209" s="4"/>
      <c r="AT209" s="4"/>
      <c r="AU209" s="4"/>
      <c r="AV209" s="4"/>
      <c r="AW209" s="4"/>
      <c r="AX209" s="4"/>
      <c r="AY209" s="4"/>
      <c r="AZ209" s="256"/>
      <c r="BA209" s="256"/>
      <c r="BC209" s="137"/>
      <c r="BD209" s="62" t="e">
        <v>#REF!</v>
      </c>
      <c r="BE209" s="178" t="e">
        <f t="shared" si="23"/>
        <v>#REF!</v>
      </c>
    </row>
    <row r="210" spans="2:57" s="178" customFormat="1" ht="25.8" x14ac:dyDescent="0.5">
      <c r="B210" s="97"/>
      <c r="C210" s="4"/>
      <c r="D210" s="1081"/>
      <c r="E210" s="58"/>
      <c r="F210" s="59"/>
      <c r="G210" s="59"/>
      <c r="H210" s="59"/>
      <c r="I210" s="48"/>
      <c r="J210" s="1083"/>
      <c r="K210" s="48"/>
      <c r="L210" s="48"/>
      <c r="M210" s="48"/>
      <c r="N210" s="48"/>
      <c r="O210" s="59"/>
      <c r="P210" s="48"/>
      <c r="Q210" s="48"/>
      <c r="R210" s="59"/>
      <c r="S210" s="73"/>
      <c r="T210" s="73"/>
      <c r="U210" s="63"/>
      <c r="V210" s="60"/>
      <c r="W210" s="1081"/>
      <c r="X210" s="53"/>
      <c r="Y210" s="4"/>
      <c r="Z210" s="4"/>
      <c r="AA210" s="4"/>
      <c r="AB210" s="4"/>
      <c r="AC210" s="98"/>
      <c r="AD210" s="257"/>
      <c r="AE210" s="199"/>
      <c r="AF210" s="106"/>
      <c r="AG210" s="4">
        <f>IF(AC197=0,0,OBE_STRANY)</f>
        <v>0</v>
      </c>
      <c r="AH210" s="4"/>
      <c r="AI210" s="4"/>
      <c r="AJ210" s="4">
        <f>IF(AC197=0,0,VLOOKUP(AC197,AI211:AJ224,2,0))</f>
        <v>0</v>
      </c>
      <c r="AK210" s="4"/>
      <c r="AL210" s="4">
        <v>22</v>
      </c>
      <c r="AM210" s="4"/>
      <c r="AN210" s="4"/>
      <c r="AO210" s="4" t="str">
        <f t="shared" si="25"/>
        <v xml:space="preserve"> ()</v>
      </c>
      <c r="AP210" s="242">
        <v>0</v>
      </c>
      <c r="AQ210" s="238" t="str">
        <f t="shared" si="26"/>
        <v/>
      </c>
      <c r="AR210" s="4"/>
      <c r="AS210" s="4"/>
      <c r="AT210" s="4"/>
      <c r="AU210" s="4"/>
      <c r="AV210" s="4"/>
      <c r="AW210" s="4"/>
      <c r="AX210" s="4"/>
      <c r="AY210" s="4"/>
      <c r="AZ210" s="256"/>
      <c r="BA210" s="256"/>
      <c r="BB210" s="4"/>
      <c r="BD210" s="62" t="e">
        <v>#REF!</v>
      </c>
      <c r="BE210" s="178" t="e">
        <f t="shared" si="23"/>
        <v>#REF!</v>
      </c>
    </row>
    <row r="211" spans="2:57" s="178" customFormat="1" ht="15.75" customHeight="1" thickBot="1" x14ac:dyDescent="0.55000000000000004">
      <c r="B211" s="97"/>
      <c r="C211" s="4"/>
      <c r="D211" s="1081"/>
      <c r="E211" s="74"/>
      <c r="F211" s="75"/>
      <c r="G211" s="75"/>
      <c r="H211" s="75"/>
      <c r="I211" s="47"/>
      <c r="J211" s="47"/>
      <c r="K211" s="47"/>
      <c r="L211" s="47"/>
      <c r="M211" s="47"/>
      <c r="N211" s="47"/>
      <c r="O211" s="75"/>
      <c r="P211" s="47"/>
      <c r="Q211" s="47"/>
      <c r="R211" s="75"/>
      <c r="S211" s="75"/>
      <c r="T211" s="75"/>
      <c r="U211" s="75"/>
      <c r="V211" s="76"/>
      <c r="W211" s="1081"/>
      <c r="X211" s="53"/>
      <c r="Y211" s="4"/>
      <c r="Z211" s="4"/>
      <c r="AA211" s="4"/>
      <c r="AB211" s="4"/>
      <c r="AC211" s="98"/>
      <c r="AD211" s="257"/>
      <c r="AE211" s="199"/>
      <c r="AF211" s="106"/>
      <c r="AG211" s="4"/>
      <c r="AH211" s="4">
        <f>IF(AA197=Ceny_n!$B$184,IF(AI188=1,Ceny!$F$919,IF(AI188=2,Ceny!$G$919,0)),0)</f>
        <v>0</v>
      </c>
      <c r="AI211" s="4">
        <f>IF(AG216=3,AH211,AH230)</f>
        <v>0</v>
      </c>
      <c r="AJ211" s="4">
        <f>IF(AC188=ZAVESY,Ceny!$E$948,0)</f>
        <v>0</v>
      </c>
      <c r="AK211" s="4"/>
      <c r="AL211" s="4">
        <v>22</v>
      </c>
      <c r="AM211" s="4"/>
      <c r="AN211" s="4"/>
      <c r="AO211" s="4" t="str">
        <f t="shared" si="25"/>
        <v xml:space="preserve"> ()</v>
      </c>
      <c r="AP211" s="242">
        <v>0</v>
      </c>
      <c r="AQ211" s="238" t="str">
        <f t="shared" si="26"/>
        <v/>
      </c>
      <c r="AR211" s="4"/>
      <c r="AS211" s="4" t="e">
        <f>VLOOKUP(AL211,Ceny!$B$963:$E$970,4,0)</f>
        <v>#N/A</v>
      </c>
      <c r="AT211" s="4"/>
      <c r="AU211" s="4"/>
      <c r="AV211" s="4"/>
      <c r="AW211" s="4"/>
      <c r="AX211" s="4"/>
      <c r="AY211" s="4" t="e">
        <f t="shared" ref="AY211:AY225" si="28">AJ211+AS211+AT211+AU211+AW211</f>
        <v>#N/A</v>
      </c>
      <c r="AZ211" s="256"/>
      <c r="BA211" s="256"/>
      <c r="BB211" s="4"/>
      <c r="BD211" s="62" t="e">
        <v>#REF!</v>
      </c>
      <c r="BE211" s="178" t="e">
        <f t="shared" si="23"/>
        <v>#REF!</v>
      </c>
    </row>
    <row r="212" spans="2:57" s="178" customFormat="1" ht="18.600000000000001" thickBot="1" x14ac:dyDescent="0.4">
      <c r="B212" s="97"/>
      <c r="C212" s="4"/>
      <c r="D212" s="1036" t="str">
        <f>IF(H212=1,AC193,"")</f>
        <v/>
      </c>
      <c r="E212" s="1037"/>
      <c r="F212" s="1037"/>
      <c r="G212" s="1037"/>
      <c r="H212" s="51">
        <f>IF(AG216=4,1,0)</f>
        <v>0</v>
      </c>
      <c r="I212" s="51"/>
      <c r="J212" s="51"/>
      <c r="K212" s="51" t="b">
        <f>IF(AG216=4,IF(AC192=4,1,0))</f>
        <v>0</v>
      </c>
      <c r="L212" s="51"/>
      <c r="M212" s="51" t="b">
        <f>IF(AG216=4,IF(AC192=3,1,0))</f>
        <v>0</v>
      </c>
      <c r="N212" s="51"/>
      <c r="O212" s="51" t="b">
        <f>IF(AG216=4,IF(AC192=4,1,0))</f>
        <v>0</v>
      </c>
      <c r="P212" s="51"/>
      <c r="Q212" s="51"/>
      <c r="R212" s="51">
        <f>IF(AG216=4,1,0)</f>
        <v>0</v>
      </c>
      <c r="S212" s="1038" t="str">
        <f>IF(R212=1,AC193,"")</f>
        <v/>
      </c>
      <c r="T212" s="1038"/>
      <c r="U212" s="1038"/>
      <c r="V212" s="1038"/>
      <c r="W212" s="1039"/>
      <c r="X212" s="53"/>
      <c r="Y212" s="54"/>
      <c r="Z212" s="195" t="str">
        <f>IF(OR(AC185=Ceny_n!$B$18,AC185=Ceny_n!$B$19,AC185=Ceny_n!$B$20),Ceny!$B$498,"")</f>
        <v/>
      </c>
      <c r="AA212" s="4"/>
      <c r="AB212" s="4"/>
      <c r="AC212" s="98"/>
      <c r="AD212" s="257"/>
      <c r="AE212" s="199"/>
      <c r="AF212" s="106"/>
      <c r="AG212" s="4">
        <f>IF(AC188=ZAVESY,VPRAVO,0)</f>
        <v>0</v>
      </c>
      <c r="AH212" s="4">
        <f>IF(AA197=Ceny_n!$B$184,IF(AI188=1,Ceny!$F$920,IF(AI188=2,Ceny!$G$920,0)),0)</f>
        <v>0</v>
      </c>
      <c r="AI212" s="4">
        <f>IF(AG216=3,AH212,AH231)</f>
        <v>0</v>
      </c>
      <c r="AJ212" s="4">
        <f>IF(AC188=ZAVESY,Ceny!$E$949,0)</f>
        <v>0</v>
      </c>
      <c r="AK212" s="4"/>
      <c r="AL212" s="4">
        <v>22</v>
      </c>
      <c r="AM212" s="4"/>
      <c r="AN212" s="4"/>
      <c r="AO212" s="4" t="str">
        <f t="shared" si="25"/>
        <v xml:space="preserve"> ()</v>
      </c>
      <c r="AP212" s="242">
        <v>0</v>
      </c>
      <c r="AQ212" s="238" t="str">
        <f t="shared" si="26"/>
        <v/>
      </c>
      <c r="AR212" s="4"/>
      <c r="AS212" s="4" t="e">
        <f>VLOOKUP(AL212,Ceny!$B$963:$E$970,4,0)</f>
        <v>#N/A</v>
      </c>
      <c r="AT212" s="4"/>
      <c r="AU212" s="4"/>
      <c r="AV212" s="4"/>
      <c r="AW212" s="4"/>
      <c r="AX212" s="4"/>
      <c r="AY212" s="4" t="e">
        <f t="shared" si="28"/>
        <v>#N/A</v>
      </c>
      <c r="AZ212" s="256"/>
      <c r="BA212" s="256"/>
      <c r="BB212" s="4"/>
      <c r="BD212" s="62" t="e">
        <v>#REF!</v>
      </c>
      <c r="BE212" s="178" t="e">
        <f t="shared" si="23"/>
        <v>#REF!</v>
      </c>
    </row>
    <row r="213" spans="2:57" s="178" customFormat="1" ht="6" customHeight="1" x14ac:dyDescent="0.3">
      <c r="B213" s="97"/>
      <c r="C213" s="4"/>
      <c r="D213" s="53"/>
      <c r="E213" s="53"/>
      <c r="F213" s="53"/>
      <c r="G213" s="53"/>
      <c r="H213" s="53"/>
      <c r="I213" s="4"/>
      <c r="J213" s="4"/>
      <c r="K213" s="4"/>
      <c r="L213" s="4"/>
      <c r="M213" s="4"/>
      <c r="N213" s="4"/>
      <c r="O213" s="4"/>
      <c r="P213" s="4"/>
      <c r="Q213" s="4"/>
      <c r="R213" s="53"/>
      <c r="S213" s="53"/>
      <c r="T213" s="53"/>
      <c r="U213" s="53"/>
      <c r="V213" s="53"/>
      <c r="W213" s="53"/>
      <c r="X213" s="4"/>
      <c r="Y213" s="4"/>
      <c r="Z213" s="4"/>
      <c r="AA213" s="4"/>
      <c r="AB213" s="4"/>
      <c r="AC213" s="98"/>
      <c r="AD213" s="257"/>
      <c r="AE213" s="199"/>
      <c r="AF213" s="106"/>
      <c r="AG213" s="4">
        <f>IF(AC188=ZAVESY,VLEVO,0)</f>
        <v>0</v>
      </c>
      <c r="AH213" s="4">
        <f>IF(AA197=Ceny_n!$B$184,IF(AI188=1,Ceny!$F$921,IF(AI188=2,Ceny!$G$921,0)),0)</f>
        <v>0</v>
      </c>
      <c r="AI213" s="4">
        <f>IF(AG216=3,AH213,AH232)</f>
        <v>0</v>
      </c>
      <c r="AJ213" s="4">
        <f>IF(AC188=ZAVESY,Ceny!$E$950,0)</f>
        <v>0</v>
      </c>
      <c r="AK213" s="4"/>
      <c r="AL213" s="4">
        <v>22</v>
      </c>
      <c r="AM213" s="4"/>
      <c r="AN213" s="4"/>
      <c r="AO213" s="4" t="str">
        <f t="shared" si="25"/>
        <v xml:space="preserve"> ()</v>
      </c>
      <c r="AP213" s="242">
        <v>0</v>
      </c>
      <c r="AQ213" s="238" t="str">
        <f t="shared" si="26"/>
        <v/>
      </c>
      <c r="AR213" s="4"/>
      <c r="AS213" s="4" t="e">
        <f>VLOOKUP(AL213,Ceny!$B$963:$E$970,4,0)</f>
        <v>#N/A</v>
      </c>
      <c r="AT213" s="4"/>
      <c r="AU213" s="4"/>
      <c r="AV213" s="4"/>
      <c r="AW213" s="4"/>
      <c r="AX213" s="4"/>
      <c r="AY213" s="4" t="e">
        <f t="shared" si="28"/>
        <v>#N/A</v>
      </c>
      <c r="AZ213" s="256"/>
      <c r="BA213" s="256"/>
      <c r="BB213" s="4"/>
      <c r="BD213" s="62" t="e">
        <v>#REF!</v>
      </c>
      <c r="BE213" s="178" t="e">
        <f t="shared" si="23"/>
        <v>#REF!</v>
      </c>
    </row>
    <row r="214" spans="2:57" s="178" customFormat="1" ht="20.25" customHeight="1" thickBot="1" x14ac:dyDescent="0.4">
      <c r="B214" s="97"/>
      <c r="C214" s="4"/>
      <c r="D214" s="54"/>
      <c r="E214" s="54"/>
      <c r="F214" s="54"/>
      <c r="G214" s="54"/>
      <c r="H214" s="4"/>
      <c r="I214" s="1040" t="str">
        <f>Ceny_n!$B$135</f>
        <v xml:space="preserve">Šířka </v>
      </c>
      <c r="J214" s="1041"/>
      <c r="K214" s="1041"/>
      <c r="L214" s="1042"/>
      <c r="M214" s="1042"/>
      <c r="N214" s="1042"/>
      <c r="O214" s="1042"/>
      <c r="P214" s="1042"/>
      <c r="Q214" s="1043"/>
      <c r="R214" s="54"/>
      <c r="S214" s="54"/>
      <c r="T214" s="54"/>
      <c r="U214" s="54"/>
      <c r="V214" s="54"/>
      <c r="W214" s="54"/>
      <c r="X214" s="4"/>
      <c r="Y214" s="4"/>
      <c r="Z214" s="195" t="str">
        <f>IF(L214&gt;1500,Ceny!$B$290,IF(Y190&gt;1500,Ceny!$B$290,""))</f>
        <v/>
      </c>
      <c r="AA214" s="4"/>
      <c r="AB214" s="4"/>
      <c r="AC214" s="98"/>
      <c r="AD214" s="257"/>
      <c r="AE214" s="199"/>
      <c r="AF214" s="106"/>
      <c r="AG214" s="4">
        <f>IF(AC188=ZAVESY,NAHORE,0)</f>
        <v>0</v>
      </c>
      <c r="AH214" s="4">
        <f>IF(AA197=Ceny_n!$B$184,IF(AI188=1,Ceny!$F$922,IF(AI188=2,Ceny!$G$922,0)),0)</f>
        <v>0</v>
      </c>
      <c r="AI214" s="4">
        <f>IF(AG216=3,AH214,AH233)</f>
        <v>0</v>
      </c>
      <c r="AJ214" s="4">
        <f>IF(AC188=ZAVESY,Ceny!$E$951,0)</f>
        <v>0</v>
      </c>
      <c r="AK214" s="4"/>
      <c r="AL214" s="4">
        <v>22</v>
      </c>
      <c r="AM214" s="4"/>
      <c r="AN214" s="4"/>
      <c r="AO214" s="4" t="str">
        <f t="shared" si="25"/>
        <v xml:space="preserve"> ()</v>
      </c>
      <c r="AP214" s="243">
        <v>0</v>
      </c>
      <c r="AQ214" s="240" t="str">
        <f t="shared" si="26"/>
        <v/>
      </c>
      <c r="AR214" s="4"/>
      <c r="AS214" s="4" t="e">
        <f>VLOOKUP(AL214,Ceny!$B$963:$E$970,4,0)</f>
        <v>#N/A</v>
      </c>
      <c r="AT214" s="4"/>
      <c r="AU214" s="4"/>
      <c r="AV214" s="4"/>
      <c r="AW214" s="4"/>
      <c r="AX214" s="4"/>
      <c r="AY214" s="4" t="e">
        <f t="shared" si="28"/>
        <v>#N/A</v>
      </c>
      <c r="AZ214" s="256"/>
      <c r="BA214" s="256"/>
      <c r="BD214" s="62" t="e">
        <v>#REF!</v>
      </c>
      <c r="BE214" s="178" t="e">
        <f t="shared" si="23"/>
        <v>#REF!</v>
      </c>
    </row>
    <row r="215" spans="2:57" s="178" customFormat="1" ht="17.25" customHeight="1" x14ac:dyDescent="0.35">
      <c r="B215" s="97"/>
      <c r="C215" s="4"/>
      <c r="D215" s="54"/>
      <c r="E215" s="54"/>
      <c r="F215" s="54"/>
      <c r="G215" s="54"/>
      <c r="H215" s="77"/>
      <c r="I215" s="77"/>
      <c r="J215" s="77"/>
      <c r="K215" s="78"/>
      <c r="L215" s="78"/>
      <c r="M215" s="79"/>
      <c r="N215" s="79"/>
      <c r="O215" s="79"/>
      <c r="P215" s="79"/>
      <c r="Q215" s="79"/>
      <c r="R215" s="54"/>
      <c r="S215" s="54"/>
      <c r="T215" s="54"/>
      <c r="U215" s="54"/>
      <c r="V215" s="54"/>
      <c r="W215" s="54"/>
      <c r="X215" s="4"/>
      <c r="Y215" s="4"/>
      <c r="Z215" s="1044" t="str">
        <f>Ceny_n!$B$138</f>
        <v>Cena rámečků celkem</v>
      </c>
      <c r="AA215" s="1045"/>
      <c r="AB215" s="1045"/>
      <c r="AC215" s="1048">
        <f>IF(AC185=$B$347,0,(AI185+AM185+AN185+AS185)-((AI185+AM185+AN185+AS185)*$AC$14))</f>
        <v>0</v>
      </c>
      <c r="AD215" s="269"/>
      <c r="AE215" s="214"/>
      <c r="AF215" s="106"/>
      <c r="AG215" s="4">
        <f>IF(AC188=ZAVESY,DOLE,0)</f>
        <v>0</v>
      </c>
      <c r="AH215" s="4">
        <f>IF(AA197=Ceny_n!$B$184,IF(AI188=1,Ceny!$F$923,IF(AI188=2,Ceny!$G$923,0)),0)</f>
        <v>0</v>
      </c>
      <c r="AI215" s="4">
        <f>IF(AG216=3,AH215,AH234)</f>
        <v>0</v>
      </c>
      <c r="AJ215" s="4">
        <f>IF(AC188=ZAVESY,Ceny!$E$952,0)</f>
        <v>0</v>
      </c>
      <c r="AK215" s="4"/>
      <c r="AL215" s="4">
        <f>IF(AI188=1,Ceny!$B$964,0)</f>
        <v>0</v>
      </c>
      <c r="AM215" s="4">
        <v>0</v>
      </c>
      <c r="AN215" s="4">
        <v>0</v>
      </c>
      <c r="AO215" s="4"/>
      <c r="AP215" s="4">
        <v>0</v>
      </c>
      <c r="AQ215" s="4"/>
      <c r="AR215" s="4"/>
      <c r="AS215" s="4">
        <f>VLOOKUP(AL215,Ceny!$B$963:$E$970,4,0)</f>
        <v>0</v>
      </c>
      <c r="AT215" s="4"/>
      <c r="AU215" s="4"/>
      <c r="AV215" s="4"/>
      <c r="AW215" s="4"/>
      <c r="AX215" s="4"/>
      <c r="AY215" s="4">
        <f t="shared" si="28"/>
        <v>0</v>
      </c>
      <c r="AZ215" s="256"/>
      <c r="BA215" s="256"/>
      <c r="BD215" s="62" t="e">
        <v>#REF!</v>
      </c>
      <c r="BE215" s="178" t="e">
        <f t="shared" si="23"/>
        <v>#REF!</v>
      </c>
    </row>
    <row r="216" spans="2:57" s="178" customFormat="1" ht="17.25" customHeight="1" x14ac:dyDescent="0.35">
      <c r="B216" s="97"/>
      <c r="C216" s="4"/>
      <c r="D216" s="54"/>
      <c r="E216" s="54"/>
      <c r="F216" s="54"/>
      <c r="G216" s="54"/>
      <c r="H216" s="77"/>
      <c r="I216" s="77"/>
      <c r="J216" s="77"/>
      <c r="K216" s="78"/>
      <c r="L216" s="78"/>
      <c r="M216" s="79"/>
      <c r="N216" s="79"/>
      <c r="O216" s="79"/>
      <c r="P216" s="79"/>
      <c r="Q216" s="79"/>
      <c r="R216" s="54"/>
      <c r="S216" s="54"/>
      <c r="T216" s="54"/>
      <c r="U216" s="54"/>
      <c r="V216" s="54"/>
      <c r="W216" s="54"/>
      <c r="X216" s="4"/>
      <c r="Y216" s="4"/>
      <c r="Z216" s="1046"/>
      <c r="AA216" s="1047"/>
      <c r="AB216" s="1047"/>
      <c r="AC216" s="1049"/>
      <c r="AD216" s="269"/>
      <c r="AE216" s="214"/>
      <c r="AF216" s="106"/>
      <c r="AG216" s="4">
        <f>IF(AC196=VPRAVO,1,IF('Běžné rámečky'!AC196=VLEVO,2,IF('Běžné rámečky'!AC196=NAHORE,3,IF('Běžné rámečky'!AC196=DOLE,4,0))))</f>
        <v>0</v>
      </c>
      <c r="AH216" s="4">
        <f>IF(AA197=Ceny_n!$B$184,IF(AI188=1,Ceny!$F$924,IF(AI188=2,Ceny!$G$924,0)),0)</f>
        <v>0</v>
      </c>
      <c r="AI216" s="4" t="str">
        <f>IF(AG216=3,AH216,AH235)</f>
        <v xml:space="preserve"> </v>
      </c>
      <c r="AJ216" s="4">
        <f>IF(AC188=ZAVESY,Ceny!$E$953,0)</f>
        <v>0</v>
      </c>
      <c r="AK216" s="4"/>
      <c r="AL216" s="80">
        <f>Ceny_n!$B$965</f>
        <v>15585</v>
      </c>
      <c r="AM216" s="4">
        <v>0</v>
      </c>
      <c r="AN216" s="4">
        <v>0</v>
      </c>
      <c r="AO216" s="4"/>
      <c r="AP216" s="4">
        <v>0</v>
      </c>
      <c r="AQ216" s="4"/>
      <c r="AR216" s="4"/>
      <c r="AS216" s="4">
        <f>VLOOKUP(AL216,Ceny!$B$963:$E$970,4,0)</f>
        <v>3.1249699999999998</v>
      </c>
      <c r="AT216" s="4"/>
      <c r="AU216" s="4"/>
      <c r="AV216" s="4"/>
      <c r="AW216" s="4"/>
      <c r="AX216" s="4"/>
      <c r="AY216" s="4">
        <f t="shared" si="28"/>
        <v>3.1249699999999998</v>
      </c>
      <c r="AZ216" s="256"/>
      <c r="BA216" s="256"/>
      <c r="BD216" s="62" t="e">
        <v>#REF!</v>
      </c>
      <c r="BE216" s="178" t="e">
        <f t="shared" si="23"/>
        <v>#REF!</v>
      </c>
    </row>
    <row r="217" spans="2:57" s="178" customFormat="1" ht="13.5" customHeight="1" x14ac:dyDescent="0.35">
      <c r="B217" s="97"/>
      <c r="C217" s="4"/>
      <c r="D217" s="54"/>
      <c r="E217" s="54"/>
      <c r="F217" s="54"/>
      <c r="G217" s="54"/>
      <c r="H217" s="77"/>
      <c r="I217" s="77"/>
      <c r="J217" s="77"/>
      <c r="K217" s="78"/>
      <c r="L217" s="78"/>
      <c r="M217" s="79"/>
      <c r="N217" s="79"/>
      <c r="O217" s="79"/>
      <c r="P217" s="79"/>
      <c r="Q217" s="79"/>
      <c r="R217" s="54"/>
      <c r="S217" s="54"/>
      <c r="T217" s="54"/>
      <c r="U217" s="54"/>
      <c r="V217" s="54"/>
      <c r="W217" s="54"/>
      <c r="X217" s="4"/>
      <c r="Y217" s="4"/>
      <c r="Z217" s="1050" t="str">
        <f>Ceny_n!$B$140</f>
        <v>Cena za kompletní objednávku</v>
      </c>
      <c r="AA217" s="1051"/>
      <c r="AB217" s="1051"/>
      <c r="AC217" s="1054" t="e">
        <f>SUM($AC$53,$AC$107,$AC$161,$AC$215,$AC$269,$AC$323)</f>
        <v>#REF!</v>
      </c>
      <c r="AD217" s="269"/>
      <c r="AE217" s="214"/>
      <c r="AF217" s="106"/>
      <c r="AG217" s="4"/>
      <c r="AH217" s="4">
        <f>IF(AA197=Ceny_n!$B$184,IF(AI188=1,Ceny!$F$925,IF(AI188=2,Ceny!$G$925,0)),0)</f>
        <v>0</v>
      </c>
      <c r="AI217" s="4" t="str">
        <f>IF(AG216=3,AH217,AH235)</f>
        <v xml:space="preserve"> </v>
      </c>
      <c r="AJ217" s="4">
        <f>IF(AC188=ZAVESY,Ceny!$E$954,0)</f>
        <v>0</v>
      </c>
      <c r="AK217" s="4"/>
      <c r="AL217" s="80">
        <f>Ceny_n!$B$965</f>
        <v>15585</v>
      </c>
      <c r="AM217" s="4">
        <v>0</v>
      </c>
      <c r="AN217" s="4">
        <v>0</v>
      </c>
      <c r="AO217" s="4"/>
      <c r="AP217" s="4">
        <v>0</v>
      </c>
      <c r="AQ217" s="4"/>
      <c r="AR217" s="4"/>
      <c r="AS217" s="4">
        <f>VLOOKUP(AL217,Ceny!$B$963:$E$970,4,0)</f>
        <v>3.1249699999999998</v>
      </c>
      <c r="AT217" s="4"/>
      <c r="AU217" s="4"/>
      <c r="AV217" s="4"/>
      <c r="AW217" s="4"/>
      <c r="AX217" s="4"/>
      <c r="AY217" s="4">
        <f t="shared" si="28"/>
        <v>3.1249699999999998</v>
      </c>
      <c r="AZ217" s="256"/>
      <c r="BA217" s="256"/>
      <c r="BD217" s="62" t="e">
        <v>#REF!</v>
      </c>
      <c r="BE217" s="178" t="e">
        <f t="shared" si="23"/>
        <v>#REF!</v>
      </c>
    </row>
    <row r="218" spans="2:57" s="178" customFormat="1" ht="17.25" customHeight="1" x14ac:dyDescent="0.35">
      <c r="B218" s="97"/>
      <c r="C218" s="4"/>
      <c r="D218" s="54"/>
      <c r="E218" s="54"/>
      <c r="F218" s="54"/>
      <c r="G218" s="54"/>
      <c r="H218" s="77"/>
      <c r="I218" s="77"/>
      <c r="J218" s="77"/>
      <c r="K218" s="78"/>
      <c r="L218" s="78"/>
      <c r="M218" s="79"/>
      <c r="N218" s="79"/>
      <c r="O218" s="79"/>
      <c r="P218" s="79"/>
      <c r="Q218" s="79"/>
      <c r="R218" s="54"/>
      <c r="S218" s="54"/>
      <c r="T218" s="54"/>
      <c r="U218" s="54"/>
      <c r="V218" s="54"/>
      <c r="W218" s="54"/>
      <c r="X218" s="4"/>
      <c r="Y218" s="4"/>
      <c r="Z218" s="1052"/>
      <c r="AA218" s="1053"/>
      <c r="AB218" s="1053"/>
      <c r="AC218" s="1055"/>
      <c r="AD218" s="270"/>
      <c r="AE218" s="215"/>
      <c r="AF218" s="106"/>
      <c r="AG218" s="4"/>
      <c r="AH218" s="4">
        <f>IF(AA197=Ceny_n!$B$184,IF(AI188=1,Ceny!$F$926,IF(AI188=2,Ceny!$G$926,0)),0)</f>
        <v>0</v>
      </c>
      <c r="AI218" s="4" t="str">
        <f>IF(AG216=3,AH218,AH235)</f>
        <v xml:space="preserve"> </v>
      </c>
      <c r="AJ218" s="4">
        <f>IF(AC188=ZAVESY,Ceny!$E$955,0)</f>
        <v>0</v>
      </c>
      <c r="AK218" s="4"/>
      <c r="AL218" s="80">
        <f>Ceny_n!$B$965</f>
        <v>15585</v>
      </c>
      <c r="AM218" s="4">
        <v>0</v>
      </c>
      <c r="AN218" s="4">
        <v>0</v>
      </c>
      <c r="AO218" s="4"/>
      <c r="AP218" s="4">
        <v>0</v>
      </c>
      <c r="AQ218" s="4"/>
      <c r="AR218" s="4"/>
      <c r="AS218" s="4">
        <f>VLOOKUP(AL218,Ceny!$B$963:$E$970,4,0)</f>
        <v>3.1249699999999998</v>
      </c>
      <c r="AT218" s="4"/>
      <c r="AU218" s="4"/>
      <c r="AV218" s="4"/>
      <c r="AW218" s="4"/>
      <c r="AX218" s="4"/>
      <c r="AY218" s="4">
        <f t="shared" si="28"/>
        <v>3.1249699999999998</v>
      </c>
      <c r="AZ218" s="256"/>
      <c r="BA218" s="256"/>
      <c r="BD218" s="62" t="e">
        <v>#REF!</v>
      </c>
      <c r="BE218" s="178" t="e">
        <f t="shared" si="23"/>
        <v>#REF!</v>
      </c>
    </row>
    <row r="219" spans="2:57" s="178" customFormat="1" ht="7.5" customHeight="1" x14ac:dyDescent="0.3">
      <c r="B219" s="97"/>
      <c r="C219" s="4"/>
      <c r="D219" s="54"/>
      <c r="E219" s="54"/>
      <c r="F219" s="54"/>
      <c r="G219" s="54"/>
      <c r="H219" s="77"/>
      <c r="I219" s="77"/>
      <c r="J219" s="77"/>
      <c r="K219" s="78"/>
      <c r="L219" s="78"/>
      <c r="M219" s="79"/>
      <c r="N219" s="79"/>
      <c r="O219" s="79"/>
      <c r="P219" s="79"/>
      <c r="Q219" s="79"/>
      <c r="R219" s="54"/>
      <c r="S219" s="54"/>
      <c r="T219" s="54"/>
      <c r="U219" s="54"/>
      <c r="V219" s="54"/>
      <c r="W219" s="54"/>
      <c r="X219" s="4"/>
      <c r="Y219" s="4"/>
      <c r="Z219" s="1056" t="str">
        <f>Ceny_n!$B$131</f>
        <v>Uvedené ceny jsou bez DPH a nezahrnují cenu požadovaného kování!</v>
      </c>
      <c r="AA219" s="1056"/>
      <c r="AB219" s="1056"/>
      <c r="AC219" s="1057"/>
      <c r="AD219" s="257"/>
      <c r="AE219" s="199"/>
      <c r="AF219" s="106"/>
      <c r="AG219" s="4"/>
      <c r="AH219" s="4">
        <f>IF(AA197=Ceny_n!$B$184,IF(AI188=1,Ceny!$F$927,IF(AI188=2,Ceny!$G$927,0)),0)</f>
        <v>0</v>
      </c>
      <c r="AI219" s="4" t="str">
        <f>IF(AG216=3,AH219,AH235)</f>
        <v xml:space="preserve"> </v>
      </c>
      <c r="AJ219" s="4">
        <f>IF(AC188=ZAVESY,Ceny!$E$956,0)</f>
        <v>0</v>
      </c>
      <c r="AK219" s="4"/>
      <c r="AL219" s="80">
        <f>Ceny_n!$B$965</f>
        <v>15585</v>
      </c>
      <c r="AM219" s="4">
        <v>0</v>
      </c>
      <c r="AN219" s="4">
        <v>0</v>
      </c>
      <c r="AO219" s="4"/>
      <c r="AP219" s="4">
        <v>0</v>
      </c>
      <c r="AQ219" s="4"/>
      <c r="AR219" s="4"/>
      <c r="AS219" s="4">
        <f>VLOOKUP(AL219,Ceny!$B$963:$E$970,4,0)</f>
        <v>3.1249699999999998</v>
      </c>
      <c r="AT219" s="4"/>
      <c r="AU219" s="4"/>
      <c r="AV219" s="4"/>
      <c r="AW219" s="4"/>
      <c r="AX219" s="4"/>
      <c r="AY219" s="4">
        <f t="shared" si="28"/>
        <v>3.1249699999999998</v>
      </c>
      <c r="AZ219" s="256"/>
      <c r="BA219" s="256"/>
      <c r="BD219" s="62" t="e">
        <v>#REF!</v>
      </c>
      <c r="BE219" s="178" t="e">
        <f t="shared" si="23"/>
        <v>#REF!</v>
      </c>
    </row>
    <row r="220" spans="2:57" s="4" customFormat="1" ht="7.5" customHeight="1" x14ac:dyDescent="0.3">
      <c r="B220" s="99"/>
      <c r="C220" s="100"/>
      <c r="D220" s="100"/>
      <c r="E220" s="100"/>
      <c r="F220" s="100"/>
      <c r="G220" s="100"/>
      <c r="H220" s="100"/>
      <c r="I220" s="101"/>
      <c r="J220" s="101"/>
      <c r="K220" s="101"/>
      <c r="L220" s="101"/>
      <c r="M220" s="101"/>
      <c r="N220" s="101"/>
      <c r="O220" s="102"/>
      <c r="P220" s="100"/>
      <c r="Q220" s="100"/>
      <c r="R220" s="100"/>
      <c r="S220" s="100"/>
      <c r="T220" s="100"/>
      <c r="U220" s="100"/>
      <c r="V220" s="100"/>
      <c r="W220" s="100"/>
      <c r="X220" s="100"/>
      <c r="Y220" s="100"/>
      <c r="Z220" s="1058"/>
      <c r="AA220" s="1058"/>
      <c r="AB220" s="1058"/>
      <c r="AC220" s="1059"/>
      <c r="AD220" s="257"/>
      <c r="AE220" s="199"/>
      <c r="AF220" s="106"/>
      <c r="AH220" s="4">
        <f>IF(AA197=Ceny_n!$B$184,IF(AI188=1,Ceny!$F$928,IF(AI188=2,Ceny!$G$928,0)),0)</f>
        <v>0</v>
      </c>
      <c r="AI220" s="4" t="str">
        <f>IF(AG216=3,AH220,AH235)</f>
        <v xml:space="preserve"> </v>
      </c>
      <c r="AJ220" s="4">
        <f>IF(AC188=ZAVESY,Ceny!$E$957,0)</f>
        <v>0</v>
      </c>
      <c r="AL220" s="80">
        <f>Ceny_n!$B$965</f>
        <v>15585</v>
      </c>
      <c r="AM220" s="4">
        <v>0</v>
      </c>
      <c r="AN220" s="4">
        <v>0</v>
      </c>
      <c r="AP220" s="4">
        <v>0</v>
      </c>
      <c r="AS220" s="4">
        <f>VLOOKUP(AL220,Ceny!$B$963:$E$970,4,0)</f>
        <v>3.1249699999999998</v>
      </c>
      <c r="AY220" s="4">
        <f t="shared" si="28"/>
        <v>3.1249699999999998</v>
      </c>
      <c r="AZ220" s="256"/>
      <c r="BA220" s="256"/>
      <c r="BB220" s="178"/>
      <c r="BD220" s="62" t="e">
        <v>#REF!</v>
      </c>
      <c r="BE220" s="178" t="e">
        <f t="shared" si="23"/>
        <v>#REF!</v>
      </c>
    </row>
    <row r="221" spans="2:57" s="178" customFormat="1" ht="6.9" customHeight="1" x14ac:dyDescent="0.3">
      <c r="B221" s="1024" t="str">
        <f>Ceny_n!$B$137</f>
        <v>Poznámky</v>
      </c>
      <c r="C221" s="1025"/>
      <c r="D221" s="1025"/>
      <c r="E221" s="1025"/>
      <c r="F221" s="1025"/>
      <c r="G221" s="1030"/>
      <c r="H221" s="1030"/>
      <c r="I221" s="1030"/>
      <c r="J221" s="1030"/>
      <c r="K221" s="1030"/>
      <c r="L221" s="1030"/>
      <c r="M221" s="1030"/>
      <c r="N221" s="1030"/>
      <c r="O221" s="1030"/>
      <c r="P221" s="1030"/>
      <c r="Q221" s="1030"/>
      <c r="R221" s="1030"/>
      <c r="S221" s="1030"/>
      <c r="T221" s="1030"/>
      <c r="U221" s="1030"/>
      <c r="V221" s="1030"/>
      <c r="W221" s="1030"/>
      <c r="X221" s="1030"/>
      <c r="Y221" s="1030"/>
      <c r="Z221" s="1030"/>
      <c r="AA221" s="1030"/>
      <c r="AB221" s="1030"/>
      <c r="AC221" s="1031"/>
      <c r="AD221" s="271"/>
      <c r="AE221" s="216"/>
      <c r="AF221" s="106"/>
      <c r="AG221" s="4"/>
      <c r="AH221" s="4">
        <f>IF(AA197=Ceny_n!$B$184,IF(AI188=1,Ceny!$F$929,IF(AI188=2,Ceny!$G$929,0)),0)</f>
        <v>0</v>
      </c>
      <c r="AI221" s="4" t="str">
        <f>IF(AG216=3,AH221,AH235)</f>
        <v xml:space="preserve"> </v>
      </c>
      <c r="AJ221" s="4">
        <f>IF(AC188=ZAVESY,Ceny!$E$958,0)</f>
        <v>0</v>
      </c>
      <c r="AK221" s="4"/>
      <c r="AL221" s="178">
        <f>Ceny_n!$B$968</f>
        <v>15596</v>
      </c>
      <c r="AM221" s="4">
        <f>Ceny_n!$B$967</f>
        <v>15595</v>
      </c>
      <c r="AN221" s="81">
        <f>IF(AI188=1,Ceny!$B$967,0)</f>
        <v>0</v>
      </c>
      <c r="AO221" s="81"/>
      <c r="AP221" s="81">
        <f>IF(AI188=1,Ceny!$B$968,0)</f>
        <v>0</v>
      </c>
      <c r="AQ221" s="81"/>
      <c r="AR221" s="81">
        <f>IF(AI188=1,Ceny!$B$969,0)</f>
        <v>0</v>
      </c>
      <c r="AS221" s="4">
        <f>VLOOKUP(AL221,Ceny!$B$963:$E$970,4,0)</f>
        <v>11.9</v>
      </c>
      <c r="AT221" s="4">
        <f>VLOOKUP(AM221,Ceny!$B$963:$E$970,4,0)</f>
        <v>13.4</v>
      </c>
      <c r="AU221" s="4">
        <f>VLOOKUP(AN221,Ceny!$B$963:$E$970,4,0)</f>
        <v>0</v>
      </c>
      <c r="AV221" s="4"/>
      <c r="AW221" s="4">
        <f>2*(VLOOKUP(AP221,Ceny!$B$963:$E$970,4,0))</f>
        <v>0</v>
      </c>
      <c r="AX221" s="4">
        <f>2*(VLOOKUP(AR221,Ceny!$B$963:$E$970,4,0))</f>
        <v>0</v>
      </c>
      <c r="AY221" s="4">
        <f t="shared" si="28"/>
        <v>25.3</v>
      </c>
      <c r="AZ221" s="256"/>
      <c r="BA221" s="256"/>
      <c r="BD221" s="62" t="e">
        <v>#REF!</v>
      </c>
      <c r="BE221" s="178" t="e">
        <f t="shared" si="23"/>
        <v>#REF!</v>
      </c>
    </row>
    <row r="222" spans="2:57" s="178" customFormat="1" ht="6.9" customHeight="1" x14ac:dyDescent="0.3">
      <c r="B222" s="1026"/>
      <c r="C222" s="1027"/>
      <c r="D222" s="1027"/>
      <c r="E222" s="1027"/>
      <c r="F222" s="1027"/>
      <c r="G222" s="1032"/>
      <c r="H222" s="1032"/>
      <c r="I222" s="1032"/>
      <c r="J222" s="1032"/>
      <c r="K222" s="1032"/>
      <c r="L222" s="1032"/>
      <c r="M222" s="1032"/>
      <c r="N222" s="1032"/>
      <c r="O222" s="1032"/>
      <c r="P222" s="1032"/>
      <c r="Q222" s="1032"/>
      <c r="R222" s="1032"/>
      <c r="S222" s="1032"/>
      <c r="T222" s="1032"/>
      <c r="U222" s="1032"/>
      <c r="V222" s="1032"/>
      <c r="W222" s="1032"/>
      <c r="X222" s="1032"/>
      <c r="Y222" s="1032"/>
      <c r="Z222" s="1032"/>
      <c r="AA222" s="1032"/>
      <c r="AB222" s="1032"/>
      <c r="AC222" s="1033"/>
      <c r="AD222" s="271"/>
      <c r="AE222" s="216"/>
      <c r="AF222" s="106"/>
      <c r="AG222" s="4"/>
      <c r="AH222" s="4">
        <f>IF(AA197=Ceny_n!$B$184,IF(AI188=1,Ceny!$F$930,IF(AI188=2,Ceny!$G$930,0)),0)</f>
        <v>0</v>
      </c>
      <c r="AI222" s="4" t="str">
        <f>IF(AG216=3,AH222,AH235)</f>
        <v xml:space="preserve"> </v>
      </c>
      <c r="AJ222" s="4">
        <f>IF(AC188=ZAVESY,Ceny!$E$959,0)</f>
        <v>0</v>
      </c>
      <c r="AK222" s="4"/>
      <c r="AL222" s="178">
        <f>Ceny_n!$B$968</f>
        <v>15596</v>
      </c>
      <c r="AM222" s="4">
        <f>Ceny_n!$B$967</f>
        <v>15595</v>
      </c>
      <c r="AN222" s="81">
        <f>IF(AI188=1,Ceny!$B$967,0)</f>
        <v>0</v>
      </c>
      <c r="AO222" s="81"/>
      <c r="AP222" s="81">
        <f>IF(AI188=1,Ceny!$B$968,0)</f>
        <v>0</v>
      </c>
      <c r="AQ222" s="81"/>
      <c r="AR222" s="81">
        <f>IF(AI188=1,Ceny!$B$969,0)</f>
        <v>0</v>
      </c>
      <c r="AS222" s="4">
        <f>VLOOKUP(AL222,Ceny!$B$963:$E$970,4,0)</f>
        <v>11.9</v>
      </c>
      <c r="AT222" s="4">
        <f>VLOOKUP(AM222,Ceny!$B$963:$E$970,4,0)</f>
        <v>13.4</v>
      </c>
      <c r="AU222" s="4">
        <f>VLOOKUP(AN222,Ceny!$B$963:$E$970,4,0)</f>
        <v>0</v>
      </c>
      <c r="AV222" s="4"/>
      <c r="AW222" s="4">
        <f>2*(VLOOKUP(AP222,Ceny!$B$963:$E$970,4,0))</f>
        <v>0</v>
      </c>
      <c r="AX222" s="4">
        <f>2*(VLOOKUP(AR222,Ceny!$B$963:$E$970,4,0))</f>
        <v>0</v>
      </c>
      <c r="AY222" s="4">
        <f t="shared" si="28"/>
        <v>25.3</v>
      </c>
      <c r="AZ222" s="256"/>
      <c r="BA222" s="256"/>
      <c r="BD222" s="62" t="e">
        <v>#REF!</v>
      </c>
      <c r="BE222" s="178" t="e">
        <f t="shared" si="23"/>
        <v>#REF!</v>
      </c>
    </row>
    <row r="223" spans="2:57" s="178" customFormat="1" ht="6.9" customHeight="1" x14ac:dyDescent="0.3">
      <c r="B223" s="1026"/>
      <c r="C223" s="1027"/>
      <c r="D223" s="1027"/>
      <c r="E223" s="1027"/>
      <c r="F223" s="1027"/>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033"/>
      <c r="AD223" s="271"/>
      <c r="AE223" s="216"/>
      <c r="AF223" s="106"/>
      <c r="AG223" s="4"/>
      <c r="AH223" s="4">
        <f>IF(AA197=Ceny_n!$B$184,IF(AI188=1,Ceny!$F$931,IF(AI188=2,Ceny!$G$931,0)),0)</f>
        <v>0</v>
      </c>
      <c r="AI223" s="4" t="str">
        <f>IF(AG216=3,AH223,AH235)</f>
        <v xml:space="preserve"> </v>
      </c>
      <c r="AJ223" s="4">
        <f>IF(AC188=ZAVESY,Ceny!$E$960,0)</f>
        <v>0</v>
      </c>
      <c r="AK223" s="4"/>
      <c r="AL223" s="178">
        <f>Ceny_n!$B$968</f>
        <v>15596</v>
      </c>
      <c r="AM223" s="4">
        <f>Ceny_n!$B$967</f>
        <v>15595</v>
      </c>
      <c r="AN223" s="81">
        <f>IF(AI188=1,Ceny!$B$967,0)</f>
        <v>0</v>
      </c>
      <c r="AO223" s="81"/>
      <c r="AP223" s="81">
        <f>IF(AI188=1,Ceny!$B$968,0)</f>
        <v>0</v>
      </c>
      <c r="AQ223" s="81"/>
      <c r="AR223" s="81">
        <f>IF(AI188=1,Ceny!$B$969,0)</f>
        <v>0</v>
      </c>
      <c r="AS223" s="4">
        <f>VLOOKUP(AL223,Ceny!$B$963:$E$970,4,0)</f>
        <v>11.9</v>
      </c>
      <c r="AT223" s="4">
        <f>VLOOKUP(AM223,Ceny!$B$963:$E$970,4,0)</f>
        <v>13.4</v>
      </c>
      <c r="AU223" s="4">
        <f>VLOOKUP(AN223,Ceny!$B$963:$E$970,4,0)</f>
        <v>0</v>
      </c>
      <c r="AV223" s="4"/>
      <c r="AW223" s="4">
        <f>2*(VLOOKUP(AP223,Ceny!$B$963:$E$970,4,0))</f>
        <v>0</v>
      </c>
      <c r="AX223" s="4">
        <f>2*(VLOOKUP(AR223,Ceny!$B$963:$E$970,4,0))</f>
        <v>0</v>
      </c>
      <c r="AY223" s="4">
        <f t="shared" si="28"/>
        <v>25.3</v>
      </c>
      <c r="AZ223" s="256"/>
      <c r="BA223" s="256"/>
      <c r="BD223" s="62" t="e">
        <v>#REF!</v>
      </c>
      <c r="BE223" s="178" t="e">
        <f t="shared" si="23"/>
        <v>#REF!</v>
      </c>
    </row>
    <row r="224" spans="2:57" s="178" customFormat="1" ht="6.9" customHeight="1" x14ac:dyDescent="0.3">
      <c r="B224" s="1026"/>
      <c r="C224" s="1027"/>
      <c r="D224" s="1027"/>
      <c r="E224" s="1027"/>
      <c r="F224" s="1027"/>
      <c r="G224" s="1032"/>
      <c r="H224" s="1032"/>
      <c r="I224" s="1032"/>
      <c r="J224" s="1032"/>
      <c r="K224" s="1032"/>
      <c r="L224" s="1032"/>
      <c r="M224" s="1032"/>
      <c r="N224" s="1032"/>
      <c r="O224" s="1032"/>
      <c r="P224" s="1032"/>
      <c r="Q224" s="1032"/>
      <c r="R224" s="1032"/>
      <c r="S224" s="1032"/>
      <c r="T224" s="1032"/>
      <c r="U224" s="1032"/>
      <c r="V224" s="1032"/>
      <c r="W224" s="1032"/>
      <c r="X224" s="1032"/>
      <c r="Y224" s="1032"/>
      <c r="Z224" s="1032"/>
      <c r="AA224" s="1032"/>
      <c r="AB224" s="1032"/>
      <c r="AC224" s="1033"/>
      <c r="AD224" s="271"/>
      <c r="AE224" s="216"/>
      <c r="AF224" s="106"/>
      <c r="AG224" s="4"/>
      <c r="AH224" s="4">
        <f>IF(AA197=Ceny_n!$B$184,IF(AI188=1,Ceny!$F$932,IF(AI188=2,Ceny!$G$932,0)),0)</f>
        <v>0</v>
      </c>
      <c r="AI224" s="4" t="str">
        <f>IF(AG216=3,AH224,AH235)</f>
        <v xml:space="preserve"> </v>
      </c>
      <c r="AJ224" s="4">
        <f>IF(AC188=ZAVESY,Ceny!$E$961,0)</f>
        <v>0</v>
      </c>
      <c r="AK224" s="4"/>
      <c r="AL224" s="178">
        <f>Ceny_n!$B$968</f>
        <v>15596</v>
      </c>
      <c r="AM224" s="4">
        <f>Ceny_n!$B$967</f>
        <v>15595</v>
      </c>
      <c r="AN224" s="81">
        <f>IF(AI188=1,Ceny!$B$967,0)</f>
        <v>0</v>
      </c>
      <c r="AO224" s="81"/>
      <c r="AP224" s="81">
        <f>IF(AI188=1,Ceny!$B$968,0)</f>
        <v>0</v>
      </c>
      <c r="AQ224" s="81"/>
      <c r="AR224" s="81">
        <f>IF(AI188=1,Ceny!$B$969,0)</f>
        <v>0</v>
      </c>
      <c r="AS224" s="4">
        <f>VLOOKUP(AL224,Ceny!$B$963:$E$970,4,0)</f>
        <v>11.9</v>
      </c>
      <c r="AT224" s="4">
        <f>VLOOKUP(AM224,Ceny!$B$963:$E$970,4,0)</f>
        <v>13.4</v>
      </c>
      <c r="AU224" s="4">
        <f>VLOOKUP(AN224,Ceny!$B$963:$E$970,4,0)</f>
        <v>0</v>
      </c>
      <c r="AV224" s="4"/>
      <c r="AW224" s="4">
        <f>2*(VLOOKUP(AP224,Ceny!$B$963:$E$970,4,0))</f>
        <v>0</v>
      </c>
      <c r="AX224" s="4">
        <f>2*(VLOOKUP(AR224,Ceny!$B$963:$E$970,4,0))</f>
        <v>0</v>
      </c>
      <c r="AY224" s="4">
        <f t="shared" si="28"/>
        <v>25.3</v>
      </c>
      <c r="AZ224" s="256"/>
      <c r="BA224" s="256"/>
      <c r="BD224" s="62" t="e">
        <v>#REF!</v>
      </c>
      <c r="BE224" s="178" t="e">
        <f t="shared" si="23"/>
        <v>#REF!</v>
      </c>
    </row>
    <row r="225" spans="2:59" s="178" customFormat="1" ht="6.9" customHeight="1" x14ac:dyDescent="0.3">
      <c r="B225" s="1026"/>
      <c r="C225" s="1027"/>
      <c r="D225" s="1027"/>
      <c r="E225" s="1027"/>
      <c r="F225" s="1027"/>
      <c r="G225" s="1032"/>
      <c r="H225" s="1032"/>
      <c r="I225" s="1032"/>
      <c r="J225" s="1032"/>
      <c r="K225" s="1032"/>
      <c r="L225" s="1032"/>
      <c r="M225" s="1032"/>
      <c r="N225" s="1032"/>
      <c r="O225" s="1032"/>
      <c r="P225" s="1032"/>
      <c r="Q225" s="1032"/>
      <c r="R225" s="1032"/>
      <c r="S225" s="1032"/>
      <c r="T225" s="1032"/>
      <c r="U225" s="1032"/>
      <c r="V225" s="1032"/>
      <c r="W225" s="1032"/>
      <c r="X225" s="1032"/>
      <c r="Y225" s="1032"/>
      <c r="Z225" s="1032"/>
      <c r="AA225" s="1032"/>
      <c r="AB225" s="1032"/>
      <c r="AC225" s="1033"/>
      <c r="AD225" s="271"/>
      <c r="AE225" s="216"/>
      <c r="AF225" s="106"/>
      <c r="AG225" s="4"/>
      <c r="AH225" s="4">
        <f>IF(AA197=Ceny_n!$B$184,IF(AI188=1,Ceny!$F$933,IF(AI188=2,Ceny!$G$933,0)),0)</f>
        <v>0</v>
      </c>
      <c r="AI225" s="4" t="str">
        <f>IF(AG216=3,AH225,AH235)</f>
        <v xml:space="preserve"> </v>
      </c>
      <c r="AJ225" s="4">
        <f>IF(AC188=ZAVESY,Ceny!$E$962,0)</f>
        <v>0</v>
      </c>
      <c r="AK225" s="4"/>
      <c r="AL225" s="4"/>
      <c r="AM225" s="4"/>
      <c r="AN225" s="4"/>
      <c r="AO225" s="4"/>
      <c r="AP225" s="4"/>
      <c r="AQ225" s="4"/>
      <c r="AR225" s="4"/>
      <c r="AS225" s="4"/>
      <c r="AT225" s="4"/>
      <c r="AU225" s="4"/>
      <c r="AV225" s="4"/>
      <c r="AW225" s="4"/>
      <c r="AX225" s="4"/>
      <c r="AY225" s="4">
        <f t="shared" si="28"/>
        <v>0</v>
      </c>
      <c r="AZ225" s="256"/>
      <c r="BA225" s="256"/>
      <c r="BB225" s="4"/>
      <c r="BD225" s="62" t="e">
        <v>#REF!</v>
      </c>
      <c r="BE225" s="178" t="e">
        <f t="shared" si="23"/>
        <v>#REF!</v>
      </c>
    </row>
    <row r="226" spans="2:59" s="178" customFormat="1" ht="6" customHeight="1" x14ac:dyDescent="0.3">
      <c r="B226" s="1026"/>
      <c r="C226" s="1027"/>
      <c r="D226" s="1027"/>
      <c r="E226" s="1027"/>
      <c r="F226" s="1027"/>
      <c r="G226" s="1032"/>
      <c r="H226" s="1032"/>
      <c r="I226" s="1032"/>
      <c r="J226" s="1032"/>
      <c r="K226" s="1032"/>
      <c r="L226" s="1032"/>
      <c r="M226" s="1032"/>
      <c r="N226" s="1032"/>
      <c r="O226" s="1032"/>
      <c r="P226" s="1032"/>
      <c r="Q226" s="1032"/>
      <c r="R226" s="1032"/>
      <c r="S226" s="1032"/>
      <c r="T226" s="1032"/>
      <c r="U226" s="1032"/>
      <c r="V226" s="1032"/>
      <c r="W226" s="1032"/>
      <c r="X226" s="1032"/>
      <c r="Y226" s="1032"/>
      <c r="Z226" s="1032"/>
      <c r="AA226" s="1032"/>
      <c r="AB226" s="1032"/>
      <c r="AC226" s="1033"/>
      <c r="AD226" s="271"/>
      <c r="AE226" s="216"/>
      <c r="AF226" s="106"/>
      <c r="AG226" s="4"/>
      <c r="AH226" s="4">
        <f>IF(AA197=Ceny_n!$B$184,IF(AI188=1,Ceny!$F$934,IF(AI188=2,Ceny!$G$934,0)),0)</f>
        <v>0</v>
      </c>
      <c r="AI226" s="4" t="str">
        <f>IF(AG216=3,AH226,AH235)</f>
        <v xml:space="preserve"> </v>
      </c>
      <c r="AJ226" s="4"/>
      <c r="AK226" s="4"/>
      <c r="AL226" s="4"/>
      <c r="AM226" s="4"/>
      <c r="AN226" s="4"/>
      <c r="AO226" s="4"/>
      <c r="AP226" s="4"/>
      <c r="AQ226" s="4"/>
      <c r="AR226" s="4"/>
      <c r="AS226" s="4"/>
      <c r="AT226" s="4"/>
      <c r="AU226" s="4"/>
      <c r="AV226" s="4"/>
      <c r="AW226" s="4"/>
      <c r="AX226" s="4"/>
      <c r="AY226" s="4"/>
      <c r="AZ226" s="256"/>
      <c r="BA226" s="256"/>
      <c r="BB226" s="4"/>
      <c r="BD226" s="62" t="e">
        <v>#REF!</v>
      </c>
      <c r="BE226" s="178" t="e">
        <f t="shared" si="23"/>
        <v>#REF!</v>
      </c>
    </row>
    <row r="227" spans="2:59" s="178" customFormat="1" ht="6.9" customHeight="1" thickBot="1" x14ac:dyDescent="0.35">
      <c r="B227" s="1026"/>
      <c r="C227" s="1027"/>
      <c r="D227" s="1027"/>
      <c r="E227" s="1027"/>
      <c r="F227" s="1027"/>
      <c r="G227" s="1032"/>
      <c r="H227" s="1032"/>
      <c r="I227" s="1032"/>
      <c r="J227" s="1032"/>
      <c r="K227" s="1032"/>
      <c r="L227" s="1032"/>
      <c r="M227" s="1032"/>
      <c r="N227" s="1032"/>
      <c r="O227" s="1032"/>
      <c r="P227" s="1032"/>
      <c r="Q227" s="1032"/>
      <c r="R227" s="1032"/>
      <c r="S227" s="1032"/>
      <c r="T227" s="1032"/>
      <c r="U227" s="1032"/>
      <c r="V227" s="1032"/>
      <c r="W227" s="1032"/>
      <c r="X227" s="1032"/>
      <c r="Y227" s="1032"/>
      <c r="Z227" s="1032"/>
      <c r="AA227" s="1032"/>
      <c r="AB227" s="1032"/>
      <c r="AC227" s="1033"/>
      <c r="AD227" s="271"/>
      <c r="AE227" s="216"/>
      <c r="AF227" s="106"/>
      <c r="AG227" s="4"/>
      <c r="AH227" s="4">
        <f>IF(AA197=Ceny_n!$B$184,IF(AI188=1,Ceny!$F$935,IF(AI188=2,Ceny!$G$935,0)),0)</f>
        <v>0</v>
      </c>
      <c r="AI227" s="4" t="str">
        <f>IF(AG216=3,AH227,AH235)</f>
        <v xml:space="preserve"> </v>
      </c>
      <c r="AJ227" s="4"/>
      <c r="AK227" s="4"/>
      <c r="AL227" s="4"/>
      <c r="AM227" s="4"/>
      <c r="AN227" s="4"/>
      <c r="AO227" s="4"/>
      <c r="AP227" s="4"/>
      <c r="AQ227" s="4"/>
      <c r="AR227" s="4"/>
      <c r="AS227" s="4"/>
      <c r="AT227" s="4"/>
      <c r="AU227" s="4"/>
      <c r="AV227" s="4"/>
      <c r="AW227" s="4"/>
      <c r="AX227" s="4"/>
      <c r="AY227" s="4"/>
      <c r="AZ227" s="256"/>
      <c r="BA227" s="256"/>
      <c r="BD227" s="66" t="e">
        <v>#REF!</v>
      </c>
      <c r="BE227" s="178" t="e">
        <f t="shared" si="23"/>
        <v>#REF!</v>
      </c>
    </row>
    <row r="228" spans="2:59" s="178" customFormat="1" ht="6.9" customHeight="1" x14ac:dyDescent="0.3">
      <c r="B228" s="1026"/>
      <c r="C228" s="1027"/>
      <c r="D228" s="1027"/>
      <c r="E228" s="1027"/>
      <c r="F228" s="1027"/>
      <c r="G228" s="1032"/>
      <c r="H228" s="1032"/>
      <c r="I228" s="1032"/>
      <c r="J228" s="1032"/>
      <c r="K228" s="1032"/>
      <c r="L228" s="1032"/>
      <c r="M228" s="1032"/>
      <c r="N228" s="1032"/>
      <c r="O228" s="1032"/>
      <c r="P228" s="1032"/>
      <c r="Q228" s="1032"/>
      <c r="R228" s="1032"/>
      <c r="S228" s="1032"/>
      <c r="T228" s="1032"/>
      <c r="U228" s="1032"/>
      <c r="V228" s="1032"/>
      <c r="W228" s="1032"/>
      <c r="X228" s="1032"/>
      <c r="Y228" s="1032"/>
      <c r="Z228" s="1032"/>
      <c r="AA228" s="1032"/>
      <c r="AB228" s="1032"/>
      <c r="AC228" s="1033"/>
      <c r="AD228" s="271"/>
      <c r="AE228" s="216"/>
      <c r="AF228" s="106"/>
      <c r="AG228" s="4"/>
      <c r="AH228" s="4">
        <f>IF(AA197=Ceny_n!$B$184,IF(AI188=1,Ceny!$F$936,IF(AI188=2,Ceny!$G$936,0)),0)</f>
        <v>0</v>
      </c>
      <c r="AI228" s="4" t="str">
        <f>IF(AG216=3,AH228,AH235)</f>
        <v xml:space="preserve"> </v>
      </c>
      <c r="AJ228" s="4"/>
      <c r="AK228" s="4"/>
      <c r="AL228" s="4"/>
      <c r="AM228" s="4"/>
      <c r="AN228" s="4"/>
      <c r="AO228" s="4"/>
      <c r="AP228" s="4"/>
      <c r="AQ228" s="4"/>
      <c r="AR228" s="4"/>
      <c r="AS228" s="4"/>
      <c r="AT228" s="4"/>
      <c r="AU228" s="4"/>
      <c r="AV228" s="4"/>
      <c r="AW228" s="4"/>
      <c r="AX228" s="4"/>
      <c r="AY228" s="4"/>
      <c r="AZ228" s="256"/>
      <c r="BA228" s="256"/>
    </row>
    <row r="229" spans="2:59" s="178" customFormat="1" ht="6.9" customHeight="1" x14ac:dyDescent="0.3">
      <c r="B229" s="1026"/>
      <c r="C229" s="1027"/>
      <c r="D229" s="1027"/>
      <c r="E229" s="1027"/>
      <c r="F229" s="1027"/>
      <c r="G229" s="1032"/>
      <c r="H229" s="1032"/>
      <c r="I229" s="1032"/>
      <c r="J229" s="1032"/>
      <c r="K229" s="1032"/>
      <c r="L229" s="1032"/>
      <c r="M229" s="1032"/>
      <c r="N229" s="1032"/>
      <c r="O229" s="1032"/>
      <c r="P229" s="1032"/>
      <c r="Q229" s="1032"/>
      <c r="R229" s="1032"/>
      <c r="S229" s="1032"/>
      <c r="T229" s="1032"/>
      <c r="U229" s="1032"/>
      <c r="V229" s="1032"/>
      <c r="W229" s="1032"/>
      <c r="X229" s="1032"/>
      <c r="Y229" s="1032"/>
      <c r="Z229" s="1032"/>
      <c r="AA229" s="1032"/>
      <c r="AB229" s="1032"/>
      <c r="AC229" s="1033"/>
      <c r="AD229" s="271"/>
      <c r="AE229" s="216"/>
      <c r="AF229" s="106"/>
      <c r="AG229" s="4"/>
      <c r="AH229" s="4">
        <f>IF(AA197=Ceny_n!$B$184,IF(AI188=1,Ceny!$F$937,IF(AI188=2,Ceny!$G$937,0)),0)</f>
        <v>0</v>
      </c>
      <c r="AI229" s="4" t="str">
        <f>IF(AG216=3,AH229,AH235)</f>
        <v xml:space="preserve"> </v>
      </c>
      <c r="AJ229" s="4"/>
      <c r="AK229" s="4"/>
      <c r="AL229" s="4"/>
      <c r="AM229" s="4"/>
      <c r="AN229" s="4"/>
      <c r="AO229" s="4"/>
      <c r="AP229" s="4"/>
      <c r="AQ229" s="4"/>
      <c r="AR229" s="4"/>
      <c r="AS229" s="4"/>
      <c r="AT229" s="4"/>
      <c r="AU229" s="4"/>
      <c r="AV229" s="4"/>
      <c r="AW229" s="4"/>
      <c r="AX229" s="4"/>
      <c r="AY229" s="4"/>
      <c r="AZ229" s="256"/>
      <c r="BA229" s="256"/>
    </row>
    <row r="230" spans="2:59" s="178" customFormat="1" ht="20.25" customHeight="1" x14ac:dyDescent="0.3">
      <c r="B230" s="1026"/>
      <c r="C230" s="1027"/>
      <c r="D230" s="1027"/>
      <c r="E230" s="1027"/>
      <c r="F230" s="1027"/>
      <c r="G230" s="1032"/>
      <c r="H230" s="1032"/>
      <c r="I230" s="1032"/>
      <c r="J230" s="1032"/>
      <c r="K230" s="1032"/>
      <c r="L230" s="1032"/>
      <c r="M230" s="1032"/>
      <c r="N230" s="1032"/>
      <c r="O230" s="1032"/>
      <c r="P230" s="1032"/>
      <c r="Q230" s="1032"/>
      <c r="R230" s="1032"/>
      <c r="S230" s="1032"/>
      <c r="T230" s="1032"/>
      <c r="U230" s="1032"/>
      <c r="V230" s="1032"/>
      <c r="W230" s="1032"/>
      <c r="X230" s="1032"/>
      <c r="Y230" s="1032"/>
      <c r="Z230" s="1032"/>
      <c r="AA230" s="1032"/>
      <c r="AB230" s="1032"/>
      <c r="AC230" s="1033"/>
      <c r="AD230" s="271"/>
      <c r="AE230" s="216"/>
      <c r="AF230" s="106"/>
      <c r="AG230" s="4"/>
      <c r="AH230" s="4">
        <f>IF(AA197=Ceny_n!$B$184,IF(AI188=1,Ceny!$F$938,IF(AI188=2,Ceny!$G$938,0)),0)</f>
        <v>0</v>
      </c>
      <c r="AI230" s="4" t="str">
        <f>IF(AG216=3,AH230,AH235)</f>
        <v xml:space="preserve"> </v>
      </c>
      <c r="AJ230" s="4"/>
      <c r="AK230" s="4"/>
      <c r="AL230" s="4"/>
      <c r="AM230" s="4"/>
      <c r="AN230" s="4"/>
      <c r="AO230" s="4"/>
      <c r="AP230" s="4"/>
      <c r="AQ230" s="4"/>
      <c r="AR230" s="4"/>
      <c r="AS230" s="4"/>
      <c r="AT230" s="4"/>
      <c r="AU230" s="4"/>
      <c r="AV230" s="4"/>
      <c r="AW230" s="4"/>
      <c r="AX230" s="4"/>
      <c r="AY230" s="4"/>
      <c r="AZ230" s="256"/>
      <c r="BA230" s="256"/>
    </row>
    <row r="231" spans="2:59" s="178" customFormat="1" ht="6.9" customHeight="1" x14ac:dyDescent="0.3">
      <c r="B231" s="1026"/>
      <c r="C231" s="1027"/>
      <c r="D231" s="1027"/>
      <c r="E231" s="1027"/>
      <c r="F231" s="1027"/>
      <c r="G231" s="1032"/>
      <c r="H231" s="1032"/>
      <c r="I231" s="1032"/>
      <c r="J231" s="1032"/>
      <c r="K231" s="1032"/>
      <c r="L231" s="1032"/>
      <c r="M231" s="1032"/>
      <c r="N231" s="1032"/>
      <c r="O231" s="1032"/>
      <c r="P231" s="1032"/>
      <c r="Q231" s="1032"/>
      <c r="R231" s="1032"/>
      <c r="S231" s="1032"/>
      <c r="T231" s="1032"/>
      <c r="U231" s="1032"/>
      <c r="V231" s="1032"/>
      <c r="W231" s="1032"/>
      <c r="X231" s="1032"/>
      <c r="Y231" s="1032"/>
      <c r="Z231" s="1032"/>
      <c r="AA231" s="1032"/>
      <c r="AB231" s="1032"/>
      <c r="AC231" s="1033"/>
      <c r="AD231" s="271"/>
      <c r="AE231" s="216"/>
      <c r="AF231" s="106"/>
      <c r="AG231" s="4"/>
      <c r="AH231" s="4">
        <f>IF(AA197=Ceny_n!$B$184,IF(AI188=1,Ceny!$F$939,IF(AI188=2,Ceny!$G$939,0)),0)</f>
        <v>0</v>
      </c>
      <c r="AI231" s="4"/>
      <c r="AJ231" s="4"/>
      <c r="AK231" s="4"/>
      <c r="AL231" s="4"/>
      <c r="AM231" s="4"/>
      <c r="AN231" s="4"/>
      <c r="AO231" s="4"/>
      <c r="AP231" s="4"/>
      <c r="AQ231" s="4"/>
      <c r="AR231" s="4"/>
      <c r="AS231" s="4"/>
      <c r="AT231" s="4"/>
      <c r="AU231" s="4"/>
      <c r="AV231" s="4"/>
      <c r="AW231" s="4"/>
      <c r="AX231" s="4"/>
      <c r="AY231" s="4"/>
      <c r="AZ231" s="256"/>
      <c r="BA231" s="256"/>
    </row>
    <row r="232" spans="2:59" s="178" customFormat="1" ht="6.9" customHeight="1" x14ac:dyDescent="0.3">
      <c r="B232" s="1026"/>
      <c r="C232" s="1027"/>
      <c r="D232" s="1027"/>
      <c r="E232" s="1027"/>
      <c r="F232" s="1027"/>
      <c r="G232" s="1032"/>
      <c r="H232" s="1032"/>
      <c r="I232" s="1032"/>
      <c r="J232" s="1032"/>
      <c r="K232" s="1032"/>
      <c r="L232" s="1032"/>
      <c r="M232" s="1032"/>
      <c r="N232" s="1032"/>
      <c r="O232" s="1032"/>
      <c r="P232" s="1032"/>
      <c r="Q232" s="1032"/>
      <c r="R232" s="1032"/>
      <c r="S232" s="1032"/>
      <c r="T232" s="1032"/>
      <c r="U232" s="1032"/>
      <c r="V232" s="1032"/>
      <c r="W232" s="1032"/>
      <c r="X232" s="1032"/>
      <c r="Y232" s="1032"/>
      <c r="Z232" s="1032"/>
      <c r="AA232" s="1032"/>
      <c r="AB232" s="1032"/>
      <c r="AC232" s="1033"/>
      <c r="AD232" s="271"/>
      <c r="AE232" s="216"/>
      <c r="AF232" s="106"/>
      <c r="AG232" s="4"/>
      <c r="AH232" s="4">
        <f>IF(AA197=Ceny_n!$B$184,IF(AI188=1,Ceny!$F$940,IF(AI188=2,Ceny!$G$940,0)),0)</f>
        <v>0</v>
      </c>
      <c r="AI232" s="4"/>
      <c r="AJ232" s="4"/>
      <c r="AK232" s="4"/>
      <c r="AL232" s="4"/>
      <c r="AM232" s="4"/>
      <c r="AN232" s="4"/>
      <c r="AO232" s="4"/>
      <c r="AP232" s="4"/>
      <c r="AQ232" s="4"/>
      <c r="AR232" s="4"/>
      <c r="AS232" s="4"/>
      <c r="AT232" s="4"/>
      <c r="AU232" s="4"/>
      <c r="AV232" s="4"/>
      <c r="AW232" s="4"/>
      <c r="AX232" s="4"/>
      <c r="AY232" s="4"/>
      <c r="AZ232" s="256"/>
      <c r="BA232" s="256"/>
    </row>
    <row r="233" spans="2:59" s="178" customFormat="1" ht="6.9" customHeight="1" x14ac:dyDescent="0.3">
      <c r="B233" s="1026"/>
      <c r="C233" s="1027"/>
      <c r="D233" s="1027"/>
      <c r="E233" s="1027"/>
      <c r="F233" s="1027"/>
      <c r="G233" s="1032"/>
      <c r="H233" s="1032"/>
      <c r="I233" s="1032"/>
      <c r="J233" s="1032"/>
      <c r="K233" s="1032"/>
      <c r="L233" s="1032"/>
      <c r="M233" s="1032"/>
      <c r="N233" s="1032"/>
      <c r="O233" s="1032"/>
      <c r="P233" s="1032"/>
      <c r="Q233" s="1032"/>
      <c r="R233" s="1032"/>
      <c r="S233" s="1032"/>
      <c r="T233" s="1032"/>
      <c r="U233" s="1032"/>
      <c r="V233" s="1032"/>
      <c r="W233" s="1032"/>
      <c r="X233" s="1032"/>
      <c r="Y233" s="1032"/>
      <c r="Z233" s="1032"/>
      <c r="AA233" s="1032"/>
      <c r="AB233" s="1032"/>
      <c r="AC233" s="1033"/>
      <c r="AD233" s="271"/>
      <c r="AE233" s="216"/>
      <c r="AF233" s="106"/>
      <c r="AG233" s="4"/>
      <c r="AH233" s="4">
        <f>IF(AA197=Ceny_n!$B$184,IF(AI188=1,Ceny!$F$941,IF(AI188=2,Ceny!$G$941,0)),0)</f>
        <v>0</v>
      </c>
      <c r="AI233" s="4"/>
      <c r="AJ233" s="4"/>
      <c r="AK233" s="4"/>
      <c r="AL233" s="4"/>
      <c r="AM233" s="4"/>
      <c r="AN233" s="4"/>
      <c r="AO233" s="4"/>
      <c r="AP233" s="4"/>
      <c r="AQ233" s="4"/>
      <c r="AR233" s="4"/>
      <c r="AS233" s="4"/>
      <c r="AT233" s="4"/>
      <c r="AU233" s="4"/>
      <c r="AV233" s="4"/>
      <c r="AW233" s="4"/>
      <c r="AX233" s="4"/>
      <c r="AY233" s="4"/>
      <c r="AZ233" s="256"/>
      <c r="BA233" s="256"/>
    </row>
    <row r="234" spans="2:59" s="178" customFormat="1" ht="6.9" customHeight="1" x14ac:dyDescent="0.3">
      <c r="B234" s="1028"/>
      <c r="C234" s="1029"/>
      <c r="D234" s="1029"/>
      <c r="E234" s="1029"/>
      <c r="F234" s="1029"/>
      <c r="G234" s="1034"/>
      <c r="H234" s="1034"/>
      <c r="I234" s="1034"/>
      <c r="J234" s="1034"/>
      <c r="K234" s="1034"/>
      <c r="L234" s="1034"/>
      <c r="M234" s="1034"/>
      <c r="N234" s="1034"/>
      <c r="O234" s="1034"/>
      <c r="P234" s="1034"/>
      <c r="Q234" s="1034"/>
      <c r="R234" s="1034"/>
      <c r="S234" s="1034"/>
      <c r="T234" s="1034"/>
      <c r="U234" s="1034"/>
      <c r="V234" s="1034"/>
      <c r="W234" s="1034"/>
      <c r="X234" s="1034"/>
      <c r="Y234" s="1034"/>
      <c r="Z234" s="1034"/>
      <c r="AA234" s="1034"/>
      <c r="AB234" s="1034"/>
      <c r="AC234" s="1035"/>
      <c r="AD234" s="271"/>
      <c r="AE234" s="216"/>
      <c r="AF234" s="106"/>
      <c r="AG234" s="4"/>
      <c r="AH234" s="4">
        <f>IF(AA197=Ceny_n!$B$184,IF(AI188=1,Ceny!$F$942,IF(AI188=2,Ceny!$G$942,0)),0)</f>
        <v>0</v>
      </c>
      <c r="AI234" s="4"/>
      <c r="AJ234" s="4"/>
      <c r="AK234" s="4"/>
      <c r="AL234" s="4"/>
      <c r="AM234" s="4"/>
      <c r="AN234" s="4"/>
      <c r="AO234" s="4"/>
      <c r="AP234" s="4"/>
      <c r="AQ234" s="4"/>
      <c r="AR234" s="4"/>
      <c r="AS234" s="4"/>
      <c r="AT234" s="4"/>
      <c r="AU234" s="4"/>
      <c r="AV234" s="4"/>
      <c r="AW234" s="4"/>
      <c r="AX234" s="4"/>
      <c r="AY234" s="4"/>
      <c r="AZ234" s="256"/>
      <c r="BA234" s="256"/>
    </row>
    <row r="235" spans="2:59" s="178" customFormat="1" ht="7.5" customHeight="1" x14ac:dyDescent="0.3">
      <c r="B235" s="111"/>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c r="AA235" s="112"/>
      <c r="AB235" s="112"/>
      <c r="AC235" s="113"/>
      <c r="AD235" s="272"/>
      <c r="AE235" s="217"/>
      <c r="AF235" s="106"/>
      <c r="AG235" s="4"/>
      <c r="AH235" s="4" t="s">
        <v>684</v>
      </c>
      <c r="AI235" s="4"/>
      <c r="AJ235" s="4"/>
      <c r="AK235" s="4"/>
      <c r="AL235" s="4"/>
      <c r="AM235" s="4"/>
      <c r="AN235" s="4"/>
      <c r="AO235" s="4"/>
      <c r="AP235" s="4"/>
      <c r="AQ235" s="4"/>
      <c r="AR235" s="4"/>
      <c r="AS235" s="4"/>
      <c r="AT235" s="4"/>
      <c r="AU235" s="4"/>
      <c r="AV235" s="4"/>
      <c r="AW235" s="4"/>
      <c r="AX235" s="4"/>
      <c r="AY235" s="4"/>
      <c r="AZ235" s="256"/>
      <c r="BA235" s="256"/>
    </row>
    <row r="236" spans="2:59" s="4" customFormat="1" ht="25.8" x14ac:dyDescent="0.3">
      <c r="B236" s="141" t="s">
        <v>4</v>
      </c>
      <c r="C236" s="1090" t="str">
        <f>Ceny_n!$B$129</f>
        <v>Rámeček</v>
      </c>
      <c r="D236" s="1090"/>
      <c r="E236" s="1090"/>
      <c r="F236" s="1090"/>
      <c r="G236" s="1090"/>
      <c r="H236" s="1090"/>
      <c r="I236" s="1090"/>
      <c r="J236" s="1090"/>
      <c r="K236" s="1090"/>
      <c r="L236" s="1090"/>
      <c r="M236" s="1090"/>
      <c r="N236" s="1090"/>
      <c r="O236" s="1090"/>
      <c r="P236" s="1090"/>
      <c r="Q236" s="1090"/>
      <c r="R236" s="1090"/>
      <c r="S236" s="1090"/>
      <c r="T236" s="1090"/>
      <c r="U236" s="1090"/>
      <c r="V236" s="1090"/>
      <c r="W236" s="1090"/>
      <c r="X236" s="1090"/>
      <c r="Y236" s="1090"/>
      <c r="Z236" s="1090"/>
      <c r="AA236" s="1090"/>
      <c r="AB236" s="1090"/>
      <c r="AC236" s="1091"/>
      <c r="AD236" s="263"/>
      <c r="AE236" s="205"/>
      <c r="AF236" s="106"/>
      <c r="AZ236" s="256"/>
      <c r="BA236" s="256"/>
    </row>
    <row r="237" spans="2:59" s="4" customFormat="1" ht="15" thickBot="1" x14ac:dyDescent="0.35">
      <c r="B237" s="96"/>
      <c r="Y237" s="53"/>
      <c r="Z237" s="53"/>
      <c r="AA237" s="53"/>
      <c r="AB237" s="53"/>
      <c r="AC237" s="93"/>
      <c r="AD237" s="273" t="s">
        <v>1199</v>
      </c>
      <c r="AE237" s="206"/>
      <c r="AF237" s="106"/>
      <c r="AJ237" s="1092" t="s">
        <v>1529</v>
      </c>
      <c r="AK237" s="1092"/>
      <c r="AZ237" s="256"/>
      <c r="BA237" s="256"/>
    </row>
    <row r="238" spans="2:59" s="178" customFormat="1" ht="15" thickBot="1" x14ac:dyDescent="0.35">
      <c r="B238" s="97"/>
      <c r="C238" s="4"/>
      <c r="D238" s="1093" t="str">
        <f>IF(H238=1,AC247,"")</f>
        <v/>
      </c>
      <c r="E238" s="1094"/>
      <c r="F238" s="1094"/>
      <c r="G238" s="1094"/>
      <c r="H238" s="50">
        <f>IF(AG270=3,1,0)</f>
        <v>0</v>
      </c>
      <c r="I238" s="50"/>
      <c r="J238" s="50"/>
      <c r="K238" s="50" t="b">
        <f>IF(AG270=3,IF(AC246=4,1,0))</f>
        <v>0</v>
      </c>
      <c r="L238" s="50"/>
      <c r="M238" s="50" t="b">
        <f>IF(AG270=3,IF(AC246=3,1,0))</f>
        <v>0</v>
      </c>
      <c r="N238" s="50"/>
      <c r="O238" s="50" t="b">
        <f>IF(AG270=3,IF(AC246=4,1,0))</f>
        <v>0</v>
      </c>
      <c r="P238" s="50"/>
      <c r="Q238" s="50"/>
      <c r="R238" s="50">
        <f>IF(AG270=3,1,0)</f>
        <v>0</v>
      </c>
      <c r="S238" s="1095" t="str">
        <f>IF(R238=1,AC247,"")</f>
        <v/>
      </c>
      <c r="T238" s="1095"/>
      <c r="U238" s="1095"/>
      <c r="V238" s="1095"/>
      <c r="W238" s="1096"/>
      <c r="X238" s="53"/>
      <c r="Y238" s="54"/>
      <c r="Z238" s="4"/>
      <c r="AA238" s="948"/>
      <c r="AB238" s="948"/>
      <c r="AC238" s="98"/>
      <c r="AD238" s="257"/>
      <c r="AE238" s="199"/>
      <c r="AF238" s="106"/>
      <c r="AG238" s="4" t="s">
        <v>87</v>
      </c>
      <c r="AH238" s="4" t="s">
        <v>88</v>
      </c>
      <c r="AI238" s="4" t="s">
        <v>89</v>
      </c>
      <c r="AJ238" s="4" t="s">
        <v>6</v>
      </c>
      <c r="AK238" s="4"/>
      <c r="AL238" s="4" t="s">
        <v>99</v>
      </c>
      <c r="AM238" s="4" t="s">
        <v>90</v>
      </c>
      <c r="AN238" s="4" t="s">
        <v>109</v>
      </c>
      <c r="AO238" s="4"/>
      <c r="AP238" s="4" t="s">
        <v>91</v>
      </c>
      <c r="AQ238" s="4"/>
      <c r="AR238" s="4" t="s">
        <v>93</v>
      </c>
      <c r="AS238" s="4" t="s">
        <v>92</v>
      </c>
      <c r="AT238" s="4"/>
      <c r="AU238" s="4"/>
      <c r="AV238" s="4"/>
      <c r="AW238" s="4"/>
      <c r="AX238" s="4"/>
      <c r="AY238" s="4"/>
      <c r="AZ238" s="256"/>
      <c r="BA238" s="256"/>
      <c r="BB238" s="178">
        <v>0</v>
      </c>
      <c r="BD238" s="178" t="e">
        <f>IF(ISNA(VLOOKUP(AC244,#REF!,14,FALSE)),2,IF(VLOOKUP(AC244,#REF!,14,FALSE)="N",1,2))</f>
        <v>#REF!</v>
      </c>
    </row>
    <row r="239" spans="2:59" s="178" customFormat="1" ht="18" customHeight="1" x14ac:dyDescent="0.4">
      <c r="B239" s="97"/>
      <c r="C239" s="4"/>
      <c r="D239" s="1081" t="str">
        <f>IF(D243=1,AC247,"")</f>
        <v/>
      </c>
      <c r="E239" s="55"/>
      <c r="F239" s="56"/>
      <c r="G239" s="56"/>
      <c r="H239" s="56"/>
      <c r="I239" s="56"/>
      <c r="J239" s="56"/>
      <c r="K239" s="56"/>
      <c r="L239" s="56"/>
      <c r="M239" s="56"/>
      <c r="N239" s="56"/>
      <c r="O239" s="56"/>
      <c r="P239" s="56"/>
      <c r="Q239" s="56"/>
      <c r="R239" s="56"/>
      <c r="S239" s="56"/>
      <c r="T239" s="56"/>
      <c r="U239" s="56"/>
      <c r="V239" s="57"/>
      <c r="W239" s="1081" t="str">
        <f>IF(W243=1,AC247,"")</f>
        <v/>
      </c>
      <c r="X239" s="53"/>
      <c r="Y239" s="4"/>
      <c r="Z239" s="4"/>
      <c r="AA239" s="1097" t="str">
        <f>Ceny_n!$B$132</f>
        <v>Typ profilu</v>
      </c>
      <c r="AB239" s="1098"/>
      <c r="AC239" s="250" t="s">
        <v>258</v>
      </c>
      <c r="AD239" s="207" t="s">
        <v>1687</v>
      </c>
      <c r="AE239" s="207"/>
      <c r="AF239" s="106">
        <f>IF(AC243=AV_HL_SD,TYP_RAM,AG244)</f>
        <v>0</v>
      </c>
      <c r="AG239" s="4" t="e">
        <f>VLOOKUP(AC239,$B$348:$D$391,2,0)</f>
        <v>#N/A</v>
      </c>
      <c r="AH239" s="4" t="e">
        <f>AG239*(((L268/1000)+(Y244/1000))*2)</f>
        <v>#N/A</v>
      </c>
      <c r="AI239" s="4" t="e">
        <f>AH239*AC241</f>
        <v>#N/A</v>
      </c>
      <c r="AJ239" s="4" t="e">
        <f>VLOOKUP(AC239,$B$348:$D$391,3,0)</f>
        <v>#N/A</v>
      </c>
      <c r="AK239" s="4"/>
      <c r="AL239" s="4" t="e">
        <f>VLOOKUP(AC239,$B$348:$I$392,AH243,0)</f>
        <v>#N/A</v>
      </c>
      <c r="AM239" s="4" t="e">
        <f>AJ239*AC241</f>
        <v>#N/A</v>
      </c>
      <c r="AN239" s="4" t="e">
        <f>AL239*AC241</f>
        <v>#N/A</v>
      </c>
      <c r="AO239" s="4"/>
      <c r="AP239" s="4">
        <f>VLOOKUP(AC240,$B$403:$C$477,2,0)</f>
        <v>0</v>
      </c>
      <c r="AQ239" s="4"/>
      <c r="AR239" s="4">
        <f>(L268/1000)*(Y244/1000)*AP239</f>
        <v>0</v>
      </c>
      <c r="AS239" s="4">
        <f>AR239*AC241</f>
        <v>0</v>
      </c>
      <c r="AT239" s="4"/>
      <c r="AU239" s="4"/>
      <c r="AV239" s="4"/>
      <c r="AW239" s="4"/>
      <c r="AX239" s="4"/>
      <c r="AY239" s="4"/>
      <c r="AZ239" s="256"/>
      <c r="BA239" s="256"/>
      <c r="BB239" s="1099" t="s">
        <v>1217</v>
      </c>
      <c r="BC239" s="1099"/>
      <c r="BD239" s="1099"/>
      <c r="BE239" s="1099"/>
      <c r="BF239" s="1099"/>
      <c r="BG239" s="1099"/>
    </row>
    <row r="240" spans="2:59" s="178" customFormat="1" ht="18" customHeight="1" thickBot="1" x14ac:dyDescent="0.35">
      <c r="B240" s="97"/>
      <c r="C240" s="4"/>
      <c r="D240" s="1081"/>
      <c r="E240" s="58"/>
      <c r="F240" s="59"/>
      <c r="G240" s="59"/>
      <c r="H240" s="59"/>
      <c r="I240" s="59"/>
      <c r="J240" s="59"/>
      <c r="K240" s="59"/>
      <c r="L240" s="59"/>
      <c r="M240" s="59"/>
      <c r="N240" s="59"/>
      <c r="O240" s="59"/>
      <c r="P240" s="59"/>
      <c r="Q240" s="59"/>
      <c r="R240" s="59"/>
      <c r="S240" s="59"/>
      <c r="T240" s="59"/>
      <c r="U240" s="59"/>
      <c r="V240" s="60"/>
      <c r="W240" s="1081"/>
      <c r="X240" s="53"/>
      <c r="Y240" s="4"/>
      <c r="Z240" s="4"/>
      <c r="AA240" s="1084" t="str">
        <f>Ceny_n!$B$133</f>
        <v>Typ skla</v>
      </c>
      <c r="AB240" s="1085"/>
      <c r="AC240" s="251"/>
      <c r="AD240" s="207" t="s">
        <v>1535</v>
      </c>
      <c r="AE240" s="208"/>
      <c r="AF240" s="178" t="str">
        <f>Ceny_n!$B$199</f>
        <v>Vyberte ze seznamu</v>
      </c>
      <c r="AG240" s="4" t="s">
        <v>220</v>
      </c>
      <c r="AH240" s="4" t="s">
        <v>226</v>
      </c>
      <c r="AI240" s="4" t="s">
        <v>227</v>
      </c>
      <c r="AJ240" s="4" t="s">
        <v>371</v>
      </c>
      <c r="AK240" s="4"/>
      <c r="AL240" s="4" t="s">
        <v>29</v>
      </c>
      <c r="AM240" s="4"/>
      <c r="AN240" s="4"/>
      <c r="AO240" s="4"/>
      <c r="AP240" s="4"/>
      <c r="AQ240" s="4"/>
      <c r="AR240" s="4"/>
      <c r="AS240" s="4"/>
      <c r="AT240" s="4"/>
      <c r="AU240" s="4"/>
      <c r="AV240" s="4"/>
      <c r="AW240" s="4"/>
      <c r="AX240" s="4"/>
      <c r="AY240" s="4"/>
      <c r="AZ240" s="256"/>
      <c r="BA240" s="256"/>
      <c r="BB240" s="219" t="s">
        <v>1058</v>
      </c>
      <c r="BC240" s="220" t="s">
        <v>1064</v>
      </c>
      <c r="BD240" s="223" t="s">
        <v>1085</v>
      </c>
      <c r="BE240" s="223"/>
      <c r="BF240" s="178" t="s">
        <v>1173</v>
      </c>
      <c r="BG240" s="178" t="s">
        <v>1174</v>
      </c>
    </row>
    <row r="241" spans="2:59" s="178" customFormat="1" ht="18" customHeight="1" thickBot="1" x14ac:dyDescent="0.35">
      <c r="B241" s="97"/>
      <c r="C241" s="4"/>
      <c r="D241" s="1081"/>
      <c r="E241" s="58"/>
      <c r="F241" s="59"/>
      <c r="G241" s="59"/>
      <c r="H241" s="59"/>
      <c r="I241" s="59"/>
      <c r="J241" s="59"/>
      <c r="K241" s="59"/>
      <c r="L241" s="59"/>
      <c r="M241" s="59"/>
      <c r="N241" s="59"/>
      <c r="O241" s="59"/>
      <c r="P241" s="59"/>
      <c r="Q241" s="59"/>
      <c r="R241" s="59"/>
      <c r="S241" s="59"/>
      <c r="T241" s="59"/>
      <c r="U241" s="59"/>
      <c r="V241" s="60"/>
      <c r="W241" s="1081"/>
      <c r="X241" s="53"/>
      <c r="Y241" s="4"/>
      <c r="Z241" s="4"/>
      <c r="AA241" s="1084" t="str">
        <f>Ceny_n!$B$134</f>
        <v>Počet kusů</v>
      </c>
      <c r="AB241" s="1085"/>
      <c r="AC241" s="251"/>
      <c r="AD241" s="207" t="s">
        <v>1202</v>
      </c>
      <c r="AE241" s="208"/>
      <c r="AF241" s="178" t="str">
        <f>IF(AC239=AF240,"",Ceny!$B$141)</f>
        <v/>
      </c>
      <c r="AG241" s="4">
        <f>VLOOKUP(AR242,Ceny!$B$847:$D$917,3,0)</f>
        <v>0</v>
      </c>
      <c r="AH241" s="4" t="e">
        <f>VLOOKUP(AW242,Ceny!$B$847:$D$917,3,0)</f>
        <v>#REF!</v>
      </c>
      <c r="AI241" s="4" t="e">
        <f>(AG241+AH241)*AC241*AC246</f>
        <v>#REF!</v>
      </c>
      <c r="AJ241" s="4">
        <f>IF(AC251=0,0,VLOOKUP(AC251,AI265:AY279,13,0))</f>
        <v>0</v>
      </c>
      <c r="AK241" s="4"/>
      <c r="AL241" s="4">
        <f>AG261*AC241*AJ241</f>
        <v>0</v>
      </c>
      <c r="AM241" s="4"/>
      <c r="AN241" s="4"/>
      <c r="AO241" s="4"/>
      <c r="AP241" s="1092" t="s">
        <v>1530</v>
      </c>
      <c r="AQ241" s="1092"/>
      <c r="AR241" s="4"/>
      <c r="AS241" s="4"/>
      <c r="AT241" s="4"/>
      <c r="AU241" s="4"/>
      <c r="AV241" s="4"/>
      <c r="AW241" s="4"/>
      <c r="AX241" s="4"/>
      <c r="AY241" s="4"/>
      <c r="AZ241" s="256"/>
      <c r="BA241" s="256"/>
      <c r="BB241" s="61" t="e">
        <f t="array" ref="BB241:BB258">IF(AI242=1,PANT_HETTICH_WIDE,PANT_HETTICH_SLIM)</f>
        <v>#REF!</v>
      </c>
      <c r="BC241" s="227" t="e">
        <f t="array" ref="BC241:BC258">IF(AI242=2,PANT_BLUM_WIDE,PANT_BLUM_SLIM)</f>
        <v>#REF!</v>
      </c>
      <c r="BD241" s="61" t="e">
        <f t="array" ref="BD241:BD281">IF(ISNA(IF(AND(AI242=2,AC250=NAHORE),VYKLOP_UP_WIDE,
IF(AND(AI242=2,AC250=DOLE),VYKLOP_DWN_WIDE,
IF(AND(AI242=1,AC250=NAHORE),VYKLOP_UP_SLIM,
IF(AND(AI242=1,AC250=DOLE),VYKLOP_DWN_SLIM,""))))),"",IF(BD238=2,"",IF(AND(AI242=2,AC250=NAHORE),VYKLOP_UP_WIDE,
IF(AND(AI242=2,AC250=DOLE),VYKLOP_DWN_WIDE,
IF(AND(AI242=1,AC250=NAHORE),VYKLOP_UP_SLIM,
IF(AND(AI242=1,AC250=DOLE),VYKLOP_DWN_SLIM,""))))))</f>
        <v>#REF!</v>
      </c>
      <c r="BE241" s="178" t="e">
        <f>IF(OR(ISNA(BD241),BD241=""),"",1)</f>
        <v>#REF!</v>
      </c>
      <c r="BF241" s="61" t="e">
        <f t="array" ref="BF241:BF257">IF(AI242=1,PANT_STRONG_SLIM_BTL,PANT_STRONG_WIDE_BTL)</f>
        <v>#REF!</v>
      </c>
      <c r="BG241" s="61" t="e">
        <f t="array" ref="BG241:BG257">IF(AI242=1,PANT_STRONG_SLIM_STL,PANT_STRONG_WIDE_STL)</f>
        <v>#REF!</v>
      </c>
    </row>
    <row r="242" spans="2:59" s="178" customFormat="1" ht="18" customHeight="1" thickBot="1" x14ac:dyDescent="0.45">
      <c r="B242" s="97"/>
      <c r="C242" s="4"/>
      <c r="D242" s="1081"/>
      <c r="E242" s="58"/>
      <c r="F242" s="59"/>
      <c r="G242" s="59"/>
      <c r="H242" s="59"/>
      <c r="I242" s="59"/>
      <c r="J242" s="59"/>
      <c r="K242" s="59"/>
      <c r="L242" s="59"/>
      <c r="M242" s="59"/>
      <c r="N242" s="59"/>
      <c r="O242" s="59"/>
      <c r="P242" s="59"/>
      <c r="Q242" s="59"/>
      <c r="R242" s="59"/>
      <c r="S242" s="59"/>
      <c r="T242" s="59"/>
      <c r="U242" s="59"/>
      <c r="V242" s="60"/>
      <c r="W242" s="1081"/>
      <c r="X242" s="53"/>
      <c r="Y242" s="4"/>
      <c r="Z242" s="4"/>
      <c r="AA242" s="1084" t="str">
        <f>Ceny_n!$B$215</f>
        <v>Typ kování</v>
      </c>
      <c r="AB242" s="1085"/>
      <c r="AC242" s="251"/>
      <c r="AD242" s="207" t="s">
        <v>1196</v>
      </c>
      <c r="AE242" s="208"/>
      <c r="AF242" s="106" t="str">
        <f>IF(AC239=AF240,"",AV_HF)</f>
        <v/>
      </c>
      <c r="AG242" s="4"/>
      <c r="AH242" s="4"/>
      <c r="AI242" s="4">
        <f>IF(AC239=AF240,0,VLOOKUP(AC239,#REF!,2,0))</f>
        <v>0</v>
      </c>
      <c r="AJ242" s="235" t="str">
        <f>IF(AC242=AV_HF,HOR_DV,
IF(AC242=AV_HF_SD,HOR_DV,
IF(AC242=AV_OST,AV_HK,
IF(AC242=ZAVESY,PRAZDNE_1,""))))</f>
        <v/>
      </c>
      <c r="AK242" s="236" t="str">
        <f t="shared" ref="AK242:AK253" si="29">IF(OR(ISNA(AJ242),AJ242=""),"",1)</f>
        <v/>
      </c>
      <c r="AL242" s="948" t="s">
        <v>21</v>
      </c>
      <c r="AM242" s="948"/>
      <c r="AN242" s="948"/>
      <c r="AO242" s="247"/>
      <c r="AP242" s="4">
        <f>IF(AE244=AP243,1,IF(AE244=AP244,2,IF(AE244=AP245,3,IF(AE244=AP246,4,IF(AE244=AP247,5,IF(AE244=AP248,6,IF(AE244=AP249,7,0)))))))</f>
        <v>1</v>
      </c>
      <c r="AQ242" s="4"/>
      <c r="AR242" s="218">
        <f>VLOOKUP(AP242,AL243:AR568,5,0)</f>
        <v>0</v>
      </c>
      <c r="AS242" s="1100" t="s">
        <v>1184</v>
      </c>
      <c r="AT242" s="1100"/>
      <c r="AU242" s="4" t="e">
        <f>IF(AE245=AU243,1,IF(AE245=AU244,2,0))</f>
        <v>#REF!</v>
      </c>
      <c r="AV242" s="4"/>
      <c r="AW242" s="4" t="e">
        <f>VLOOKUP(AU242,AL243:AS244,6,0)</f>
        <v>#REF!</v>
      </c>
      <c r="AX242" s="4"/>
      <c r="AY242" s="4"/>
      <c r="AZ242" s="256"/>
      <c r="BA242" s="256"/>
      <c r="BB242" s="62" t="e">
        <v>#REF!</v>
      </c>
      <c r="BC242" s="228" t="e">
        <v>#REF!</v>
      </c>
      <c r="BD242" s="62" t="e">
        <v>#REF!</v>
      </c>
      <c r="BE242" s="178" t="e">
        <f t="shared" ref="BE242:BE281" si="30">IF(OR(ISNA(BD242),BD242=""),"",1)</f>
        <v>#REF!</v>
      </c>
      <c r="BF242" s="62" t="e">
        <v>#REF!</v>
      </c>
      <c r="BG242" s="62" t="e">
        <v>#REF!</v>
      </c>
    </row>
    <row r="243" spans="2:59" s="178" customFormat="1" ht="18" customHeight="1" x14ac:dyDescent="0.35">
      <c r="B243" s="97"/>
      <c r="C243" s="4"/>
      <c r="D243" s="49">
        <f>IF(AG270=2,1,0)</f>
        <v>0</v>
      </c>
      <c r="E243" s="58"/>
      <c r="F243" s="59"/>
      <c r="G243" s="59"/>
      <c r="H243" s="59"/>
      <c r="I243" s="59"/>
      <c r="J243" s="59"/>
      <c r="K243" s="59"/>
      <c r="L243" s="59"/>
      <c r="M243" s="59"/>
      <c r="N243" s="59"/>
      <c r="O243" s="59"/>
      <c r="P243" s="59"/>
      <c r="Q243" s="59"/>
      <c r="R243" s="59"/>
      <c r="S243" s="59"/>
      <c r="T243" s="59"/>
      <c r="U243" s="59"/>
      <c r="V243" s="60"/>
      <c r="W243" s="49">
        <f>IF(AG270=1,1,0)</f>
        <v>0</v>
      </c>
      <c r="X243" s="53"/>
      <c r="Y243" s="4"/>
      <c r="Z243" s="4"/>
      <c r="AA243" s="1084">
        <f>IF(AC242=AV_HF,POZ_RAM,
IF(AC242=AV_HF_SD,POZ_RAM,
IF(AC242=ZAVESY,VYR_ZAVES,
IF(AC242=AV_OST,TYP_AV,0))))</f>
        <v>0</v>
      </c>
      <c r="AB243" s="1085"/>
      <c r="AC243" s="252"/>
      <c r="AD243" s="265" t="s">
        <v>1212</v>
      </c>
      <c r="AE243" s="209"/>
      <c r="AF243" s="106" t="str">
        <f>IF(AC239=AF240,"",AV_HF_SD)</f>
        <v/>
      </c>
      <c r="AG243" s="4"/>
      <c r="AH243" s="4">
        <f>IF(AC242=AV_HF,5,IF(AC242=AV_HF_SD,5,IF(AC242=AV_OST,5,8)))</f>
        <v>8</v>
      </c>
      <c r="AI243" s="232">
        <f>IF(AI242=1,$B$480,IF(AI242=2,$B$484,0))</f>
        <v>0</v>
      </c>
      <c r="AJ243" s="237" t="str">
        <f>IF(AC242=AV_HF,DOL_DV,
IF(AC242=AV_HF_SD,DOL_DV,
IF(AC242=AV_OST,AV_HK_TIP,
IF(AC242=ZAVESY,BLUM,""))))</f>
        <v/>
      </c>
      <c r="AK243" s="238" t="str">
        <f t="shared" si="29"/>
        <v/>
      </c>
      <c r="AL243" s="4">
        <v>1</v>
      </c>
      <c r="AM243" s="4">
        <f>IF(AC243=PRAZDNE_1,AI243,IF(AC243=BLUM,BC241,IF(AC243=STRONG_INT_TL,AI260,IF(AC243=STRONG_BINT_TL,AI256,IF(AC243=HETTICH,BB241,"")))))</f>
        <v>0</v>
      </c>
      <c r="AN243" s="4" t="str">
        <f t="shared" ref="AN243:AN257" si="31">IF(ISNA(VLOOKUP(AM243,$B$480:$C$615,2,0)),"",VLOOKUP(AM243,$B$480:$C$615,2,0))</f>
        <v/>
      </c>
      <c r="AO243" s="4" t="str">
        <f>CONCATENATE(AN243," (",AM243,")")</f>
        <v xml:space="preserve"> (0)</v>
      </c>
      <c r="AP243" s="241">
        <f t="array" ref="AP243:AP268">IF(OR(AC242=AV_HF,AC242=AV_HF_SD),HF_TYP_2_CILKA,
IF(AC243=AV_HL,TYP_RAM_AV_HL1,
IF(AC243=AV_HL_SD,TYP_RAM_AV_HL,
IF(OR(AC243=AV_HKXS,AC243=AV_HKXS_TIP),UMISTENI_RAM_HKXS,
IF(AC243=HETTICH,T1_PANT_HETTICH,
IF(AC243=BLUM,T1_PANT_BLUM,
IF(AC243=STRONG_BINT_TL,T1_PANT_STRONG_BTL,
IF(AC243=STRONG_INT_TL,T1_PANT_STRONG_STL,PRAZDNE_1))))))))</f>
        <v>0</v>
      </c>
      <c r="AQ243" s="236" t="str">
        <f>IF(OR(ISNA(AP243),AP243=0),"",1)</f>
        <v/>
      </c>
      <c r="AR243" s="4"/>
      <c r="AS243" s="244" t="e">
        <f>VLOOKUP(AR242,#REF!,8,0)</f>
        <v>#REF!</v>
      </c>
      <c r="AT243" s="236" t="e">
        <f>IF(OR(ISNA(AS243),AS243=0),"",1)</f>
        <v>#REF!</v>
      </c>
      <c r="AU243" s="4" t="e">
        <f>IF(OR(ISNA(AS243),AS243=0),PRAZDNE_1,VLOOKUP(AR242,#REF!,5,FALSE))</f>
        <v>#REF!</v>
      </c>
      <c r="AV243" s="4"/>
      <c r="AW243" s="4"/>
      <c r="AX243" s="4"/>
      <c r="AY243" s="4"/>
      <c r="AZ243" s="256"/>
      <c r="BA243" s="256"/>
      <c r="BB243" s="62" t="e">
        <v>#REF!</v>
      </c>
      <c r="BC243" s="228" t="e">
        <v>#REF!</v>
      </c>
      <c r="BD243" s="62" t="e">
        <v>#REF!</v>
      </c>
      <c r="BE243" s="178" t="e">
        <f t="shared" si="30"/>
        <v>#REF!</v>
      </c>
      <c r="BF243" s="62" t="e">
        <v>#REF!</v>
      </c>
      <c r="BG243" s="62" t="e">
        <v>#REF!</v>
      </c>
    </row>
    <row r="244" spans="2:59" s="178" customFormat="1" ht="18" customHeight="1" x14ac:dyDescent="0.5">
      <c r="B244" s="97"/>
      <c r="C244" s="4"/>
      <c r="D244" s="49"/>
      <c r="E244" s="58"/>
      <c r="F244" s="59"/>
      <c r="G244" s="59"/>
      <c r="H244" s="59"/>
      <c r="I244" s="59"/>
      <c r="J244" s="59"/>
      <c r="K244" s="59"/>
      <c r="L244" s="59"/>
      <c r="M244" s="59"/>
      <c r="N244" s="59"/>
      <c r="O244" s="59"/>
      <c r="P244" s="59"/>
      <c r="Q244" s="59"/>
      <c r="R244" s="44"/>
      <c r="S244" s="44"/>
      <c r="T244" s="44"/>
      <c r="U244" s="44"/>
      <c r="V244" s="45"/>
      <c r="W244" s="49"/>
      <c r="X244" s="53"/>
      <c r="Y244" s="1086"/>
      <c r="Z244" s="4"/>
      <c r="AA244" s="1084">
        <f>IF(AC243=AV_HF,HM_UCH,
IF(OR('Běžné rámečky'!AC243=AV_HKS,'Běžné rámečky'!AC243=AV_HS),HM_UCH,
IF(AC243=AV_HL,TYP_RAM,
IF(AC242=ZAVESY,TYP_ZAV,
IF(AC242=AV_HF,PROV_2_CILKA,
IF(AC242=AV_HF_SD,PROV_2_CILKA,
IF(AC243=AV_HK_SD,HM_UCH,
IF(AC243=AV_HK,HM_UCH,
IF(AC243=AV_HKXS,POZICE_RAMENE,
IF(AC243=AV_HKXS_TIP,POZICE_RAMENE,AF239))))))))))</f>
        <v>0</v>
      </c>
      <c r="AB244" s="1085"/>
      <c r="AC244" s="252"/>
      <c r="AD244" s="266" t="s">
        <v>1213</v>
      </c>
      <c r="AE244" s="210">
        <f>IF(AA244=HM_UCH,0,AC244)</f>
        <v>0</v>
      </c>
      <c r="AF244" s="106" t="str">
        <f>IF(AC239=AF240,"",AV_OST)</f>
        <v/>
      </c>
      <c r="AG244" s="4">
        <f>IF(AC243=AV_HL_SD,HM_UCH,IF(AC243=AV_HS_SD,HM_UCH,0))</f>
        <v>0</v>
      </c>
      <c r="AH244" s="4"/>
      <c r="AI244" s="233">
        <f>IF(AI242=1,$B$481,IF(AI242=2,$B$485,0))</f>
        <v>0</v>
      </c>
      <c r="AJ244" s="237" t="str">
        <f>IF(AC242=AV_OST,AV_HK_SD,
IF(AC242=ZAVESY,HETTICH,""))</f>
        <v/>
      </c>
      <c r="AK244" s="238" t="str">
        <f t="shared" si="29"/>
        <v/>
      </c>
      <c r="AL244" s="4">
        <v>2</v>
      </c>
      <c r="AM244" s="4">
        <f>IF(AC243=PRAZDNE_1,AI244,IF(AC243=BLUM,BC242,IF(AC243=STRONG_INT_TL,AI261,IF(AC243=STRONG_BINT_TL,AI257,IF(AC243=HETTICH,BB242,"")))))</f>
        <v>0</v>
      </c>
      <c r="AN244" s="4" t="str">
        <f t="shared" si="31"/>
        <v/>
      </c>
      <c r="AO244" s="4" t="str">
        <f t="shared" ref="AO244:AO268" si="32">CONCATENATE(AN244," (",AM244,")")</f>
        <v xml:space="preserve"> (0)</v>
      </c>
      <c r="AP244" s="242">
        <v>0</v>
      </c>
      <c r="AQ244" s="238" t="str">
        <f t="shared" ref="AQ244:AQ268" si="33">IF(OR(ISNA(AP244),AP244=0),"",1)</f>
        <v/>
      </c>
      <c r="AR244" s="4"/>
      <c r="AS244" s="245" t="e">
        <f>VLOOKUP(AR242,#REF!,9,0)</f>
        <v>#REF!</v>
      </c>
      <c r="AT244" s="238" t="e">
        <f t="shared" ref="AT244:AT252" si="34">IF(OR(ISNA(AS244),AS244=0),"",1)</f>
        <v>#REF!</v>
      </c>
      <c r="AU244" s="4" t="e">
        <f>IF(OR(ISNA(AS244),AS244=0),PRAZDNE_1,VLOOKUP(AR243,#REF!,5,FALSE))</f>
        <v>#REF!</v>
      </c>
      <c r="AV244" s="4"/>
      <c r="AW244" s="4"/>
      <c r="AX244" s="4"/>
      <c r="AY244" s="4"/>
      <c r="AZ244" s="256"/>
      <c r="BA244" s="256"/>
      <c r="BB244" s="62" t="e">
        <v>#REF!</v>
      </c>
      <c r="BC244" s="228" t="e">
        <v>#REF!</v>
      </c>
      <c r="BD244" s="62" t="e">
        <v>#REF!</v>
      </c>
      <c r="BE244" s="178" t="e">
        <f t="shared" si="30"/>
        <v>#REF!</v>
      </c>
      <c r="BF244" s="62" t="e">
        <v>#REF!</v>
      </c>
      <c r="BG244" s="62" t="e">
        <v>#REF!</v>
      </c>
    </row>
    <row r="245" spans="2:59" s="178" customFormat="1" ht="18" customHeight="1" x14ac:dyDescent="0.35">
      <c r="B245" s="97"/>
      <c r="C245" s="4"/>
      <c r="D245" s="49"/>
      <c r="E245" s="58"/>
      <c r="F245" s="59"/>
      <c r="G245" s="59"/>
      <c r="H245" s="59"/>
      <c r="I245" s="59"/>
      <c r="J245" s="59"/>
      <c r="K245" s="59"/>
      <c r="L245" s="59"/>
      <c r="M245" s="59"/>
      <c r="N245" s="59"/>
      <c r="O245" s="59"/>
      <c r="P245" s="59"/>
      <c r="Q245" s="59"/>
      <c r="R245" s="46" t="s">
        <v>15</v>
      </c>
      <c r="S245" s="59"/>
      <c r="T245" s="59"/>
      <c r="U245" s="63"/>
      <c r="V245" s="60"/>
      <c r="W245" s="49"/>
      <c r="X245" s="4"/>
      <c r="Y245" s="1087"/>
      <c r="Z245" s="4"/>
      <c r="AA245" s="1084">
        <f>IF(AC242=AV_HF,HM_UCH,
IF(AC243=AV_HL,HM_UCH,
IF('Běžné rámečky'!AC243=AV_HL_SD,HM_UCH,
IF(AC242=AV_HF_SD,HM_UCH,
IF(AC242=ZAVESY,TYP_PODL,IF(AC243=AV_HKXS,HM_UCH,0))))))</f>
        <v>0</v>
      </c>
      <c r="AB245" s="1085"/>
      <c r="AC245" s="252"/>
      <c r="AD245" s="266" t="s">
        <v>1533</v>
      </c>
      <c r="AE245" s="210">
        <f>IF(AA245=HM_UCH,0,AC245)</f>
        <v>0</v>
      </c>
      <c r="AF245" s="106" t="str">
        <f>IF(AC239=$B$372,0,$J$353)</f>
        <v>Závěsy se zvedacím pístem</v>
      </c>
      <c r="AG245" s="4"/>
      <c r="AH245" s="4"/>
      <c r="AI245" s="233">
        <f>IF(AI242=1,$B$482,IF(AI242=2,$B$486,0))</f>
        <v>0</v>
      </c>
      <c r="AJ245" s="237" t="str">
        <f>IF(AC242=AV_OST,AV_HL,
IF(AC242=ZAVESY,STRONG_INT_TL,""))</f>
        <v/>
      </c>
      <c r="AK245" s="238" t="str">
        <f t="shared" si="29"/>
        <v/>
      </c>
      <c r="AL245" s="4">
        <v>3</v>
      </c>
      <c r="AM245" s="4">
        <f>IF(AC243=PRAZDNE_1,AI245,IF(AC243=BLUM,BC243,IF(AC243=STRONG_INT_TL,AI262,IF(AC243=STRONG_BINT_TL,AI258,IF(AC243=HETTICH,BB243,"")))))</f>
        <v>0</v>
      </c>
      <c r="AN245" s="4" t="str">
        <f t="shared" si="31"/>
        <v/>
      </c>
      <c r="AO245" s="4" t="str">
        <f t="shared" si="32"/>
        <v xml:space="preserve"> (0)</v>
      </c>
      <c r="AP245" s="242">
        <v>0</v>
      </c>
      <c r="AQ245" s="238" t="str">
        <f t="shared" si="33"/>
        <v/>
      </c>
      <c r="AR245" s="4"/>
      <c r="AS245" s="245" t="e">
        <f>VLOOKUP(AR242,#REF!,10,0)</f>
        <v>#REF!</v>
      </c>
      <c r="AT245" s="238" t="e">
        <f t="shared" si="34"/>
        <v>#REF!</v>
      </c>
      <c r="AU245" s="4" t="e">
        <f>IF(OR(ISNA(AS245),AS245=0),PRAZDNE_1,VLOOKUP(AR244,#REF!,5,FALSE))</f>
        <v>#REF!</v>
      </c>
      <c r="AV245" s="4"/>
      <c r="AW245" s="4"/>
      <c r="AX245" s="4"/>
      <c r="AY245" s="4"/>
      <c r="AZ245" s="256"/>
      <c r="BA245" s="256"/>
      <c r="BB245" s="62" t="e">
        <v>#REF!</v>
      </c>
      <c r="BC245" s="228" t="e">
        <v>#REF!</v>
      </c>
      <c r="BD245" s="62" t="e">
        <v>#REF!</v>
      </c>
      <c r="BE245" s="178" t="e">
        <f t="shared" si="30"/>
        <v>#REF!</v>
      </c>
      <c r="BF245" s="62" t="e">
        <v>#REF!</v>
      </c>
      <c r="BG245" s="62" t="e">
        <v>#REF!</v>
      </c>
    </row>
    <row r="246" spans="2:59" s="178" customFormat="1" ht="18" customHeight="1" x14ac:dyDescent="0.3">
      <c r="B246" s="97"/>
      <c r="C246" s="4"/>
      <c r="D246" s="49" t="b">
        <f>IF(AG270=2,IF(AC246=4,1,0))</f>
        <v>0</v>
      </c>
      <c r="E246" s="58"/>
      <c r="F246" s="59"/>
      <c r="G246" s="59"/>
      <c r="H246" s="59"/>
      <c r="I246" s="59"/>
      <c r="J246" s="59"/>
      <c r="K246" s="59"/>
      <c r="L246" s="59"/>
      <c r="M246" s="59"/>
      <c r="N246" s="59"/>
      <c r="O246" s="59"/>
      <c r="P246" s="59"/>
      <c r="Q246" s="59"/>
      <c r="R246" s="59"/>
      <c r="S246" s="64"/>
      <c r="T246" s="65"/>
      <c r="U246" s="63"/>
      <c r="V246" s="60"/>
      <c r="W246" s="49" t="b">
        <f>IF(AG270=1,IF(AC246=4,1,0))</f>
        <v>0</v>
      </c>
      <c r="X246" s="40"/>
      <c r="Y246" s="1087"/>
      <c r="Z246" s="4"/>
      <c r="AA246" s="1084">
        <f>IF(AC242=ZAVESY,POC_ZAVES,0)</f>
        <v>0</v>
      </c>
      <c r="AB246" s="1085"/>
      <c r="AC246" s="251"/>
      <c r="AD246" s="207" t="s">
        <v>1201</v>
      </c>
      <c r="AE246" s="208"/>
      <c r="AF246" s="106"/>
      <c r="AG246" s="4"/>
      <c r="AH246" s="4"/>
      <c r="AI246" s="233">
        <f>IF(AI242=1,$B$483,IF(AI242=2,$B$487,0))</f>
        <v>0</v>
      </c>
      <c r="AJ246" s="237" t="str">
        <f>IF(AC242=AV_OST,AV_HL_SD,
IF(AC242=ZAVESY,STRONG_BINT_TL,""))</f>
        <v/>
      </c>
      <c r="AK246" s="238" t="str">
        <f t="shared" si="29"/>
        <v/>
      </c>
      <c r="AL246" s="4">
        <v>4</v>
      </c>
      <c r="AM246" s="4">
        <f>IF(AC243=PRAZDNE_1,AI246,IF(AC243=BLUM,BC244,IF(AC243=STRONG_INT_TL,AI263,IF(AC243=STRONG_BINT_TL,AI259,IF(AC243=HETTICH,BB244,"")))))</f>
        <v>0</v>
      </c>
      <c r="AN246" s="4" t="str">
        <f t="shared" si="31"/>
        <v/>
      </c>
      <c r="AO246" s="4" t="str">
        <f t="shared" si="32"/>
        <v xml:space="preserve"> (0)</v>
      </c>
      <c r="AP246" s="242">
        <v>0</v>
      </c>
      <c r="AQ246" s="238" t="str">
        <f t="shared" si="33"/>
        <v/>
      </c>
      <c r="AR246" s="4"/>
      <c r="AS246" s="245" t="e">
        <f>VLOOKUP(AR242,#REF!,11,0)</f>
        <v>#REF!</v>
      </c>
      <c r="AT246" s="238" t="e">
        <f t="shared" si="34"/>
        <v>#REF!</v>
      </c>
      <c r="AU246" s="4"/>
      <c r="AV246" s="4"/>
      <c r="AW246" s="4"/>
      <c r="AX246" s="4"/>
      <c r="AY246" s="4"/>
      <c r="AZ246" s="256"/>
      <c r="BA246" s="256"/>
      <c r="BB246" s="62" t="e">
        <v>#REF!</v>
      </c>
      <c r="BC246" s="228" t="e">
        <v>#REF!</v>
      </c>
      <c r="BD246" s="62" t="e">
        <v>#REF!</v>
      </c>
      <c r="BE246" s="178" t="e">
        <f t="shared" si="30"/>
        <v>#REF!</v>
      </c>
      <c r="BF246" s="62" t="e">
        <v>#REF!</v>
      </c>
      <c r="BG246" s="62" t="e">
        <v>#REF!</v>
      </c>
    </row>
    <row r="247" spans="2:59" s="178" customFormat="1" ht="18" customHeight="1" x14ac:dyDescent="0.3">
      <c r="B247" s="97"/>
      <c r="C247" s="4"/>
      <c r="D247" s="49"/>
      <c r="E247" s="58"/>
      <c r="F247" s="59"/>
      <c r="G247" s="59"/>
      <c r="H247" s="59"/>
      <c r="I247" s="59"/>
      <c r="J247" s="59"/>
      <c r="K247" s="59"/>
      <c r="L247" s="59"/>
      <c r="M247" s="59"/>
      <c r="N247" s="59"/>
      <c r="O247" s="59"/>
      <c r="P247" s="59"/>
      <c r="Q247" s="59"/>
      <c r="R247" s="59"/>
      <c r="S247" s="1088"/>
      <c r="T247" s="65"/>
      <c r="U247" s="63"/>
      <c r="V247" s="60"/>
      <c r="W247" s="49"/>
      <c r="X247" s="4"/>
      <c r="Y247" s="1087"/>
      <c r="Z247" s="4"/>
      <c r="AA247" s="1084">
        <f>IF(AC242=ZAVESY,VZD_ZAVES,0)</f>
        <v>0</v>
      </c>
      <c r="AB247" s="1085"/>
      <c r="AC247" s="253"/>
      <c r="AD247" s="207" t="s">
        <v>1202</v>
      </c>
      <c r="AE247" s="211"/>
      <c r="AF247" s="1089"/>
      <c r="AG247" s="4"/>
      <c r="AH247" s="4"/>
      <c r="AI247" s="233">
        <f>IF(AI242=2,$B$488,0)</f>
        <v>0</v>
      </c>
      <c r="AJ247" s="237" t="str">
        <f>IF(AC242=AV_OST,AV_HS,
IF(AC242=ZAVESY,
IF(AI242=1,PANT_STRONG_PLUS_SLIM,PANT_STRONG_SLIM_BTL),""))</f>
        <v/>
      </c>
      <c r="AK247" s="238" t="str">
        <f t="shared" si="29"/>
        <v/>
      </c>
      <c r="AL247" s="4">
        <v>5</v>
      </c>
      <c r="AM247" s="4">
        <f>IF(AC243=PRAZDNE_1,AI247,IF(AC243=BLUM,BC245,IF(AC243=HETTICH,BB245,"")))</f>
        <v>0</v>
      </c>
      <c r="AN247" s="4" t="str">
        <f t="shared" si="31"/>
        <v/>
      </c>
      <c r="AO247" s="4" t="str">
        <f t="shared" si="32"/>
        <v xml:space="preserve"> (0)</v>
      </c>
      <c r="AP247" s="242">
        <v>0</v>
      </c>
      <c r="AQ247" s="238" t="str">
        <f t="shared" si="33"/>
        <v/>
      </c>
      <c r="AR247" s="4"/>
      <c r="AS247" s="245" t="e">
        <f>VLOOKUP(AR242,#REF!,12,0)</f>
        <v>#REF!</v>
      </c>
      <c r="AT247" s="238" t="e">
        <f t="shared" si="34"/>
        <v>#REF!</v>
      </c>
      <c r="AU247" s="4"/>
      <c r="AV247" s="4"/>
      <c r="AW247" s="4"/>
      <c r="AX247" s="4"/>
      <c r="AY247" s="4"/>
      <c r="AZ247" s="256"/>
      <c r="BA247" s="256"/>
      <c r="BB247" s="62" t="e">
        <v>#REF!</v>
      </c>
      <c r="BC247" s="228" t="e">
        <v>#REF!</v>
      </c>
      <c r="BD247" s="62" t="e">
        <v>#REF!</v>
      </c>
      <c r="BE247" s="178" t="e">
        <f t="shared" si="30"/>
        <v>#REF!</v>
      </c>
      <c r="BF247" s="62" t="e">
        <v>#REF!</v>
      </c>
      <c r="BG247" s="62" t="e">
        <v>#REF!</v>
      </c>
    </row>
    <row r="248" spans="2:59" s="178" customFormat="1" ht="24.75" customHeight="1" thickBot="1" x14ac:dyDescent="0.4">
      <c r="B248" s="97"/>
      <c r="C248" s="4"/>
      <c r="D248" s="49"/>
      <c r="E248" s="58"/>
      <c r="F248" s="59"/>
      <c r="G248" s="59"/>
      <c r="H248" s="59"/>
      <c r="I248" s="59"/>
      <c r="J248" s="59"/>
      <c r="K248" s="59"/>
      <c r="L248" s="59"/>
      <c r="M248" s="59"/>
      <c r="N248" s="59"/>
      <c r="O248" s="59"/>
      <c r="P248" s="59"/>
      <c r="Q248" s="59"/>
      <c r="R248" s="59"/>
      <c r="S248" s="1088"/>
      <c r="T248" s="65"/>
      <c r="U248" s="63"/>
      <c r="V248" s="60"/>
      <c r="W248" s="49"/>
      <c r="X248" s="4"/>
      <c r="Y248" s="1087"/>
      <c r="Z248" s="4"/>
      <c r="AA248" s="230"/>
      <c r="AB248" s="231"/>
      <c r="AC248" s="254"/>
      <c r="AD248" s="267"/>
      <c r="AE248" s="212"/>
      <c r="AF248" s="1089"/>
      <c r="AG248" s="4"/>
      <c r="AH248" s="4"/>
      <c r="AI248" s="234">
        <f>IF(AI242=2,$B$489,0)</f>
        <v>0</v>
      </c>
      <c r="AJ248" s="237" t="str">
        <f>IF(AC242=AV_OST,AV_HS_SD,"")</f>
        <v/>
      </c>
      <c r="AK248" s="238" t="str">
        <f t="shared" si="29"/>
        <v/>
      </c>
      <c r="AL248" s="4">
        <v>6</v>
      </c>
      <c r="AM248" s="4">
        <f>IF(AC243=PRAZDNE_1,AI248,IF(AC243=BLUM,BC246,IF(AC243=HETTICH,BB246,"")))</f>
        <v>0</v>
      </c>
      <c r="AN248" s="4" t="str">
        <f t="shared" si="31"/>
        <v/>
      </c>
      <c r="AO248" s="4" t="str">
        <f t="shared" si="32"/>
        <v xml:space="preserve"> (0)</v>
      </c>
      <c r="AP248" s="242">
        <v>0</v>
      </c>
      <c r="AQ248" s="238" t="str">
        <f t="shared" si="33"/>
        <v/>
      </c>
      <c r="AR248" s="4"/>
      <c r="AS248" s="245" t="e">
        <f>VLOOKUP(AR242,#REF!,13,0)</f>
        <v>#REF!</v>
      </c>
      <c r="AT248" s="238" t="e">
        <f t="shared" si="34"/>
        <v>#REF!</v>
      </c>
      <c r="AU248" s="4"/>
      <c r="AV248" s="4"/>
      <c r="AW248" s="4"/>
      <c r="AX248" s="4"/>
      <c r="AY248" s="4"/>
      <c r="AZ248" s="256"/>
      <c r="BA248" s="256"/>
      <c r="BB248" s="62" t="e">
        <v>#REF!</v>
      </c>
      <c r="BC248" s="228" t="e">
        <v>#REF!</v>
      </c>
      <c r="BD248" s="62" t="e">
        <v>#REF!</v>
      </c>
      <c r="BE248" s="178" t="e">
        <f t="shared" si="30"/>
        <v>#REF!</v>
      </c>
      <c r="BF248" s="62" t="e">
        <v>#REF!</v>
      </c>
      <c r="BG248" s="62" t="e">
        <v>#REF!</v>
      </c>
    </row>
    <row r="249" spans="2:59" s="178" customFormat="1" ht="18" x14ac:dyDescent="0.35">
      <c r="B249" s="97"/>
      <c r="C249" s="4"/>
      <c r="D249" s="49"/>
      <c r="E249" s="58"/>
      <c r="F249" s="59"/>
      <c r="G249" s="59"/>
      <c r="H249" s="59"/>
      <c r="I249" s="59"/>
      <c r="J249" s="59"/>
      <c r="K249" s="59"/>
      <c r="L249" s="59"/>
      <c r="M249" s="59"/>
      <c r="N249" s="59"/>
      <c r="O249" s="59"/>
      <c r="P249" s="59"/>
      <c r="Q249" s="59"/>
      <c r="R249" s="59"/>
      <c r="S249" s="1088"/>
      <c r="T249" s="65"/>
      <c r="U249" s="63"/>
      <c r="V249" s="60"/>
      <c r="W249" s="49"/>
      <c r="X249" s="4"/>
      <c r="Y249" s="1087"/>
      <c r="Z249" s="4"/>
      <c r="AA249" s="230"/>
      <c r="AB249" s="231"/>
      <c r="AC249" s="254"/>
      <c r="AD249" s="267"/>
      <c r="AE249" s="212"/>
      <c r="AF249" s="1089"/>
      <c r="AG249" s="4"/>
      <c r="AH249" s="4"/>
      <c r="AI249" s="232">
        <f>IF(AI242=1,$B$499,IF(AI242=2,$B$507,0))</f>
        <v>0</v>
      </c>
      <c r="AJ249" s="237" t="str">
        <f>IF(AC242=AV_OST,AV_HKS,"")</f>
        <v/>
      </c>
      <c r="AK249" s="238" t="str">
        <f t="shared" si="29"/>
        <v/>
      </c>
      <c r="AL249" s="4">
        <v>7</v>
      </c>
      <c r="AM249" s="4" t="str">
        <f>IF(AC243=HETTICH,BB247,IF(AC243=BLUM,BC247,""))</f>
        <v/>
      </c>
      <c r="AN249" s="4" t="str">
        <f t="shared" si="31"/>
        <v/>
      </c>
      <c r="AO249" s="4" t="str">
        <f t="shared" si="32"/>
        <v xml:space="preserve"> ()</v>
      </c>
      <c r="AP249" s="242">
        <v>0</v>
      </c>
      <c r="AQ249" s="238" t="str">
        <f t="shared" si="33"/>
        <v/>
      </c>
      <c r="AR249" s="4"/>
      <c r="AS249" s="245"/>
      <c r="AT249" s="238" t="str">
        <f t="shared" si="34"/>
        <v/>
      </c>
      <c r="AU249" s="4"/>
      <c r="AV249" s="4"/>
      <c r="AW249" s="4"/>
      <c r="AX249" s="4"/>
      <c r="AY249" s="4"/>
      <c r="AZ249" s="256"/>
      <c r="BA249" s="256"/>
      <c r="BB249" s="62" t="e">
        <v>#REF!</v>
      </c>
      <c r="BC249" s="228" t="e">
        <v>#REF!</v>
      </c>
      <c r="BD249" s="62" t="e">
        <v>#REF!</v>
      </c>
      <c r="BE249" s="178" t="e">
        <f t="shared" si="30"/>
        <v>#REF!</v>
      </c>
      <c r="BF249" s="62" t="e">
        <v>#REF!</v>
      </c>
      <c r="BG249" s="62" t="e">
        <v>#REF!</v>
      </c>
    </row>
    <row r="250" spans="2:59" s="178" customFormat="1" ht="18" customHeight="1" x14ac:dyDescent="0.3">
      <c r="B250" s="97"/>
      <c r="C250" s="4"/>
      <c r="D250" s="49" t="b">
        <f>IF(AG270=2,IF(AC246=3,1,0))</f>
        <v>0</v>
      </c>
      <c r="E250" s="58"/>
      <c r="F250" s="59"/>
      <c r="G250" s="59"/>
      <c r="H250" s="59"/>
      <c r="I250" s="59"/>
      <c r="J250" s="59"/>
      <c r="K250" s="59"/>
      <c r="L250" s="59"/>
      <c r="M250" s="59"/>
      <c r="N250" s="59"/>
      <c r="O250" s="59"/>
      <c r="P250" s="59"/>
      <c r="Q250" s="59"/>
      <c r="R250" s="59"/>
      <c r="S250" s="1088"/>
      <c r="T250" s="65"/>
      <c r="U250" s="63"/>
      <c r="V250" s="60"/>
      <c r="W250" s="49" t="b">
        <f>IF(AG270=1,IF(AC246=3,1,0))</f>
        <v>0</v>
      </c>
      <c r="X250" s="4"/>
      <c r="Y250" s="1087"/>
      <c r="Z250" s="4"/>
      <c r="AA250" s="1084">
        <f>IF(AC242=ZAVESY,Ceny!$B$196,0)</f>
        <v>0</v>
      </c>
      <c r="AB250" s="1085"/>
      <c r="AC250" s="251"/>
      <c r="AD250" s="207" t="s">
        <v>1203</v>
      </c>
      <c r="AE250" s="208"/>
      <c r="AF250" s="106"/>
      <c r="AG250" s="4">
        <v>2</v>
      </c>
      <c r="AH250" s="4">
        <f>IF(AC242=ZAVESY,AG250,0)</f>
        <v>0</v>
      </c>
      <c r="AI250" s="233">
        <f>IF(AI242=1,$B$500,IF(AI242=2,$B$508,0))</f>
        <v>0</v>
      </c>
      <c r="AJ250" s="237" t="str">
        <f>IF(AC242=AV_OST,AV_HKS_TIP,"")</f>
        <v/>
      </c>
      <c r="AK250" s="238" t="str">
        <f t="shared" si="29"/>
        <v/>
      </c>
      <c r="AL250" s="4">
        <v>8</v>
      </c>
      <c r="AM250" s="4" t="str">
        <f>IF(AC243=HETTICH,BB248,IF(AC243=BLUM,BC248,""))</f>
        <v/>
      </c>
      <c r="AN250" s="4" t="str">
        <f t="shared" si="31"/>
        <v/>
      </c>
      <c r="AO250" s="4" t="str">
        <f t="shared" si="32"/>
        <v xml:space="preserve"> ()</v>
      </c>
      <c r="AP250" s="242">
        <v>0</v>
      </c>
      <c r="AQ250" s="238" t="str">
        <f t="shared" si="33"/>
        <v/>
      </c>
      <c r="AR250" s="4"/>
      <c r="AS250" s="245"/>
      <c r="AT250" s="238" t="str">
        <f t="shared" si="34"/>
        <v/>
      </c>
      <c r="AU250" s="4"/>
      <c r="AV250" s="4"/>
      <c r="AW250" s="4"/>
      <c r="AX250" s="4"/>
      <c r="AY250" s="4"/>
      <c r="AZ250" s="256"/>
      <c r="BA250" s="256"/>
      <c r="BB250" s="62" t="e">
        <v>#REF!</v>
      </c>
      <c r="BC250" s="228" t="e">
        <v>#REF!</v>
      </c>
      <c r="BD250" s="62" t="e">
        <v>#REF!</v>
      </c>
      <c r="BE250" s="178" t="e">
        <f t="shared" si="30"/>
        <v>#REF!</v>
      </c>
      <c r="BF250" s="62" t="e">
        <v>#REF!</v>
      </c>
      <c r="BG250" s="62" t="e">
        <v>#REF!</v>
      </c>
    </row>
    <row r="251" spans="2:59" s="178" customFormat="1" ht="18" customHeight="1" x14ac:dyDescent="0.3">
      <c r="B251" s="97"/>
      <c r="C251" s="4"/>
      <c r="D251" s="49"/>
      <c r="E251" s="58"/>
      <c r="F251" s="59"/>
      <c r="G251" s="59"/>
      <c r="H251" s="59"/>
      <c r="I251" s="59"/>
      <c r="J251" s="59"/>
      <c r="K251" s="59"/>
      <c r="L251" s="59"/>
      <c r="M251" s="59"/>
      <c r="N251" s="59"/>
      <c r="O251" s="59"/>
      <c r="P251" s="59"/>
      <c r="Q251" s="59"/>
      <c r="R251" s="59"/>
      <c r="S251" s="1083"/>
      <c r="T251" s="65"/>
      <c r="U251" s="63"/>
      <c r="V251" s="60"/>
      <c r="W251" s="49"/>
      <c r="X251" s="4"/>
      <c r="Y251" s="1087"/>
      <c r="Z251" s="4"/>
      <c r="AA251" s="1084">
        <f>IF(AG270=1,0,IF(AG270=2,0,IF(AC242=ZAVESY,IF(BD238=2,0,Ceny!$B$184),0)))</f>
        <v>0</v>
      </c>
      <c r="AB251" s="1085"/>
      <c r="AC251" s="190"/>
      <c r="AD251" s="207" t="s">
        <v>1534</v>
      </c>
      <c r="AE251" s="208"/>
      <c r="AF251" s="106" t="b">
        <v>1</v>
      </c>
      <c r="AG251" s="4">
        <v>3</v>
      </c>
      <c r="AH251" s="4">
        <f>IF(AC242=ZAVESY,AG251,0)</f>
        <v>0</v>
      </c>
      <c r="AI251" s="233">
        <f>IF(AI242=1,$B$501,IF(AI242=2,$B$509,0))</f>
        <v>0</v>
      </c>
      <c r="AJ251" s="237" t="str">
        <f>IF(AC242=AV_OST,AV_HKXS,"")</f>
        <v/>
      </c>
      <c r="AK251" s="238" t="str">
        <f t="shared" si="29"/>
        <v/>
      </c>
      <c r="AL251" s="4">
        <v>9</v>
      </c>
      <c r="AM251" s="4" t="str">
        <f>IF(AC243=HETTICH,BB249,IF(AC243=BLUM,BC249,""))</f>
        <v/>
      </c>
      <c r="AN251" s="4" t="str">
        <f t="shared" si="31"/>
        <v/>
      </c>
      <c r="AO251" s="4" t="str">
        <f t="shared" si="32"/>
        <v xml:space="preserve"> ()</v>
      </c>
      <c r="AP251" s="242">
        <v>0</v>
      </c>
      <c r="AQ251" s="238" t="str">
        <f t="shared" si="33"/>
        <v/>
      </c>
      <c r="AR251" s="4"/>
      <c r="AS251" s="245"/>
      <c r="AT251" s="238" t="str">
        <f t="shared" si="34"/>
        <v/>
      </c>
      <c r="AU251" s="4"/>
      <c r="AV251" s="4"/>
      <c r="AW251" s="4"/>
      <c r="AX251" s="4"/>
      <c r="AY251" s="4"/>
      <c r="AZ251" s="256"/>
      <c r="BA251" s="256"/>
      <c r="BB251" s="62" t="e">
        <v>#REF!</v>
      </c>
      <c r="BC251" s="228" t="e">
        <v>#REF!</v>
      </c>
      <c r="BD251" s="62" t="e">
        <v>#REF!</v>
      </c>
      <c r="BE251" s="178" t="e">
        <f t="shared" si="30"/>
        <v>#REF!</v>
      </c>
      <c r="BF251" s="62" t="e">
        <v>#REF!</v>
      </c>
      <c r="BG251" s="62" t="e">
        <v>#REF!</v>
      </c>
    </row>
    <row r="252" spans="2:59" s="178" customFormat="1" ht="18" customHeight="1" thickBot="1" x14ac:dyDescent="0.35">
      <c r="B252" s="97"/>
      <c r="C252" s="4"/>
      <c r="D252" s="49" t="b">
        <f>IF(AG270=2,IF(AC246=4,1,0))</f>
        <v>0</v>
      </c>
      <c r="E252" s="58"/>
      <c r="F252" s="59"/>
      <c r="G252" s="59"/>
      <c r="H252" s="59"/>
      <c r="I252" s="59"/>
      <c r="J252" s="59"/>
      <c r="K252" s="59"/>
      <c r="L252" s="59"/>
      <c r="M252" s="59"/>
      <c r="N252" s="59"/>
      <c r="O252" s="59"/>
      <c r="P252" s="59"/>
      <c r="Q252" s="59"/>
      <c r="R252" s="59"/>
      <c r="S252" s="65"/>
      <c r="T252" s="65"/>
      <c r="U252" s="63"/>
      <c r="V252" s="60"/>
      <c r="W252" s="49" t="b">
        <f>IF(AG270=1,IF(AC246=4,1,0))</f>
        <v>0</v>
      </c>
      <c r="X252" s="4"/>
      <c r="Y252" s="1060" t="str">
        <f>Ceny_n!$B$136</f>
        <v>Výška</v>
      </c>
      <c r="Z252" s="4"/>
      <c r="AA252" s="1061">
        <f>IF(AC251=0,0,Ceny!$B$186)</f>
        <v>0</v>
      </c>
      <c r="AB252" s="1062"/>
      <c r="AC252" s="191"/>
      <c r="AD252" s="207" t="s">
        <v>1205</v>
      </c>
      <c r="AE252" s="208"/>
      <c r="AF252" s="106"/>
      <c r="AG252" s="4">
        <v>4</v>
      </c>
      <c r="AH252" s="4">
        <f>IF(AC242=ZAVESY,AG252,0)</f>
        <v>0</v>
      </c>
      <c r="AI252" s="233">
        <f>IF(AI242=1,$B$502,IF(AI242=2,$B$510,0))</f>
        <v>0</v>
      </c>
      <c r="AJ252" s="239" t="str">
        <f>IF(AC242=AV_OST,AV_HKXS_TIP,"")</f>
        <v/>
      </c>
      <c r="AK252" s="240" t="str">
        <f t="shared" si="29"/>
        <v/>
      </c>
      <c r="AL252" s="4">
        <v>10</v>
      </c>
      <c r="AM252" s="4" t="str">
        <f>IF(AC243=HETTICH,BB250,IF(AC243=BLUM,BC250,""))</f>
        <v/>
      </c>
      <c r="AN252" s="4" t="str">
        <f t="shared" si="31"/>
        <v/>
      </c>
      <c r="AO252" s="4" t="str">
        <f t="shared" si="32"/>
        <v xml:space="preserve"> ()</v>
      </c>
      <c r="AP252" s="242">
        <v>0</v>
      </c>
      <c r="AQ252" s="238" t="str">
        <f t="shared" si="33"/>
        <v/>
      </c>
      <c r="AR252" s="4"/>
      <c r="AS252" s="246"/>
      <c r="AT252" s="240" t="str">
        <f t="shared" si="34"/>
        <v/>
      </c>
      <c r="AU252" s="4"/>
      <c r="AV252" s="4"/>
      <c r="AW252" s="4"/>
      <c r="AX252" s="4"/>
      <c r="AY252" s="4"/>
      <c r="AZ252" s="256"/>
      <c r="BA252" s="256"/>
      <c r="BB252" s="62" t="e">
        <v>#REF!</v>
      </c>
      <c r="BC252" s="228" t="e">
        <v>#REF!</v>
      </c>
      <c r="BD252" s="62" t="e">
        <v>#REF!</v>
      </c>
      <c r="BE252" s="178" t="e">
        <f t="shared" si="30"/>
        <v>#REF!</v>
      </c>
      <c r="BF252" s="62" t="e">
        <v>#REF!</v>
      </c>
      <c r="BG252" s="62" t="e">
        <v>#REF!</v>
      </c>
    </row>
    <row r="253" spans="2:59" s="178" customFormat="1" ht="0.75" customHeight="1" x14ac:dyDescent="0.3">
      <c r="B253" s="97"/>
      <c r="C253" s="4"/>
      <c r="D253" s="49"/>
      <c r="E253" s="58"/>
      <c r="F253" s="59"/>
      <c r="G253" s="59"/>
      <c r="H253" s="59"/>
      <c r="I253" s="59"/>
      <c r="J253" s="59"/>
      <c r="K253" s="59"/>
      <c r="L253" s="59"/>
      <c r="M253" s="59"/>
      <c r="N253" s="59"/>
      <c r="O253" s="59"/>
      <c r="P253" s="59"/>
      <c r="Q253" s="59"/>
      <c r="R253" s="59"/>
      <c r="S253" s="65"/>
      <c r="T253" s="65"/>
      <c r="U253" s="63"/>
      <c r="V253" s="60"/>
      <c r="W253" s="49"/>
      <c r="X253" s="4"/>
      <c r="Y253" s="1060"/>
      <c r="Z253" s="4"/>
      <c r="AA253" s="1063"/>
      <c r="AB253" s="1066" t="str">
        <f>Ceny_n!$B$185</f>
        <v>Dodat včetně uvedeného kování</v>
      </c>
      <c r="AC253" s="1067"/>
      <c r="AD253" s="268"/>
      <c r="AE253" s="213"/>
      <c r="AF253" s="106"/>
      <c r="AG253" s="4">
        <v>5</v>
      </c>
      <c r="AH253" s="4">
        <f>IF(AC242=ZAVESY,AG253,0)</f>
        <v>0</v>
      </c>
      <c r="AI253" s="62">
        <f>IF(AI242=1,$B$503,IF(AI242=2,$B$511,0))</f>
        <v>0</v>
      </c>
      <c r="AJ253" s="4"/>
      <c r="AK253" s="178" t="str">
        <f t="shared" si="29"/>
        <v/>
      </c>
      <c r="AL253" s="4">
        <v>11</v>
      </c>
      <c r="AM253" s="4">
        <f>IF(AC243=HETTICH,BB251,IF(AC243=BLUM,BC251,))</f>
        <v>0</v>
      </c>
      <c r="AN253" s="4" t="str">
        <f t="shared" si="31"/>
        <v/>
      </c>
      <c r="AO253" s="4" t="str">
        <f t="shared" si="32"/>
        <v xml:space="preserve"> (0)</v>
      </c>
      <c r="AP253" s="242">
        <v>0</v>
      </c>
      <c r="AQ253" s="238" t="str">
        <f t="shared" si="33"/>
        <v/>
      </c>
      <c r="AR253" s="4"/>
      <c r="AS253" s="4"/>
      <c r="AT253" s="4"/>
      <c r="AU253" s="4"/>
      <c r="AV253" s="4"/>
      <c r="AW253" s="4"/>
      <c r="AX253" s="4"/>
      <c r="AY253" s="4"/>
      <c r="AZ253" s="256"/>
      <c r="BA253" s="256"/>
      <c r="BB253" s="62" t="e">
        <v>#REF!</v>
      </c>
      <c r="BC253" s="228" t="e">
        <v>#REF!</v>
      </c>
      <c r="BD253" s="62" t="e">
        <v>#REF!</v>
      </c>
      <c r="BE253" s="178" t="e">
        <f t="shared" si="30"/>
        <v>#REF!</v>
      </c>
      <c r="BF253" s="62" t="e">
        <v>#REF!</v>
      </c>
      <c r="BG253" s="62" t="e">
        <v>#REF!</v>
      </c>
    </row>
    <row r="254" spans="2:59" s="178" customFormat="1" ht="15.6" x14ac:dyDescent="0.3">
      <c r="B254" s="97"/>
      <c r="C254" s="4"/>
      <c r="D254" s="49"/>
      <c r="E254" s="58"/>
      <c r="F254" s="59"/>
      <c r="G254" s="59"/>
      <c r="H254" s="59"/>
      <c r="I254" s="59"/>
      <c r="J254" s="59"/>
      <c r="K254" s="59"/>
      <c r="L254" s="59"/>
      <c r="M254" s="59"/>
      <c r="N254" s="59"/>
      <c r="O254" s="59"/>
      <c r="P254" s="59"/>
      <c r="Q254" s="59"/>
      <c r="R254" s="59"/>
      <c r="S254" s="59"/>
      <c r="T254" s="59"/>
      <c r="U254" s="59"/>
      <c r="V254" s="60"/>
      <c r="W254" s="49"/>
      <c r="X254" s="4"/>
      <c r="Y254" s="1060"/>
      <c r="Z254" s="4"/>
      <c r="AA254" s="1064"/>
      <c r="AB254" s="1068"/>
      <c r="AC254" s="1069"/>
      <c r="AD254" s="268"/>
      <c r="AE254" s="213"/>
      <c r="AF254" s="106"/>
      <c r="AG254" s="4"/>
      <c r="AH254" s="4"/>
      <c r="AI254" s="62">
        <f>IF(AI242=1,$B$504,IF(AI242=2,$B$513,0))</f>
        <v>0</v>
      </c>
      <c r="AJ254" s="4"/>
      <c r="AK254" s="4"/>
      <c r="AL254" s="4">
        <v>12</v>
      </c>
      <c r="AM254" s="4" t="str">
        <f>IF(AC243=HETTICH,BB252,IF(AC243=BLUM,BC252,""))</f>
        <v/>
      </c>
      <c r="AN254" s="4" t="str">
        <f t="shared" si="31"/>
        <v/>
      </c>
      <c r="AO254" s="4" t="str">
        <f t="shared" si="32"/>
        <v xml:space="preserve"> ()</v>
      </c>
      <c r="AP254" s="242">
        <v>0</v>
      </c>
      <c r="AQ254" s="238" t="str">
        <f t="shared" si="33"/>
        <v/>
      </c>
      <c r="AR254" s="4"/>
      <c r="AS254" s="4"/>
      <c r="AT254" s="4"/>
      <c r="AU254" s="4"/>
      <c r="AV254" s="4"/>
      <c r="AW254" s="4"/>
      <c r="AX254" s="4"/>
      <c r="AY254" s="4"/>
      <c r="AZ254" s="256"/>
      <c r="BA254" s="256"/>
      <c r="BB254" s="62" t="e">
        <v>#REF!</v>
      </c>
      <c r="BC254" s="228" t="e">
        <v>#REF!</v>
      </c>
      <c r="BD254" s="62" t="e">
        <v>#REF!</v>
      </c>
      <c r="BE254" s="178" t="e">
        <f t="shared" si="30"/>
        <v>#REF!</v>
      </c>
      <c r="BF254" s="62" t="e">
        <v>#REF!</v>
      </c>
      <c r="BG254" s="62" t="e">
        <v>#REF!</v>
      </c>
    </row>
    <row r="255" spans="2:59" s="178" customFormat="1" ht="3" customHeight="1" thickBot="1" x14ac:dyDescent="0.35">
      <c r="B255" s="97"/>
      <c r="C255" s="4"/>
      <c r="D255" s="49"/>
      <c r="E255" s="58"/>
      <c r="F255" s="59"/>
      <c r="G255" s="59"/>
      <c r="H255" s="59"/>
      <c r="I255" s="59"/>
      <c r="J255" s="59"/>
      <c r="K255" s="59"/>
      <c r="L255" s="59"/>
      <c r="M255" s="59"/>
      <c r="N255" s="59"/>
      <c r="O255" s="59"/>
      <c r="P255" s="59"/>
      <c r="Q255" s="59"/>
      <c r="R255" s="59"/>
      <c r="S255" s="59"/>
      <c r="T255" s="59"/>
      <c r="U255" s="1072"/>
      <c r="V255" s="60"/>
      <c r="W255" s="49"/>
      <c r="X255" s="4"/>
      <c r="Y255" s="1060"/>
      <c r="Z255" s="4"/>
      <c r="AA255" s="1064"/>
      <c r="AB255" s="1068"/>
      <c r="AC255" s="1069"/>
      <c r="AD255" s="268"/>
      <c r="AE255" s="213"/>
      <c r="AF255" s="106"/>
      <c r="AG255" s="4"/>
      <c r="AH255" s="4"/>
      <c r="AI255" s="66">
        <f>IF(AI242=1,$B$506,0)</f>
        <v>0</v>
      </c>
      <c r="AJ255" s="4"/>
      <c r="AK255" s="4"/>
      <c r="AL255" s="4">
        <v>13</v>
      </c>
      <c r="AM255" s="221"/>
      <c r="AN255" s="4" t="str">
        <f t="shared" si="31"/>
        <v/>
      </c>
      <c r="AO255" s="4" t="str">
        <f t="shared" si="32"/>
        <v xml:space="preserve"> ()</v>
      </c>
      <c r="AP255" s="242">
        <v>0</v>
      </c>
      <c r="AQ255" s="238" t="str">
        <f t="shared" si="33"/>
        <v/>
      </c>
      <c r="AR255" s="4"/>
      <c r="AS255" s="4"/>
      <c r="AT255" s="4"/>
      <c r="AU255" s="4"/>
      <c r="AV255" s="4"/>
      <c r="AW255" s="4"/>
      <c r="AX255" s="4"/>
      <c r="AY255" s="4"/>
      <c r="AZ255" s="256"/>
      <c r="BA255" s="256"/>
      <c r="BB255" s="62" t="e">
        <v>#REF!</v>
      </c>
      <c r="BC255" s="228" t="e">
        <v>#REF!</v>
      </c>
      <c r="BD255" s="62" t="e">
        <v>#REF!</v>
      </c>
      <c r="BE255" s="178" t="e">
        <f t="shared" si="30"/>
        <v>#REF!</v>
      </c>
      <c r="BF255" s="62" t="e">
        <v>#REF!</v>
      </c>
      <c r="BG255" s="62" t="e">
        <v>#REF!</v>
      </c>
    </row>
    <row r="256" spans="2:59" s="178" customFormat="1" ht="12.75" customHeight="1" x14ac:dyDescent="0.3">
      <c r="B256" s="97"/>
      <c r="C256" s="4"/>
      <c r="D256" s="49"/>
      <c r="E256" s="58"/>
      <c r="F256" s="59"/>
      <c r="G256" s="59"/>
      <c r="H256" s="59"/>
      <c r="I256" s="59"/>
      <c r="J256" s="59"/>
      <c r="K256" s="59"/>
      <c r="L256" s="59"/>
      <c r="M256" s="59"/>
      <c r="N256" s="59"/>
      <c r="O256" s="59"/>
      <c r="P256" s="59"/>
      <c r="Q256" s="59"/>
      <c r="R256" s="59"/>
      <c r="S256" s="59"/>
      <c r="T256" s="59"/>
      <c r="U256" s="1073"/>
      <c r="V256" s="60"/>
      <c r="W256" s="49"/>
      <c r="X256" s="4"/>
      <c r="Y256" s="1060"/>
      <c r="Z256" s="4"/>
      <c r="AA256" s="1065"/>
      <c r="AB256" s="1070"/>
      <c r="AC256" s="1071"/>
      <c r="AD256" s="268"/>
      <c r="AE256" s="213"/>
      <c r="AF256" s="106"/>
      <c r="AG256" s="4"/>
      <c r="AH256" s="4"/>
      <c r="AI256" s="61">
        <f>IF(AI242=2,$B$520,0)</f>
        <v>0</v>
      </c>
      <c r="AJ256" s="4"/>
      <c r="AK256" s="4"/>
      <c r="AL256" s="4">
        <v>14</v>
      </c>
      <c r="AM256" s="4"/>
      <c r="AN256" s="4" t="str">
        <f t="shared" si="31"/>
        <v/>
      </c>
      <c r="AO256" s="4" t="str">
        <f t="shared" si="32"/>
        <v xml:space="preserve"> ()</v>
      </c>
      <c r="AP256" s="242">
        <v>0</v>
      </c>
      <c r="AQ256" s="238" t="str">
        <f t="shared" si="33"/>
        <v/>
      </c>
      <c r="AR256" s="4"/>
      <c r="AS256" s="4"/>
      <c r="AT256" s="4"/>
      <c r="AU256" s="4"/>
      <c r="AV256" s="4"/>
      <c r="AW256" s="4"/>
      <c r="AX256" s="4"/>
      <c r="AY256" s="4"/>
      <c r="AZ256" s="256"/>
      <c r="BA256" s="256"/>
      <c r="BB256" s="62" t="e">
        <v>#REF!</v>
      </c>
      <c r="BC256" s="228" t="e">
        <v>#REF!</v>
      </c>
      <c r="BD256" s="62" t="e">
        <v>#REF!</v>
      </c>
      <c r="BE256" s="178" t="e">
        <f t="shared" si="30"/>
        <v>#REF!</v>
      </c>
      <c r="BF256" s="62" t="e">
        <v>#REF!</v>
      </c>
      <c r="BG256" s="62" t="e">
        <v>#REF!</v>
      </c>
    </row>
    <row r="257" spans="2:59" s="178" customFormat="1" ht="26.4" thickBot="1" x14ac:dyDescent="0.55000000000000004">
      <c r="B257" s="97"/>
      <c r="C257" s="4"/>
      <c r="D257" s="49"/>
      <c r="E257" s="58"/>
      <c r="F257" s="59"/>
      <c r="G257" s="59"/>
      <c r="H257" s="59"/>
      <c r="I257" s="59"/>
      <c r="J257" s="59"/>
      <c r="K257" s="59"/>
      <c r="L257" s="59"/>
      <c r="M257" s="59"/>
      <c r="N257" s="59"/>
      <c r="O257" s="59"/>
      <c r="P257" s="59"/>
      <c r="Q257" s="59"/>
      <c r="R257" s="44" t="s">
        <v>15</v>
      </c>
      <c r="S257" s="59"/>
      <c r="T257" s="59"/>
      <c r="U257" s="59"/>
      <c r="V257" s="60"/>
      <c r="W257" s="49"/>
      <c r="X257" s="4"/>
      <c r="Y257" s="1060"/>
      <c r="Z257" s="4"/>
      <c r="AA257" s="4"/>
      <c r="AB257" s="4"/>
      <c r="AC257" s="98"/>
      <c r="AD257" s="257"/>
      <c r="AE257" s="199"/>
      <c r="AF257" s="106"/>
      <c r="AG257" s="4"/>
      <c r="AH257" s="4"/>
      <c r="AI257" s="62">
        <f>IF(AI242=2,$B$521,0)</f>
        <v>0</v>
      </c>
      <c r="AJ257" s="4"/>
      <c r="AK257" s="4"/>
      <c r="AL257" s="4">
        <v>15</v>
      </c>
      <c r="AM257" s="4"/>
      <c r="AN257" s="4" t="str">
        <f t="shared" si="31"/>
        <v/>
      </c>
      <c r="AO257" s="4" t="str">
        <f t="shared" si="32"/>
        <v xml:space="preserve"> ()</v>
      </c>
      <c r="AP257" s="242">
        <v>0</v>
      </c>
      <c r="AQ257" s="238" t="str">
        <f t="shared" si="33"/>
        <v/>
      </c>
      <c r="AR257" s="4"/>
      <c r="AS257" s="4"/>
      <c r="AT257" s="4"/>
      <c r="AU257" s="4"/>
      <c r="AV257" s="4"/>
      <c r="AW257" s="4"/>
      <c r="AX257" s="4"/>
      <c r="AY257" s="4"/>
      <c r="AZ257" s="256"/>
      <c r="BA257" s="256"/>
      <c r="BB257" s="62" t="e">
        <v>#REF!</v>
      </c>
      <c r="BC257" s="228" t="e">
        <v>#REF!</v>
      </c>
      <c r="BD257" s="62" t="e">
        <v>#REF!</v>
      </c>
      <c r="BE257" s="178" t="e">
        <f t="shared" si="30"/>
        <v>#REF!</v>
      </c>
      <c r="BF257" s="66" t="e">
        <v>#REF!</v>
      </c>
      <c r="BG257" s="66" t="e">
        <v>#REF!</v>
      </c>
    </row>
    <row r="258" spans="2:59" s="178" customFormat="1" ht="5.25" customHeight="1" thickBot="1" x14ac:dyDescent="1.1499999999999999">
      <c r="B258" s="97"/>
      <c r="C258" s="4"/>
      <c r="D258" s="49"/>
      <c r="E258" s="58"/>
      <c r="F258" s="59"/>
      <c r="G258" s="59"/>
      <c r="H258" s="59"/>
      <c r="I258" s="59"/>
      <c r="J258" s="59"/>
      <c r="K258" s="59"/>
      <c r="L258" s="59"/>
      <c r="M258" s="59"/>
      <c r="N258" s="59"/>
      <c r="O258" s="59"/>
      <c r="P258" s="59"/>
      <c r="Q258" s="59"/>
      <c r="R258" s="44"/>
      <c r="S258" s="59"/>
      <c r="T258" s="59"/>
      <c r="U258" s="59"/>
      <c r="V258" s="60"/>
      <c r="W258" s="49"/>
      <c r="X258" s="4"/>
      <c r="Y258" s="1060"/>
      <c r="Z258" s="4"/>
      <c r="AA258" s="104"/>
      <c r="AB258" s="53"/>
      <c r="AC258" s="93"/>
      <c r="AD258" s="264"/>
      <c r="AE258" s="206"/>
      <c r="AF258" s="106"/>
      <c r="AG258" s="4"/>
      <c r="AH258" s="4"/>
      <c r="AI258" s="62">
        <f>IF(AI242=2,$B$522,0)</f>
        <v>0</v>
      </c>
      <c r="AJ258" s="4"/>
      <c r="AK258" s="4"/>
      <c r="AL258" s="4">
        <v>16</v>
      </c>
      <c r="AM258" s="4"/>
      <c r="AN258" s="4"/>
      <c r="AO258" s="4" t="str">
        <f t="shared" si="32"/>
        <v xml:space="preserve"> ()</v>
      </c>
      <c r="AP258" s="242">
        <v>0</v>
      </c>
      <c r="AQ258" s="238" t="str">
        <f t="shared" si="33"/>
        <v/>
      </c>
      <c r="AR258" s="4"/>
      <c r="AS258" s="4"/>
      <c r="AT258" s="4"/>
      <c r="AU258" s="4"/>
      <c r="AV258" s="4"/>
      <c r="AW258" s="4"/>
      <c r="AX258" s="4"/>
      <c r="AY258" s="4"/>
      <c r="AZ258" s="256"/>
      <c r="BA258" s="256"/>
      <c r="BB258" s="66" t="e">
        <v>#REF!</v>
      </c>
      <c r="BC258" s="229" t="e">
        <v>#REF!</v>
      </c>
      <c r="BD258" s="62" t="e">
        <v>#REF!</v>
      </c>
      <c r="BE258" s="178" t="e">
        <f t="shared" si="30"/>
        <v>#REF!</v>
      </c>
    </row>
    <row r="259" spans="2:59" s="178" customFormat="1" ht="8.25" customHeight="1" thickBot="1" x14ac:dyDescent="0.55000000000000004">
      <c r="B259" s="97"/>
      <c r="C259" s="4"/>
      <c r="D259" s="1074">
        <f>IF(AG270=2,1,0)</f>
        <v>0</v>
      </c>
      <c r="E259" s="58"/>
      <c r="F259" s="59"/>
      <c r="G259" s="59"/>
      <c r="H259" s="59"/>
      <c r="I259" s="59"/>
      <c r="J259" s="59"/>
      <c r="K259" s="59"/>
      <c r="L259" s="59"/>
      <c r="M259" s="59"/>
      <c r="N259" s="59"/>
      <c r="O259" s="59"/>
      <c r="P259" s="59"/>
      <c r="Q259" s="59"/>
      <c r="R259" s="44"/>
      <c r="S259" s="67"/>
      <c r="T259" s="67"/>
      <c r="U259" s="59"/>
      <c r="V259" s="60"/>
      <c r="W259" s="1074">
        <f>IF(AG270=1,1,0)</f>
        <v>0</v>
      </c>
      <c r="X259" s="4"/>
      <c r="Y259" s="68"/>
      <c r="Z259" s="4"/>
      <c r="AA259" s="53"/>
      <c r="AB259" s="53"/>
      <c r="AC259" s="93"/>
      <c r="AD259" s="264"/>
      <c r="AE259" s="206"/>
      <c r="AF259" s="106"/>
      <c r="AG259" s="4"/>
      <c r="AH259" s="4"/>
      <c r="AI259" s="66">
        <f>IF(AI242=2,$B$523,0)</f>
        <v>0</v>
      </c>
      <c r="AJ259" s="4"/>
      <c r="AK259" s="4"/>
      <c r="AL259" s="4">
        <v>17</v>
      </c>
      <c r="AM259" s="4"/>
      <c r="AN259" s="4"/>
      <c r="AO259" s="4" t="str">
        <f t="shared" si="32"/>
        <v xml:space="preserve"> ()</v>
      </c>
      <c r="AP259" s="242">
        <v>0</v>
      </c>
      <c r="AQ259" s="238" t="str">
        <f t="shared" si="33"/>
        <v/>
      </c>
      <c r="AR259" s="4"/>
      <c r="AS259" s="4"/>
      <c r="AT259" s="4"/>
      <c r="AU259" s="4"/>
      <c r="AV259" s="4"/>
      <c r="AW259" s="4"/>
      <c r="AX259" s="4"/>
      <c r="AY259" s="4"/>
      <c r="AZ259" s="256"/>
      <c r="BA259" s="256"/>
      <c r="BC259" s="137"/>
      <c r="BD259" s="62" t="e">
        <v>#REF!</v>
      </c>
      <c r="BE259" s="178" t="e">
        <f t="shared" si="30"/>
        <v>#REF!</v>
      </c>
    </row>
    <row r="260" spans="2:59" s="178" customFormat="1" ht="18" customHeight="1" x14ac:dyDescent="0.5">
      <c r="B260" s="97"/>
      <c r="C260" s="4"/>
      <c r="D260" s="1074" t="e">
        <f>IF(#REF!=$Y$41,1,0)</f>
        <v>#REF!</v>
      </c>
      <c r="E260" s="58"/>
      <c r="F260" s="59"/>
      <c r="G260" s="127"/>
      <c r="H260" s="59"/>
      <c r="I260" s="48"/>
      <c r="J260" s="48"/>
      <c r="K260" s="48"/>
      <c r="L260" s="1075"/>
      <c r="M260" s="1076"/>
      <c r="N260" s="1077"/>
      <c r="O260" s="59"/>
      <c r="P260" s="59"/>
      <c r="Q260" s="59"/>
      <c r="R260" s="44"/>
      <c r="S260" s="1078"/>
      <c r="T260" s="69"/>
      <c r="U260" s="67"/>
      <c r="V260" s="45"/>
      <c r="W260" s="1074" t="e">
        <f>IF(#REF!=$Y$41,1,0)</f>
        <v>#REF!</v>
      </c>
      <c r="X260" s="53"/>
      <c r="Y260" s="70"/>
      <c r="Z260" s="4"/>
      <c r="AA260" s="1101" t="str">
        <f>IF(OR(Y244&gt;2500,L268&gt;2500),MAX_ROZ_RAM,"")</f>
        <v/>
      </c>
      <c r="AB260" s="1101"/>
      <c r="AC260" s="1102"/>
      <c r="AD260" s="264"/>
      <c r="AE260" s="206"/>
      <c r="AF260" s="106"/>
      <c r="AG260" s="4"/>
      <c r="AH260" s="4"/>
      <c r="AI260" s="61">
        <f>IF(AI242=1,$B$530,IF(AI242=2,$B$531,0))</f>
        <v>0</v>
      </c>
      <c r="AJ260" s="4"/>
      <c r="AK260" s="4"/>
      <c r="AL260" s="4">
        <v>18</v>
      </c>
      <c r="AM260" s="4"/>
      <c r="AN260" s="4"/>
      <c r="AO260" s="4" t="str">
        <f t="shared" si="32"/>
        <v xml:space="preserve"> ()</v>
      </c>
      <c r="AP260" s="242">
        <v>0</v>
      </c>
      <c r="AQ260" s="238" t="str">
        <f t="shared" si="33"/>
        <v/>
      </c>
      <c r="AR260" s="4"/>
      <c r="AS260" s="4"/>
      <c r="AT260" s="4"/>
      <c r="AU260" s="4"/>
      <c r="AV260" s="4"/>
      <c r="AW260" s="4"/>
      <c r="AX260" s="4"/>
      <c r="AY260" s="4"/>
      <c r="AZ260" s="256"/>
      <c r="BA260" s="256"/>
      <c r="BC260" s="137"/>
      <c r="BD260" s="62" t="e">
        <v>#REF!</v>
      </c>
      <c r="BE260" s="178" t="e">
        <f t="shared" si="30"/>
        <v>#REF!</v>
      </c>
    </row>
    <row r="261" spans="2:59" s="178" customFormat="1" ht="6" customHeight="1" x14ac:dyDescent="0.5">
      <c r="B261" s="97"/>
      <c r="C261" s="4"/>
      <c r="D261" s="1081" t="str">
        <f>IF(D259=1,AC247,"")</f>
        <v/>
      </c>
      <c r="E261" s="58"/>
      <c r="F261" s="59"/>
      <c r="G261" s="71"/>
      <c r="H261" s="59"/>
      <c r="I261" s="48"/>
      <c r="J261" s="48"/>
      <c r="K261" s="48"/>
      <c r="L261" s="48"/>
      <c r="M261" s="71"/>
      <c r="N261" s="71"/>
      <c r="O261" s="59"/>
      <c r="P261" s="59"/>
      <c r="Q261" s="59"/>
      <c r="R261" s="44"/>
      <c r="S261" s="1079"/>
      <c r="T261" s="69"/>
      <c r="U261" s="67"/>
      <c r="V261" s="45"/>
      <c r="W261" s="1081" t="str">
        <f>IF(W259=1,AC247,"")</f>
        <v/>
      </c>
      <c r="X261" s="53"/>
      <c r="Y261" s="70"/>
      <c r="Z261" s="4"/>
      <c r="AA261" s="1101"/>
      <c r="AB261" s="1101"/>
      <c r="AC261" s="1102"/>
      <c r="AD261" s="264"/>
      <c r="AE261" s="206"/>
      <c r="AF261" s="106"/>
      <c r="AG261" s="4">
        <f>IF(AC252=$J$369,1,IF(AC252=$J$370,1,IF(AC252=$J$371,2,0)))</f>
        <v>0</v>
      </c>
      <c r="AH261" s="4"/>
      <c r="AI261" s="62">
        <f>IF(AI242=2,$B$532,0)</f>
        <v>0</v>
      </c>
      <c r="AJ261" s="4"/>
      <c r="AK261" s="4"/>
      <c r="AL261" s="4">
        <v>19</v>
      </c>
      <c r="AM261" s="4"/>
      <c r="AN261" s="4"/>
      <c r="AO261" s="4" t="str">
        <f t="shared" si="32"/>
        <v xml:space="preserve"> ()</v>
      </c>
      <c r="AP261" s="242">
        <v>0</v>
      </c>
      <c r="AQ261" s="238" t="str">
        <f t="shared" si="33"/>
        <v/>
      </c>
      <c r="AR261" s="4"/>
      <c r="AS261" s="4"/>
      <c r="AT261" s="4"/>
      <c r="AU261" s="4"/>
      <c r="AV261" s="4"/>
      <c r="AW261" s="4"/>
      <c r="AX261" s="4"/>
      <c r="AY261" s="4"/>
      <c r="AZ261" s="256"/>
      <c r="BA261" s="256"/>
      <c r="BC261" s="137"/>
      <c r="BD261" s="62" t="e">
        <v>#REF!</v>
      </c>
      <c r="BE261" s="178" t="e">
        <f t="shared" si="30"/>
        <v>#REF!</v>
      </c>
    </row>
    <row r="262" spans="2:59" s="178" customFormat="1" ht="22.5" customHeight="1" x14ac:dyDescent="0.5">
      <c r="B262" s="97"/>
      <c r="C262" s="4"/>
      <c r="D262" s="1081"/>
      <c r="E262" s="58"/>
      <c r="F262" s="59"/>
      <c r="G262" s="59"/>
      <c r="H262" s="59"/>
      <c r="I262" s="44" t="s">
        <v>15</v>
      </c>
      <c r="J262" s="48"/>
      <c r="K262" s="48"/>
      <c r="L262" s="48"/>
      <c r="M262" s="48"/>
      <c r="N262" s="48"/>
      <c r="O262" s="59"/>
      <c r="P262" s="44" t="s">
        <v>15</v>
      </c>
      <c r="Q262" s="48"/>
      <c r="R262" s="44"/>
      <c r="S262" s="1080"/>
      <c r="T262" s="69"/>
      <c r="U262" s="44"/>
      <c r="V262" s="60"/>
      <c r="W262" s="1081"/>
      <c r="X262" s="53"/>
      <c r="Y262" s="70"/>
      <c r="Z262" s="4"/>
      <c r="AA262" s="1101"/>
      <c r="AB262" s="1101"/>
      <c r="AC262" s="1102"/>
      <c r="AD262" s="264"/>
      <c r="AE262" s="206"/>
      <c r="AF262" s="106"/>
      <c r="AG262" s="4">
        <f>IF(AC251=0,0,VPRAVO)</f>
        <v>0</v>
      </c>
      <c r="AH262" s="4"/>
      <c r="AI262" s="62">
        <f>IF(AI242=2,$B$533,0)</f>
        <v>0</v>
      </c>
      <c r="AJ262" s="4"/>
      <c r="AK262" s="4"/>
      <c r="AL262" s="4">
        <v>20</v>
      </c>
      <c r="AM262" s="4"/>
      <c r="AN262" s="4"/>
      <c r="AO262" s="4" t="str">
        <f t="shared" si="32"/>
        <v xml:space="preserve"> ()</v>
      </c>
      <c r="AP262" s="242">
        <v>0</v>
      </c>
      <c r="AQ262" s="238" t="str">
        <f t="shared" si="33"/>
        <v/>
      </c>
      <c r="AR262" s="4"/>
      <c r="AS262" s="4"/>
      <c r="AT262" s="4"/>
      <c r="AU262" s="4"/>
      <c r="AV262" s="4"/>
      <c r="AW262" s="4"/>
      <c r="AX262" s="4"/>
      <c r="AY262" s="4"/>
      <c r="AZ262" s="256"/>
      <c r="BA262" s="256"/>
      <c r="BC262" s="137"/>
      <c r="BD262" s="62" t="e">
        <v>#REF!</v>
      </c>
      <c r="BE262" s="178" t="e">
        <f t="shared" si="30"/>
        <v>#REF!</v>
      </c>
    </row>
    <row r="263" spans="2:59" s="178" customFormat="1" ht="26.4" thickBot="1" x14ac:dyDescent="0.55000000000000004">
      <c r="B263" s="97"/>
      <c r="C263" s="4"/>
      <c r="D263" s="1081"/>
      <c r="E263" s="58"/>
      <c r="F263" s="59"/>
      <c r="G263" s="59"/>
      <c r="H263" s="59"/>
      <c r="I263" s="48"/>
      <c r="J263" s="1082"/>
      <c r="K263" s="48"/>
      <c r="L263" s="48"/>
      <c r="M263" s="48"/>
      <c r="N263" s="48"/>
      <c r="O263" s="59"/>
      <c r="P263" s="48"/>
      <c r="Q263" s="48"/>
      <c r="R263" s="59"/>
      <c r="S263" s="72"/>
      <c r="T263" s="72"/>
      <c r="U263" s="63"/>
      <c r="V263" s="60"/>
      <c r="W263" s="1081"/>
      <c r="X263" s="53"/>
      <c r="Y263" s="5"/>
      <c r="Z263" s="4"/>
      <c r="AA263" s="1101" t="str">
        <f>IF(AC247=0,"",IF(AND(OR(AC239="Palio (elox.)",AC239="Siena (elox.)"),AC247&lt;80),MIN_POZ_ZAVES_80,IF(AC247&lt;70,MIN_POZ_ZAVES,"")))</f>
        <v/>
      </c>
      <c r="AB263" s="1101"/>
      <c r="AC263" s="1102"/>
      <c r="AD263" s="257"/>
      <c r="AE263" s="199"/>
      <c r="AF263" s="106"/>
      <c r="AG263" s="4">
        <f>IF(AC251=0,0,VLEVO)</f>
        <v>0</v>
      </c>
      <c r="AH263" s="4"/>
      <c r="AI263" s="66">
        <f>IF(AI242=2,$B$534,0)</f>
        <v>0</v>
      </c>
      <c r="AJ263" s="4"/>
      <c r="AK263" s="4"/>
      <c r="AL263" s="4">
        <v>21</v>
      </c>
      <c r="AM263" s="4"/>
      <c r="AN263" s="4"/>
      <c r="AO263" s="4" t="str">
        <f t="shared" si="32"/>
        <v xml:space="preserve"> ()</v>
      </c>
      <c r="AP263" s="242">
        <v>0</v>
      </c>
      <c r="AQ263" s="238" t="str">
        <f t="shared" si="33"/>
        <v/>
      </c>
      <c r="AR263" s="4"/>
      <c r="AS263" s="4"/>
      <c r="AT263" s="4"/>
      <c r="AU263" s="4"/>
      <c r="AV263" s="4"/>
      <c r="AW263" s="4"/>
      <c r="AX263" s="4"/>
      <c r="AY263" s="4"/>
      <c r="AZ263" s="256"/>
      <c r="BA263" s="256"/>
      <c r="BC263" s="137"/>
      <c r="BD263" s="62" t="e">
        <v>#REF!</v>
      </c>
      <c r="BE263" s="178" t="e">
        <f t="shared" si="30"/>
        <v>#REF!</v>
      </c>
    </row>
    <row r="264" spans="2:59" s="178" customFormat="1" ht="25.8" x14ac:dyDescent="0.5">
      <c r="B264" s="97"/>
      <c r="C264" s="4"/>
      <c r="D264" s="1081"/>
      <c r="E264" s="58"/>
      <c r="F264" s="59"/>
      <c r="G264" s="59"/>
      <c r="H264" s="59"/>
      <c r="I264" s="48"/>
      <c r="J264" s="1083"/>
      <c r="K264" s="48"/>
      <c r="L264" s="48"/>
      <c r="M264" s="48"/>
      <c r="N264" s="48"/>
      <c r="O264" s="59"/>
      <c r="P264" s="48"/>
      <c r="Q264" s="48"/>
      <c r="R264" s="59"/>
      <c r="S264" s="73"/>
      <c r="T264" s="73"/>
      <c r="U264" s="63"/>
      <c r="V264" s="60"/>
      <c r="W264" s="1081"/>
      <c r="X264" s="53"/>
      <c r="Y264" s="4"/>
      <c r="Z264" s="4"/>
      <c r="AA264" s="4"/>
      <c r="AB264" s="4"/>
      <c r="AC264" s="98"/>
      <c r="AD264" s="257"/>
      <c r="AE264" s="199"/>
      <c r="AF264" s="106"/>
      <c r="AG264" s="4">
        <f>IF(AC251=0,0,OBE_STRANY)</f>
        <v>0</v>
      </c>
      <c r="AH264" s="4"/>
      <c r="AI264" s="4"/>
      <c r="AJ264" s="4">
        <f>IF(AC251=0,0,VLOOKUP(AC251,AI265:AJ278,2,0))</f>
        <v>0</v>
      </c>
      <c r="AK264" s="4"/>
      <c r="AL264" s="4">
        <v>22</v>
      </c>
      <c r="AM264" s="4"/>
      <c r="AN264" s="4"/>
      <c r="AO264" s="4" t="str">
        <f t="shared" si="32"/>
        <v xml:space="preserve"> ()</v>
      </c>
      <c r="AP264" s="242">
        <v>0</v>
      </c>
      <c r="AQ264" s="238" t="str">
        <f t="shared" si="33"/>
        <v/>
      </c>
      <c r="AR264" s="4"/>
      <c r="AS264" s="4"/>
      <c r="AT264" s="4"/>
      <c r="AU264" s="4"/>
      <c r="AV264" s="4"/>
      <c r="AW264" s="4"/>
      <c r="AX264" s="4"/>
      <c r="AY264" s="4"/>
      <c r="AZ264" s="256"/>
      <c r="BA264" s="256"/>
      <c r="BB264" s="4"/>
      <c r="BD264" s="62" t="e">
        <v>#REF!</v>
      </c>
      <c r="BE264" s="178" t="e">
        <f t="shared" si="30"/>
        <v>#REF!</v>
      </c>
    </row>
    <row r="265" spans="2:59" s="178" customFormat="1" ht="15.75" customHeight="1" thickBot="1" x14ac:dyDescent="0.55000000000000004">
      <c r="B265" s="97"/>
      <c r="C265" s="4"/>
      <c r="D265" s="1081"/>
      <c r="E265" s="74"/>
      <c r="F265" s="75"/>
      <c r="G265" s="75"/>
      <c r="H265" s="75"/>
      <c r="I265" s="47"/>
      <c r="J265" s="47"/>
      <c r="K265" s="47"/>
      <c r="L265" s="47"/>
      <c r="M265" s="47"/>
      <c r="N265" s="47"/>
      <c r="O265" s="75"/>
      <c r="P265" s="47"/>
      <c r="Q265" s="47"/>
      <c r="R265" s="75"/>
      <c r="S265" s="75"/>
      <c r="T265" s="75"/>
      <c r="U265" s="75"/>
      <c r="V265" s="76"/>
      <c r="W265" s="1081"/>
      <c r="X265" s="53"/>
      <c r="Y265" s="4"/>
      <c r="Z265" s="4"/>
      <c r="AA265" s="4"/>
      <c r="AB265" s="4"/>
      <c r="AC265" s="98"/>
      <c r="AD265" s="257"/>
      <c r="AE265" s="199"/>
      <c r="AF265" s="106"/>
      <c r="AG265" s="4"/>
      <c r="AH265" s="4">
        <f>IF(AA251=Ceny_n!$B$184,IF(AI242=1,Ceny!$F$919,IF(AI242=2,Ceny!$G$919,0)),0)</f>
        <v>0</v>
      </c>
      <c r="AI265" s="4">
        <f>IF(AG270=3,AH265,AH284)</f>
        <v>0</v>
      </c>
      <c r="AJ265" s="4">
        <f>IF(AC242=ZAVESY,Ceny!$E$948,0)</f>
        <v>0</v>
      </c>
      <c r="AK265" s="4"/>
      <c r="AL265" s="4">
        <v>22</v>
      </c>
      <c r="AM265" s="4"/>
      <c r="AN265" s="4"/>
      <c r="AO265" s="4" t="str">
        <f t="shared" si="32"/>
        <v xml:space="preserve"> ()</v>
      </c>
      <c r="AP265" s="242">
        <v>0</v>
      </c>
      <c r="AQ265" s="238" t="str">
        <f t="shared" si="33"/>
        <v/>
      </c>
      <c r="AR265" s="4"/>
      <c r="AS265" s="4" t="e">
        <f>VLOOKUP(AL265,Ceny!$B$963:$E$970,4,0)</f>
        <v>#N/A</v>
      </c>
      <c r="AT265" s="4"/>
      <c r="AU265" s="4"/>
      <c r="AV265" s="4"/>
      <c r="AW265" s="4"/>
      <c r="AX265" s="4"/>
      <c r="AY265" s="4" t="e">
        <f t="shared" ref="AY265:AY279" si="35">AJ265+AS265+AT265+AU265+AW265</f>
        <v>#N/A</v>
      </c>
      <c r="AZ265" s="256"/>
      <c r="BA265" s="256"/>
      <c r="BB265" s="4"/>
      <c r="BD265" s="62" t="e">
        <v>#REF!</v>
      </c>
      <c r="BE265" s="178" t="e">
        <f t="shared" si="30"/>
        <v>#REF!</v>
      </c>
    </row>
    <row r="266" spans="2:59" s="178" customFormat="1" ht="18.600000000000001" thickBot="1" x14ac:dyDescent="0.4">
      <c r="B266" s="97"/>
      <c r="C266" s="4"/>
      <c r="D266" s="1036" t="str">
        <f>IF(H266=1,AC247,"")</f>
        <v/>
      </c>
      <c r="E266" s="1037"/>
      <c r="F266" s="1037"/>
      <c r="G266" s="1037"/>
      <c r="H266" s="51">
        <f>IF(AG270=4,1,0)</f>
        <v>0</v>
      </c>
      <c r="I266" s="51"/>
      <c r="J266" s="51"/>
      <c r="K266" s="51" t="b">
        <f>IF(AG270=4,IF(AC246=4,1,0))</f>
        <v>0</v>
      </c>
      <c r="L266" s="51"/>
      <c r="M266" s="51" t="b">
        <f>IF(AG270=4,IF(AC246=3,1,0))</f>
        <v>0</v>
      </c>
      <c r="N266" s="51"/>
      <c r="O266" s="51" t="b">
        <f>IF(AG270=4,IF(AC246=4,1,0))</f>
        <v>0</v>
      </c>
      <c r="P266" s="51"/>
      <c r="Q266" s="51"/>
      <c r="R266" s="51">
        <f>IF(AG270=4,1,0)</f>
        <v>0</v>
      </c>
      <c r="S266" s="1038" t="str">
        <f>IF(R266=1,AC247,"")</f>
        <v/>
      </c>
      <c r="T266" s="1038"/>
      <c r="U266" s="1038"/>
      <c r="V266" s="1038"/>
      <c r="W266" s="1039"/>
      <c r="X266" s="53"/>
      <c r="Y266" s="54"/>
      <c r="Z266" s="195" t="str">
        <f>IF(OR(AC239=Ceny_n!$B$18,AC239=Ceny_n!$B$19,AC239=Ceny_n!$B$20),Ceny!$B$498,"")</f>
        <v/>
      </c>
      <c r="AA266" s="4"/>
      <c r="AB266" s="4"/>
      <c r="AC266" s="98"/>
      <c r="AD266" s="257"/>
      <c r="AE266" s="199"/>
      <c r="AF266" s="106"/>
      <c r="AG266" s="4">
        <f>IF(AC242=ZAVESY,VPRAVO,0)</f>
        <v>0</v>
      </c>
      <c r="AH266" s="4">
        <f>IF(AA251=Ceny_n!$B$184,IF(AI242=1,Ceny!$F$920,IF(AI242=2,Ceny!$G$920,0)),0)</f>
        <v>0</v>
      </c>
      <c r="AI266" s="4">
        <f>IF(AG270=3,AH266,AH285)</f>
        <v>0</v>
      </c>
      <c r="AJ266" s="4">
        <f>IF(AC242=ZAVESY,Ceny!$E$949,0)</f>
        <v>0</v>
      </c>
      <c r="AK266" s="4"/>
      <c r="AL266" s="4">
        <v>22</v>
      </c>
      <c r="AM266" s="4"/>
      <c r="AN266" s="4"/>
      <c r="AO266" s="4" t="str">
        <f t="shared" si="32"/>
        <v xml:space="preserve"> ()</v>
      </c>
      <c r="AP266" s="242">
        <v>0</v>
      </c>
      <c r="AQ266" s="238" t="str">
        <f t="shared" si="33"/>
        <v/>
      </c>
      <c r="AR266" s="4"/>
      <c r="AS266" s="4" t="e">
        <f>VLOOKUP(AL266,Ceny!$B$963:$E$970,4,0)</f>
        <v>#N/A</v>
      </c>
      <c r="AT266" s="4"/>
      <c r="AU266" s="4"/>
      <c r="AV266" s="4"/>
      <c r="AW266" s="4"/>
      <c r="AX266" s="4"/>
      <c r="AY266" s="4" t="e">
        <f t="shared" si="35"/>
        <v>#N/A</v>
      </c>
      <c r="AZ266" s="256"/>
      <c r="BA266" s="256"/>
      <c r="BB266" s="4"/>
      <c r="BD266" s="62" t="e">
        <v>#REF!</v>
      </c>
      <c r="BE266" s="178" t="e">
        <f t="shared" si="30"/>
        <v>#REF!</v>
      </c>
    </row>
    <row r="267" spans="2:59" s="178" customFormat="1" ht="6" customHeight="1" x14ac:dyDescent="0.3">
      <c r="B267" s="97"/>
      <c r="C267" s="4"/>
      <c r="D267" s="53"/>
      <c r="E267" s="53"/>
      <c r="F267" s="53"/>
      <c r="G267" s="53"/>
      <c r="H267" s="53"/>
      <c r="I267" s="4"/>
      <c r="J267" s="4"/>
      <c r="K267" s="4"/>
      <c r="L267" s="4"/>
      <c r="M267" s="4"/>
      <c r="N267" s="4"/>
      <c r="O267" s="4"/>
      <c r="P267" s="4"/>
      <c r="Q267" s="4"/>
      <c r="R267" s="53"/>
      <c r="S267" s="53"/>
      <c r="T267" s="53"/>
      <c r="U267" s="53"/>
      <c r="V267" s="53"/>
      <c r="W267" s="53"/>
      <c r="X267" s="4"/>
      <c r="Y267" s="4"/>
      <c r="Z267" s="4"/>
      <c r="AA267" s="4"/>
      <c r="AB267" s="4"/>
      <c r="AC267" s="98"/>
      <c r="AD267" s="257"/>
      <c r="AE267" s="199"/>
      <c r="AF267" s="106"/>
      <c r="AG267" s="4">
        <f>IF(AC242=ZAVESY,VLEVO,0)</f>
        <v>0</v>
      </c>
      <c r="AH267" s="4">
        <f>IF(AA251=Ceny_n!$B$184,IF(AI242=1,Ceny!$F$921,IF(AI242=2,Ceny!$G$921,0)),0)</f>
        <v>0</v>
      </c>
      <c r="AI267" s="4">
        <f>IF(AG270=3,AH267,AH286)</f>
        <v>0</v>
      </c>
      <c r="AJ267" s="4">
        <f>IF(AC242=ZAVESY,Ceny!$E$950,0)</f>
        <v>0</v>
      </c>
      <c r="AK267" s="4"/>
      <c r="AL267" s="4">
        <v>22</v>
      </c>
      <c r="AM267" s="4"/>
      <c r="AN267" s="4"/>
      <c r="AO267" s="4" t="str">
        <f t="shared" si="32"/>
        <v xml:space="preserve"> ()</v>
      </c>
      <c r="AP267" s="242">
        <v>0</v>
      </c>
      <c r="AQ267" s="238" t="str">
        <f t="shared" si="33"/>
        <v/>
      </c>
      <c r="AR267" s="4"/>
      <c r="AS267" s="4" t="e">
        <f>VLOOKUP(AL267,Ceny!$B$963:$E$970,4,0)</f>
        <v>#N/A</v>
      </c>
      <c r="AT267" s="4"/>
      <c r="AU267" s="4"/>
      <c r="AV267" s="4"/>
      <c r="AW267" s="4"/>
      <c r="AX267" s="4"/>
      <c r="AY267" s="4" t="e">
        <f t="shared" si="35"/>
        <v>#N/A</v>
      </c>
      <c r="AZ267" s="256"/>
      <c r="BA267" s="256"/>
      <c r="BB267" s="4"/>
      <c r="BD267" s="62" t="e">
        <v>#REF!</v>
      </c>
      <c r="BE267" s="178" t="e">
        <f t="shared" si="30"/>
        <v>#REF!</v>
      </c>
    </row>
    <row r="268" spans="2:59" s="178" customFormat="1" ht="20.25" customHeight="1" thickBot="1" x14ac:dyDescent="0.4">
      <c r="B268" s="97"/>
      <c r="C268" s="4"/>
      <c r="D268" s="54"/>
      <c r="E268" s="54"/>
      <c r="F268" s="54"/>
      <c r="G268" s="54"/>
      <c r="H268" s="4"/>
      <c r="I268" s="1040" t="str">
        <f>Ceny_n!$B$135</f>
        <v xml:space="preserve">Šířka </v>
      </c>
      <c r="J268" s="1041"/>
      <c r="K268" s="1041"/>
      <c r="L268" s="1042"/>
      <c r="M268" s="1042"/>
      <c r="N268" s="1042"/>
      <c r="O268" s="1042"/>
      <c r="P268" s="1042"/>
      <c r="Q268" s="1043"/>
      <c r="R268" s="54"/>
      <c r="S268" s="54"/>
      <c r="T268" s="54"/>
      <c r="U268" s="54"/>
      <c r="V268" s="54"/>
      <c r="W268" s="54"/>
      <c r="X268" s="4"/>
      <c r="Y268" s="4"/>
      <c r="Z268" s="195" t="str">
        <f>IF(L268&gt;1500,Ceny!$B$290,IF(Y244&gt;1500,Ceny!$B$290,""))</f>
        <v/>
      </c>
      <c r="AA268" s="4"/>
      <c r="AB268" s="4"/>
      <c r="AC268" s="98"/>
      <c r="AD268" s="257"/>
      <c r="AE268" s="199"/>
      <c r="AF268" s="106"/>
      <c r="AG268" s="4">
        <f>IF(AC242=ZAVESY,NAHORE,0)</f>
        <v>0</v>
      </c>
      <c r="AH268" s="4">
        <f>IF(AA251=Ceny_n!$B$184,IF(AI242=1,Ceny!$F$922,IF(AI242=2,Ceny!$G$922,0)),0)</f>
        <v>0</v>
      </c>
      <c r="AI268" s="4">
        <f>IF(AG270=3,AH268,AH287)</f>
        <v>0</v>
      </c>
      <c r="AJ268" s="4">
        <f>IF(AC242=ZAVESY,Ceny!$E$951,0)</f>
        <v>0</v>
      </c>
      <c r="AK268" s="4"/>
      <c r="AL268" s="4">
        <v>22</v>
      </c>
      <c r="AM268" s="4"/>
      <c r="AN268" s="4"/>
      <c r="AO268" s="4" t="str">
        <f t="shared" si="32"/>
        <v xml:space="preserve"> ()</v>
      </c>
      <c r="AP268" s="243">
        <v>0</v>
      </c>
      <c r="AQ268" s="240" t="str">
        <f t="shared" si="33"/>
        <v/>
      </c>
      <c r="AR268" s="4"/>
      <c r="AS268" s="4" t="e">
        <f>VLOOKUP(AL268,Ceny!$B$963:$E$970,4,0)</f>
        <v>#N/A</v>
      </c>
      <c r="AT268" s="4"/>
      <c r="AU268" s="4"/>
      <c r="AV268" s="4"/>
      <c r="AW268" s="4"/>
      <c r="AX268" s="4"/>
      <c r="AY268" s="4" t="e">
        <f t="shared" si="35"/>
        <v>#N/A</v>
      </c>
      <c r="AZ268" s="256"/>
      <c r="BA268" s="256"/>
      <c r="BD268" s="62" t="e">
        <v>#REF!</v>
      </c>
      <c r="BE268" s="178" t="e">
        <f t="shared" si="30"/>
        <v>#REF!</v>
      </c>
    </row>
    <row r="269" spans="2:59" s="178" customFormat="1" ht="17.25" customHeight="1" x14ac:dyDescent="0.35">
      <c r="B269" s="97"/>
      <c r="C269" s="4"/>
      <c r="D269" s="54"/>
      <c r="E269" s="54"/>
      <c r="F269" s="54"/>
      <c r="G269" s="54"/>
      <c r="H269" s="77"/>
      <c r="I269" s="77"/>
      <c r="J269" s="77"/>
      <c r="K269" s="78"/>
      <c r="L269" s="78"/>
      <c r="M269" s="79"/>
      <c r="N269" s="79"/>
      <c r="O269" s="79"/>
      <c r="P269" s="79"/>
      <c r="Q269" s="79"/>
      <c r="R269" s="54"/>
      <c r="S269" s="54"/>
      <c r="T269" s="54"/>
      <c r="U269" s="54"/>
      <c r="V269" s="54"/>
      <c r="W269" s="54"/>
      <c r="X269" s="4"/>
      <c r="Y269" s="4"/>
      <c r="Z269" s="1044" t="str">
        <f>Ceny_n!$B$138</f>
        <v>Cena rámečků celkem</v>
      </c>
      <c r="AA269" s="1045"/>
      <c r="AB269" s="1045"/>
      <c r="AC269" s="1048">
        <f>IF(AC239=$B$347,0,(AI239+AM239+AN239+AS239)-((AI239+AM239+AN239+AS239)*$AC$14))</f>
        <v>0</v>
      </c>
      <c r="AD269" s="269"/>
      <c r="AE269" s="214"/>
      <c r="AF269" s="106"/>
      <c r="AG269" s="4">
        <f>IF(AC242=ZAVESY,DOLE,0)</f>
        <v>0</v>
      </c>
      <c r="AH269" s="4">
        <f>IF(AA251=Ceny_n!$B$184,IF(AI242=1,Ceny!$F$923,IF(AI242=2,Ceny!$G$923,0)),0)</f>
        <v>0</v>
      </c>
      <c r="AI269" s="4">
        <f>IF(AG270=3,AH269,AH288)</f>
        <v>0</v>
      </c>
      <c r="AJ269" s="4">
        <f>IF(AC242=ZAVESY,Ceny!$E$952,0)</f>
        <v>0</v>
      </c>
      <c r="AK269" s="4"/>
      <c r="AL269" s="4">
        <f>IF(AI242=1,Ceny!$B$964,0)</f>
        <v>0</v>
      </c>
      <c r="AM269" s="4">
        <v>0</v>
      </c>
      <c r="AN269" s="4">
        <v>0</v>
      </c>
      <c r="AO269" s="4"/>
      <c r="AP269" s="4">
        <v>0</v>
      </c>
      <c r="AQ269" s="4"/>
      <c r="AR269" s="4"/>
      <c r="AS269" s="4">
        <f>VLOOKUP(AL269,Ceny!$B$963:$E$970,4,0)</f>
        <v>0</v>
      </c>
      <c r="AT269" s="4"/>
      <c r="AU269" s="4"/>
      <c r="AV269" s="4"/>
      <c r="AW269" s="4"/>
      <c r="AX269" s="4"/>
      <c r="AY269" s="4">
        <f t="shared" si="35"/>
        <v>0</v>
      </c>
      <c r="AZ269" s="256"/>
      <c r="BA269" s="256"/>
      <c r="BD269" s="62" t="e">
        <v>#REF!</v>
      </c>
      <c r="BE269" s="178" t="e">
        <f t="shared" si="30"/>
        <v>#REF!</v>
      </c>
    </row>
    <row r="270" spans="2:59" s="178" customFormat="1" ht="17.25" customHeight="1" x14ac:dyDescent="0.35">
      <c r="B270" s="97"/>
      <c r="C270" s="4"/>
      <c r="D270" s="54"/>
      <c r="E270" s="54"/>
      <c r="F270" s="54"/>
      <c r="G270" s="54"/>
      <c r="H270" s="77"/>
      <c r="I270" s="77"/>
      <c r="J270" s="77"/>
      <c r="K270" s="78"/>
      <c r="L270" s="78"/>
      <c r="M270" s="79"/>
      <c r="N270" s="79"/>
      <c r="O270" s="79"/>
      <c r="P270" s="79"/>
      <c r="Q270" s="79"/>
      <c r="R270" s="54"/>
      <c r="S270" s="54"/>
      <c r="T270" s="54"/>
      <c r="U270" s="54"/>
      <c r="V270" s="54"/>
      <c r="W270" s="54"/>
      <c r="X270" s="4"/>
      <c r="Y270" s="4"/>
      <c r="Z270" s="1046"/>
      <c r="AA270" s="1047"/>
      <c r="AB270" s="1047"/>
      <c r="AC270" s="1049"/>
      <c r="AD270" s="269"/>
      <c r="AE270" s="214"/>
      <c r="AF270" s="106"/>
      <c r="AG270" s="4">
        <f>IF(AC250=VPRAVO,1,IF('Běžné rámečky'!AC250=VLEVO,2,IF('Běžné rámečky'!AC250=NAHORE,3,IF('Běžné rámečky'!AC250=DOLE,4,0))))</f>
        <v>0</v>
      </c>
      <c r="AH270" s="4">
        <f>IF(AA251=Ceny_n!$B$184,IF(AI242=1,Ceny!$F$924,IF(AI242=2,Ceny!$G$924,0)),0)</f>
        <v>0</v>
      </c>
      <c r="AI270" s="4" t="str">
        <f>IF(AG270=3,AH270,AH289)</f>
        <v xml:space="preserve"> </v>
      </c>
      <c r="AJ270" s="4">
        <f>IF(AC242=ZAVESY,Ceny!$E$953,0)</f>
        <v>0</v>
      </c>
      <c r="AK270" s="4"/>
      <c r="AL270" s="80">
        <f>Ceny_n!$B$965</f>
        <v>15585</v>
      </c>
      <c r="AM270" s="4">
        <v>0</v>
      </c>
      <c r="AN270" s="4">
        <v>0</v>
      </c>
      <c r="AO270" s="4"/>
      <c r="AP270" s="4">
        <v>0</v>
      </c>
      <c r="AQ270" s="4"/>
      <c r="AR270" s="4"/>
      <c r="AS270" s="4">
        <f>VLOOKUP(AL270,Ceny!$B$963:$E$970,4,0)</f>
        <v>3.1249699999999998</v>
      </c>
      <c r="AT270" s="4"/>
      <c r="AU270" s="4"/>
      <c r="AV270" s="4"/>
      <c r="AW270" s="4"/>
      <c r="AX270" s="4"/>
      <c r="AY270" s="4">
        <f t="shared" si="35"/>
        <v>3.1249699999999998</v>
      </c>
      <c r="AZ270" s="256"/>
      <c r="BA270" s="256"/>
      <c r="BD270" s="62" t="e">
        <v>#REF!</v>
      </c>
      <c r="BE270" s="178" t="e">
        <f t="shared" si="30"/>
        <v>#REF!</v>
      </c>
    </row>
    <row r="271" spans="2:59" s="178" customFormat="1" ht="13.5" customHeight="1" x14ac:dyDescent="0.35">
      <c r="B271" s="97"/>
      <c r="C271" s="4"/>
      <c r="D271" s="54"/>
      <c r="E271" s="54"/>
      <c r="F271" s="54"/>
      <c r="G271" s="54"/>
      <c r="H271" s="77"/>
      <c r="I271" s="77"/>
      <c r="J271" s="77"/>
      <c r="K271" s="78"/>
      <c r="L271" s="78"/>
      <c r="M271" s="79"/>
      <c r="N271" s="79"/>
      <c r="O271" s="79"/>
      <c r="P271" s="79"/>
      <c r="Q271" s="79"/>
      <c r="R271" s="54"/>
      <c r="S271" s="54"/>
      <c r="T271" s="54"/>
      <c r="U271" s="54"/>
      <c r="V271" s="54"/>
      <c r="W271" s="54"/>
      <c r="X271" s="4"/>
      <c r="Y271" s="4"/>
      <c r="Z271" s="1050" t="str">
        <f>Ceny_n!$B$140</f>
        <v>Cena za kompletní objednávku</v>
      </c>
      <c r="AA271" s="1051"/>
      <c r="AB271" s="1051"/>
      <c r="AC271" s="1054" t="e">
        <f>SUM($AC$53,$AC$107,$AC$161,$AC$215,$AC$269,$AC$323)</f>
        <v>#REF!</v>
      </c>
      <c r="AD271" s="269"/>
      <c r="AE271" s="214"/>
      <c r="AF271" s="106"/>
      <c r="AG271" s="4"/>
      <c r="AH271" s="4">
        <f>IF(AA251=Ceny_n!$B$184,IF(AI242=1,Ceny!$F$925,IF(AI242=2,Ceny!$G$925,0)),0)</f>
        <v>0</v>
      </c>
      <c r="AI271" s="4" t="str">
        <f>IF(AG270=3,AH271,AH289)</f>
        <v xml:space="preserve"> </v>
      </c>
      <c r="AJ271" s="4">
        <f>IF(AC242=ZAVESY,Ceny!$E$954,0)</f>
        <v>0</v>
      </c>
      <c r="AK271" s="4"/>
      <c r="AL271" s="80">
        <f>Ceny_n!$B$965</f>
        <v>15585</v>
      </c>
      <c r="AM271" s="4">
        <v>0</v>
      </c>
      <c r="AN271" s="4">
        <v>0</v>
      </c>
      <c r="AO271" s="4"/>
      <c r="AP271" s="4">
        <v>0</v>
      </c>
      <c r="AQ271" s="4"/>
      <c r="AR271" s="4"/>
      <c r="AS271" s="4">
        <f>VLOOKUP(AL271,Ceny!$B$963:$E$970,4,0)</f>
        <v>3.1249699999999998</v>
      </c>
      <c r="AT271" s="4"/>
      <c r="AU271" s="4"/>
      <c r="AV271" s="4"/>
      <c r="AW271" s="4"/>
      <c r="AX271" s="4"/>
      <c r="AY271" s="4">
        <f t="shared" si="35"/>
        <v>3.1249699999999998</v>
      </c>
      <c r="AZ271" s="256"/>
      <c r="BA271" s="256"/>
      <c r="BD271" s="62" t="e">
        <v>#REF!</v>
      </c>
      <c r="BE271" s="178" t="e">
        <f t="shared" si="30"/>
        <v>#REF!</v>
      </c>
    </row>
    <row r="272" spans="2:59" s="178" customFormat="1" ht="17.25" customHeight="1" x14ac:dyDescent="0.35">
      <c r="B272" s="97"/>
      <c r="C272" s="4"/>
      <c r="D272" s="54"/>
      <c r="E272" s="54"/>
      <c r="F272" s="54"/>
      <c r="G272" s="54"/>
      <c r="H272" s="77"/>
      <c r="I272" s="77"/>
      <c r="J272" s="77"/>
      <c r="K272" s="78"/>
      <c r="L272" s="78"/>
      <c r="M272" s="79"/>
      <c r="N272" s="79"/>
      <c r="O272" s="79"/>
      <c r="P272" s="79"/>
      <c r="Q272" s="79"/>
      <c r="R272" s="54"/>
      <c r="S272" s="54"/>
      <c r="T272" s="54"/>
      <c r="U272" s="54"/>
      <c r="V272" s="54"/>
      <c r="W272" s="54"/>
      <c r="X272" s="4"/>
      <c r="Y272" s="4"/>
      <c r="Z272" s="1052"/>
      <c r="AA272" s="1053"/>
      <c r="AB272" s="1053"/>
      <c r="AC272" s="1055"/>
      <c r="AD272" s="270"/>
      <c r="AE272" s="215"/>
      <c r="AF272" s="106"/>
      <c r="AG272" s="4"/>
      <c r="AH272" s="4">
        <f>IF(AA251=Ceny_n!$B$184,IF(AI242=1,Ceny!$F$926,IF(AI242=2,Ceny!$G$926,0)),0)</f>
        <v>0</v>
      </c>
      <c r="AI272" s="4" t="str">
        <f>IF(AG270=3,AH272,AH289)</f>
        <v xml:space="preserve"> </v>
      </c>
      <c r="AJ272" s="4">
        <f>IF(AC242=ZAVESY,Ceny!$E$955,0)</f>
        <v>0</v>
      </c>
      <c r="AK272" s="4"/>
      <c r="AL272" s="80">
        <f>Ceny_n!$B$965</f>
        <v>15585</v>
      </c>
      <c r="AM272" s="4">
        <v>0</v>
      </c>
      <c r="AN272" s="4">
        <v>0</v>
      </c>
      <c r="AO272" s="4"/>
      <c r="AP272" s="4">
        <v>0</v>
      </c>
      <c r="AQ272" s="4"/>
      <c r="AR272" s="4"/>
      <c r="AS272" s="4">
        <f>VLOOKUP(AL272,Ceny!$B$963:$E$970,4,0)</f>
        <v>3.1249699999999998</v>
      </c>
      <c r="AT272" s="4"/>
      <c r="AU272" s="4"/>
      <c r="AV272" s="4"/>
      <c r="AW272" s="4"/>
      <c r="AX272" s="4"/>
      <c r="AY272" s="4">
        <f t="shared" si="35"/>
        <v>3.1249699999999998</v>
      </c>
      <c r="AZ272" s="256"/>
      <c r="BA272" s="256"/>
      <c r="BD272" s="62" t="e">
        <v>#REF!</v>
      </c>
      <c r="BE272" s="178" t="e">
        <f t="shared" si="30"/>
        <v>#REF!</v>
      </c>
    </row>
    <row r="273" spans="2:57" s="178" customFormat="1" ht="7.5" customHeight="1" x14ac:dyDescent="0.3">
      <c r="B273" s="97"/>
      <c r="C273" s="4"/>
      <c r="D273" s="54"/>
      <c r="E273" s="54"/>
      <c r="F273" s="54"/>
      <c r="G273" s="54"/>
      <c r="H273" s="77"/>
      <c r="I273" s="77"/>
      <c r="J273" s="77"/>
      <c r="K273" s="78"/>
      <c r="L273" s="78"/>
      <c r="M273" s="79"/>
      <c r="N273" s="79"/>
      <c r="O273" s="79"/>
      <c r="P273" s="79"/>
      <c r="Q273" s="79"/>
      <c r="R273" s="54"/>
      <c r="S273" s="54"/>
      <c r="T273" s="54"/>
      <c r="U273" s="54"/>
      <c r="V273" s="54"/>
      <c r="W273" s="54"/>
      <c r="X273" s="4"/>
      <c r="Y273" s="4"/>
      <c r="Z273" s="1056" t="str">
        <f>Ceny_n!$B$131</f>
        <v>Uvedené ceny jsou bez DPH a nezahrnují cenu požadovaného kování!</v>
      </c>
      <c r="AA273" s="1056"/>
      <c r="AB273" s="1056"/>
      <c r="AC273" s="1057"/>
      <c r="AD273" s="257"/>
      <c r="AE273" s="199"/>
      <c r="AF273" s="106"/>
      <c r="AG273" s="4"/>
      <c r="AH273" s="4">
        <f>IF(AA251=Ceny_n!$B$184,IF(AI242=1,Ceny!$F$927,IF(AI242=2,Ceny!$G$927,0)),0)</f>
        <v>0</v>
      </c>
      <c r="AI273" s="4" t="str">
        <f>IF(AG270=3,AH273,AH289)</f>
        <v xml:space="preserve"> </v>
      </c>
      <c r="AJ273" s="4">
        <f>IF(AC242=ZAVESY,Ceny!$E$956,0)</f>
        <v>0</v>
      </c>
      <c r="AK273" s="4"/>
      <c r="AL273" s="80">
        <f>Ceny_n!$B$965</f>
        <v>15585</v>
      </c>
      <c r="AM273" s="4">
        <v>0</v>
      </c>
      <c r="AN273" s="4">
        <v>0</v>
      </c>
      <c r="AO273" s="4"/>
      <c r="AP273" s="4">
        <v>0</v>
      </c>
      <c r="AQ273" s="4"/>
      <c r="AR273" s="4"/>
      <c r="AS273" s="4">
        <f>VLOOKUP(AL273,Ceny!$B$963:$E$970,4,0)</f>
        <v>3.1249699999999998</v>
      </c>
      <c r="AT273" s="4"/>
      <c r="AU273" s="4"/>
      <c r="AV273" s="4"/>
      <c r="AW273" s="4"/>
      <c r="AX273" s="4"/>
      <c r="AY273" s="4">
        <f t="shared" si="35"/>
        <v>3.1249699999999998</v>
      </c>
      <c r="AZ273" s="256"/>
      <c r="BA273" s="256"/>
      <c r="BD273" s="62" t="e">
        <v>#REF!</v>
      </c>
      <c r="BE273" s="178" t="e">
        <f t="shared" si="30"/>
        <v>#REF!</v>
      </c>
    </row>
    <row r="274" spans="2:57" s="4" customFormat="1" ht="7.5" customHeight="1" x14ac:dyDescent="0.3">
      <c r="B274" s="99"/>
      <c r="C274" s="100"/>
      <c r="D274" s="100"/>
      <c r="E274" s="100"/>
      <c r="F274" s="100"/>
      <c r="G274" s="100"/>
      <c r="H274" s="100"/>
      <c r="I274" s="101"/>
      <c r="J274" s="101"/>
      <c r="K274" s="101"/>
      <c r="L274" s="101"/>
      <c r="M274" s="101"/>
      <c r="N274" s="101"/>
      <c r="O274" s="102"/>
      <c r="P274" s="100"/>
      <c r="Q274" s="100"/>
      <c r="R274" s="100"/>
      <c r="S274" s="100"/>
      <c r="T274" s="100"/>
      <c r="U274" s="100"/>
      <c r="V274" s="100"/>
      <c r="W274" s="100"/>
      <c r="X274" s="100"/>
      <c r="Y274" s="100"/>
      <c r="Z274" s="1058"/>
      <c r="AA274" s="1058"/>
      <c r="AB274" s="1058"/>
      <c r="AC274" s="1059"/>
      <c r="AD274" s="257"/>
      <c r="AE274" s="199"/>
      <c r="AF274" s="106"/>
      <c r="AH274" s="4">
        <f>IF(AA251=Ceny_n!$B$184,IF(AI242=1,Ceny!$F$928,IF(AI242=2,Ceny!$G$928,0)),0)</f>
        <v>0</v>
      </c>
      <c r="AI274" s="4" t="str">
        <f>IF(AG270=3,AH274,AH289)</f>
        <v xml:space="preserve"> </v>
      </c>
      <c r="AJ274" s="4">
        <f>IF(AC242=ZAVESY,Ceny!$E$957,0)</f>
        <v>0</v>
      </c>
      <c r="AL274" s="80">
        <f>Ceny_n!$B$965</f>
        <v>15585</v>
      </c>
      <c r="AM274" s="4">
        <v>0</v>
      </c>
      <c r="AN274" s="4">
        <v>0</v>
      </c>
      <c r="AP274" s="4">
        <v>0</v>
      </c>
      <c r="AS274" s="4">
        <f>VLOOKUP(AL274,Ceny!$B$963:$E$970,4,0)</f>
        <v>3.1249699999999998</v>
      </c>
      <c r="AY274" s="4">
        <f t="shared" si="35"/>
        <v>3.1249699999999998</v>
      </c>
      <c r="AZ274" s="256"/>
      <c r="BA274" s="256"/>
      <c r="BB274" s="178"/>
      <c r="BD274" s="62" t="e">
        <v>#REF!</v>
      </c>
      <c r="BE274" s="178" t="e">
        <f t="shared" si="30"/>
        <v>#REF!</v>
      </c>
    </row>
    <row r="275" spans="2:57" s="178" customFormat="1" ht="6.9" customHeight="1" x14ac:dyDescent="0.3">
      <c r="B275" s="1024" t="str">
        <f>Ceny_n!$B$137</f>
        <v>Poznámky</v>
      </c>
      <c r="C275" s="1025"/>
      <c r="D275" s="1025"/>
      <c r="E275" s="1025"/>
      <c r="F275" s="1025"/>
      <c r="G275" s="1030"/>
      <c r="H275" s="1030"/>
      <c r="I275" s="1030"/>
      <c r="J275" s="1030"/>
      <c r="K275" s="1030"/>
      <c r="L275" s="1030"/>
      <c r="M275" s="1030"/>
      <c r="N275" s="1030"/>
      <c r="O275" s="1030"/>
      <c r="P275" s="1030"/>
      <c r="Q275" s="1030"/>
      <c r="R275" s="1030"/>
      <c r="S275" s="1030"/>
      <c r="T275" s="1030"/>
      <c r="U275" s="1030"/>
      <c r="V275" s="1030"/>
      <c r="W275" s="1030"/>
      <c r="X275" s="1030"/>
      <c r="Y275" s="1030"/>
      <c r="Z275" s="1030"/>
      <c r="AA275" s="1030"/>
      <c r="AB275" s="1030"/>
      <c r="AC275" s="1031"/>
      <c r="AD275" s="271"/>
      <c r="AE275" s="216"/>
      <c r="AF275" s="106"/>
      <c r="AG275" s="4"/>
      <c r="AH275" s="4">
        <f>IF(AA251=Ceny_n!$B$184,IF(AI242=1,Ceny!$F$929,IF(AI242=2,Ceny!$G$929,0)),0)</f>
        <v>0</v>
      </c>
      <c r="AI275" s="4" t="str">
        <f>IF(AG270=3,AH275,AH289)</f>
        <v xml:space="preserve"> </v>
      </c>
      <c r="AJ275" s="4">
        <f>IF(AC242=ZAVESY,Ceny!$E$958,0)</f>
        <v>0</v>
      </c>
      <c r="AK275" s="4"/>
      <c r="AL275" s="178">
        <f>Ceny_n!$B$968</f>
        <v>15596</v>
      </c>
      <c r="AM275" s="4">
        <f>Ceny_n!$B$967</f>
        <v>15595</v>
      </c>
      <c r="AN275" s="81">
        <f>IF(AI242=1,Ceny!$B$967,0)</f>
        <v>0</v>
      </c>
      <c r="AO275" s="81"/>
      <c r="AP275" s="81">
        <f>IF(AI242=1,Ceny!$B$968,0)</f>
        <v>0</v>
      </c>
      <c r="AQ275" s="81"/>
      <c r="AR275" s="81">
        <f>IF(AI242=1,Ceny!$B$969,0)</f>
        <v>0</v>
      </c>
      <c r="AS275" s="4">
        <f>VLOOKUP(AL275,Ceny!$B$963:$E$970,4,0)</f>
        <v>11.9</v>
      </c>
      <c r="AT275" s="4">
        <f>VLOOKUP(AM275,Ceny!$B$963:$E$970,4,0)</f>
        <v>13.4</v>
      </c>
      <c r="AU275" s="4">
        <f>VLOOKUP(AN275,Ceny!$B$963:$E$970,4,0)</f>
        <v>0</v>
      </c>
      <c r="AV275" s="4"/>
      <c r="AW275" s="4">
        <f>2*(VLOOKUP(AP275,Ceny!$B$963:$E$970,4,0))</f>
        <v>0</v>
      </c>
      <c r="AX275" s="4">
        <f>2*(VLOOKUP(AR275,Ceny!$B$963:$E$970,4,0))</f>
        <v>0</v>
      </c>
      <c r="AY275" s="4">
        <f t="shared" si="35"/>
        <v>25.3</v>
      </c>
      <c r="AZ275" s="256"/>
      <c r="BA275" s="256"/>
      <c r="BD275" s="62" t="e">
        <v>#REF!</v>
      </c>
      <c r="BE275" s="178" t="e">
        <f t="shared" si="30"/>
        <v>#REF!</v>
      </c>
    </row>
    <row r="276" spans="2:57" s="178" customFormat="1" ht="6.9" customHeight="1" x14ac:dyDescent="0.3">
      <c r="B276" s="1026"/>
      <c r="C276" s="1027"/>
      <c r="D276" s="1027"/>
      <c r="E276" s="1027"/>
      <c r="F276" s="1027"/>
      <c r="G276" s="1032"/>
      <c r="H276" s="1032"/>
      <c r="I276" s="1032"/>
      <c r="J276" s="1032"/>
      <c r="K276" s="1032"/>
      <c r="L276" s="1032"/>
      <c r="M276" s="1032"/>
      <c r="N276" s="1032"/>
      <c r="O276" s="1032"/>
      <c r="P276" s="1032"/>
      <c r="Q276" s="1032"/>
      <c r="R276" s="1032"/>
      <c r="S276" s="1032"/>
      <c r="T276" s="1032"/>
      <c r="U276" s="1032"/>
      <c r="V276" s="1032"/>
      <c r="W276" s="1032"/>
      <c r="X276" s="1032"/>
      <c r="Y276" s="1032"/>
      <c r="Z276" s="1032"/>
      <c r="AA276" s="1032"/>
      <c r="AB276" s="1032"/>
      <c r="AC276" s="1033"/>
      <c r="AD276" s="271"/>
      <c r="AE276" s="216"/>
      <c r="AF276" s="106"/>
      <c r="AG276" s="4"/>
      <c r="AH276" s="4">
        <f>IF(AA251=Ceny_n!$B$184,IF(AI242=1,Ceny!$F$930,IF(AI242=2,Ceny!$G$930,0)),0)</f>
        <v>0</v>
      </c>
      <c r="AI276" s="4" t="str">
        <f>IF(AG270=3,AH276,AH289)</f>
        <v xml:space="preserve"> </v>
      </c>
      <c r="AJ276" s="4">
        <f>IF(AC242=ZAVESY,Ceny!$E$959,0)</f>
        <v>0</v>
      </c>
      <c r="AK276" s="4"/>
      <c r="AL276" s="178">
        <f>Ceny_n!$B$968</f>
        <v>15596</v>
      </c>
      <c r="AM276" s="4">
        <f>Ceny_n!$B$967</f>
        <v>15595</v>
      </c>
      <c r="AN276" s="81">
        <f>IF(AI242=1,Ceny!$B$967,0)</f>
        <v>0</v>
      </c>
      <c r="AO276" s="81"/>
      <c r="AP276" s="81">
        <f>IF(AI242=1,Ceny!$B$968,0)</f>
        <v>0</v>
      </c>
      <c r="AQ276" s="81"/>
      <c r="AR276" s="81">
        <f>IF(AI242=1,Ceny!$B$969,0)</f>
        <v>0</v>
      </c>
      <c r="AS276" s="4">
        <f>VLOOKUP(AL276,Ceny!$B$963:$E$970,4,0)</f>
        <v>11.9</v>
      </c>
      <c r="AT276" s="4">
        <f>VLOOKUP(AM276,Ceny!$B$963:$E$970,4,0)</f>
        <v>13.4</v>
      </c>
      <c r="AU276" s="4">
        <f>VLOOKUP(AN276,Ceny!$B$963:$E$970,4,0)</f>
        <v>0</v>
      </c>
      <c r="AV276" s="4"/>
      <c r="AW276" s="4">
        <f>2*(VLOOKUP(AP276,Ceny!$B$963:$E$970,4,0))</f>
        <v>0</v>
      </c>
      <c r="AX276" s="4">
        <f>2*(VLOOKUP(AR276,Ceny!$B$963:$E$970,4,0))</f>
        <v>0</v>
      </c>
      <c r="AY276" s="4">
        <f t="shared" si="35"/>
        <v>25.3</v>
      </c>
      <c r="AZ276" s="256"/>
      <c r="BA276" s="256"/>
      <c r="BD276" s="62" t="e">
        <v>#REF!</v>
      </c>
      <c r="BE276" s="178" t="e">
        <f t="shared" si="30"/>
        <v>#REF!</v>
      </c>
    </row>
    <row r="277" spans="2:57" s="178" customFormat="1" ht="6.9" customHeight="1" x14ac:dyDescent="0.3">
      <c r="B277" s="1026"/>
      <c r="C277" s="1027"/>
      <c r="D277" s="1027"/>
      <c r="E277" s="1027"/>
      <c r="F277" s="1027"/>
      <c r="G277" s="1032"/>
      <c r="H277" s="1032"/>
      <c r="I277" s="1032"/>
      <c r="J277" s="1032"/>
      <c r="K277" s="1032"/>
      <c r="L277" s="1032"/>
      <c r="M277" s="1032"/>
      <c r="N277" s="1032"/>
      <c r="O277" s="1032"/>
      <c r="P277" s="1032"/>
      <c r="Q277" s="1032"/>
      <c r="R277" s="1032"/>
      <c r="S277" s="1032"/>
      <c r="T277" s="1032"/>
      <c r="U277" s="1032"/>
      <c r="V277" s="1032"/>
      <c r="W277" s="1032"/>
      <c r="X277" s="1032"/>
      <c r="Y277" s="1032"/>
      <c r="Z277" s="1032"/>
      <c r="AA277" s="1032"/>
      <c r="AB277" s="1032"/>
      <c r="AC277" s="1033"/>
      <c r="AD277" s="271"/>
      <c r="AE277" s="216"/>
      <c r="AF277" s="106"/>
      <c r="AG277" s="4"/>
      <c r="AH277" s="4">
        <f>IF(AA251=Ceny_n!$B$184,IF(AI242=1,Ceny!$F$931,IF(AI242=2,Ceny!$G$931,0)),0)</f>
        <v>0</v>
      </c>
      <c r="AI277" s="4" t="str">
        <f>IF(AG270=3,AH277,AH289)</f>
        <v xml:space="preserve"> </v>
      </c>
      <c r="AJ277" s="4">
        <f>IF(AC242=ZAVESY,Ceny!$E$960,0)</f>
        <v>0</v>
      </c>
      <c r="AK277" s="4"/>
      <c r="AL277" s="178">
        <f>Ceny_n!$B$968</f>
        <v>15596</v>
      </c>
      <c r="AM277" s="4">
        <f>Ceny_n!$B$967</f>
        <v>15595</v>
      </c>
      <c r="AN277" s="81">
        <f>IF(AI242=1,Ceny!$B$967,0)</f>
        <v>0</v>
      </c>
      <c r="AO277" s="81"/>
      <c r="AP277" s="81">
        <f>IF(AI242=1,Ceny!$B$968,0)</f>
        <v>0</v>
      </c>
      <c r="AQ277" s="81"/>
      <c r="AR277" s="81">
        <f>IF(AI242=1,Ceny!$B$969,0)</f>
        <v>0</v>
      </c>
      <c r="AS277" s="4">
        <f>VLOOKUP(AL277,Ceny!$B$963:$E$970,4,0)</f>
        <v>11.9</v>
      </c>
      <c r="AT277" s="4">
        <f>VLOOKUP(AM277,Ceny!$B$963:$E$970,4,0)</f>
        <v>13.4</v>
      </c>
      <c r="AU277" s="4">
        <f>VLOOKUP(AN277,Ceny!$B$963:$E$970,4,0)</f>
        <v>0</v>
      </c>
      <c r="AV277" s="4"/>
      <c r="AW277" s="4">
        <f>2*(VLOOKUP(AP277,Ceny!$B$963:$E$970,4,0))</f>
        <v>0</v>
      </c>
      <c r="AX277" s="4">
        <f>2*(VLOOKUP(AR277,Ceny!$B$963:$E$970,4,0))</f>
        <v>0</v>
      </c>
      <c r="AY277" s="4">
        <f t="shared" si="35"/>
        <v>25.3</v>
      </c>
      <c r="AZ277" s="256"/>
      <c r="BA277" s="256"/>
      <c r="BD277" s="62" t="e">
        <v>#REF!</v>
      </c>
      <c r="BE277" s="178" t="e">
        <f t="shared" si="30"/>
        <v>#REF!</v>
      </c>
    </row>
    <row r="278" spans="2:57" s="178" customFormat="1" ht="6.9" customHeight="1" x14ac:dyDescent="0.3">
      <c r="B278" s="1026"/>
      <c r="C278" s="1027"/>
      <c r="D278" s="1027"/>
      <c r="E278" s="1027"/>
      <c r="F278" s="1027"/>
      <c r="G278" s="1032"/>
      <c r="H278" s="1032"/>
      <c r="I278" s="1032"/>
      <c r="J278" s="1032"/>
      <c r="K278" s="1032"/>
      <c r="L278" s="1032"/>
      <c r="M278" s="1032"/>
      <c r="N278" s="1032"/>
      <c r="O278" s="1032"/>
      <c r="P278" s="1032"/>
      <c r="Q278" s="1032"/>
      <c r="R278" s="1032"/>
      <c r="S278" s="1032"/>
      <c r="T278" s="1032"/>
      <c r="U278" s="1032"/>
      <c r="V278" s="1032"/>
      <c r="W278" s="1032"/>
      <c r="X278" s="1032"/>
      <c r="Y278" s="1032"/>
      <c r="Z278" s="1032"/>
      <c r="AA278" s="1032"/>
      <c r="AB278" s="1032"/>
      <c r="AC278" s="1033"/>
      <c r="AD278" s="271"/>
      <c r="AE278" s="216"/>
      <c r="AF278" s="106"/>
      <c r="AG278" s="4"/>
      <c r="AH278" s="4">
        <f>IF(AA251=Ceny_n!$B$184,IF(AI242=1,Ceny!$F$932,IF(AI242=2,Ceny!$G$932,0)),0)</f>
        <v>0</v>
      </c>
      <c r="AI278" s="4" t="str">
        <f>IF(AG270=3,AH278,AH289)</f>
        <v xml:space="preserve"> </v>
      </c>
      <c r="AJ278" s="4">
        <f>IF(AC242=ZAVESY,Ceny!$E$961,0)</f>
        <v>0</v>
      </c>
      <c r="AK278" s="4"/>
      <c r="AL278" s="178">
        <f>Ceny_n!$B$968</f>
        <v>15596</v>
      </c>
      <c r="AM278" s="4">
        <f>Ceny_n!$B$967</f>
        <v>15595</v>
      </c>
      <c r="AN278" s="81">
        <f>IF(AI242=1,Ceny!$B$967,0)</f>
        <v>0</v>
      </c>
      <c r="AO278" s="81"/>
      <c r="AP278" s="81">
        <f>IF(AI242=1,Ceny!$B$968,0)</f>
        <v>0</v>
      </c>
      <c r="AQ278" s="81"/>
      <c r="AR278" s="81">
        <f>IF(AI242=1,Ceny!$B$969,0)</f>
        <v>0</v>
      </c>
      <c r="AS278" s="4">
        <f>VLOOKUP(AL278,Ceny!$B$963:$E$970,4,0)</f>
        <v>11.9</v>
      </c>
      <c r="AT278" s="4">
        <f>VLOOKUP(AM278,Ceny!$B$963:$E$970,4,0)</f>
        <v>13.4</v>
      </c>
      <c r="AU278" s="4">
        <f>VLOOKUP(AN278,Ceny!$B$963:$E$970,4,0)</f>
        <v>0</v>
      </c>
      <c r="AV278" s="4"/>
      <c r="AW278" s="4">
        <f>2*(VLOOKUP(AP278,Ceny!$B$963:$E$970,4,0))</f>
        <v>0</v>
      </c>
      <c r="AX278" s="4">
        <f>2*(VLOOKUP(AR278,Ceny!$B$963:$E$970,4,0))</f>
        <v>0</v>
      </c>
      <c r="AY278" s="4">
        <f t="shared" si="35"/>
        <v>25.3</v>
      </c>
      <c r="AZ278" s="256"/>
      <c r="BA278" s="256"/>
      <c r="BD278" s="62" t="e">
        <v>#REF!</v>
      </c>
      <c r="BE278" s="178" t="e">
        <f t="shared" si="30"/>
        <v>#REF!</v>
      </c>
    </row>
    <row r="279" spans="2:57" s="178" customFormat="1" ht="6.9" customHeight="1" x14ac:dyDescent="0.3">
      <c r="B279" s="1026"/>
      <c r="C279" s="1027"/>
      <c r="D279" s="1027"/>
      <c r="E279" s="1027"/>
      <c r="F279" s="1027"/>
      <c r="G279" s="1032"/>
      <c r="H279" s="1032"/>
      <c r="I279" s="1032"/>
      <c r="J279" s="1032"/>
      <c r="K279" s="1032"/>
      <c r="L279" s="1032"/>
      <c r="M279" s="1032"/>
      <c r="N279" s="1032"/>
      <c r="O279" s="1032"/>
      <c r="P279" s="1032"/>
      <c r="Q279" s="1032"/>
      <c r="R279" s="1032"/>
      <c r="S279" s="1032"/>
      <c r="T279" s="1032"/>
      <c r="U279" s="1032"/>
      <c r="V279" s="1032"/>
      <c r="W279" s="1032"/>
      <c r="X279" s="1032"/>
      <c r="Y279" s="1032"/>
      <c r="Z279" s="1032"/>
      <c r="AA279" s="1032"/>
      <c r="AB279" s="1032"/>
      <c r="AC279" s="1033"/>
      <c r="AD279" s="271"/>
      <c r="AE279" s="216"/>
      <c r="AF279" s="106"/>
      <c r="AG279" s="4"/>
      <c r="AH279" s="4">
        <f>IF(AA251=Ceny_n!$B$184,IF(AI242=1,Ceny!$F$933,IF(AI242=2,Ceny!$G$933,0)),0)</f>
        <v>0</v>
      </c>
      <c r="AI279" s="4" t="str">
        <f>IF(AG270=3,AH279,AH289)</f>
        <v xml:space="preserve"> </v>
      </c>
      <c r="AJ279" s="4">
        <f>IF(AC242=ZAVESY,Ceny!$E$962,0)</f>
        <v>0</v>
      </c>
      <c r="AK279" s="4"/>
      <c r="AL279" s="4"/>
      <c r="AM279" s="4"/>
      <c r="AN279" s="4"/>
      <c r="AO279" s="4"/>
      <c r="AP279" s="4"/>
      <c r="AQ279" s="4"/>
      <c r="AR279" s="4"/>
      <c r="AS279" s="4"/>
      <c r="AT279" s="4"/>
      <c r="AU279" s="4"/>
      <c r="AV279" s="4"/>
      <c r="AW279" s="4"/>
      <c r="AX279" s="4"/>
      <c r="AY279" s="4">
        <f t="shared" si="35"/>
        <v>0</v>
      </c>
      <c r="AZ279" s="256"/>
      <c r="BA279" s="256"/>
      <c r="BB279" s="4"/>
      <c r="BD279" s="62" t="e">
        <v>#REF!</v>
      </c>
      <c r="BE279" s="178" t="e">
        <f t="shared" si="30"/>
        <v>#REF!</v>
      </c>
    </row>
    <row r="280" spans="2:57" s="178" customFormat="1" ht="6" customHeight="1" x14ac:dyDescent="0.3">
      <c r="B280" s="1026"/>
      <c r="C280" s="1027"/>
      <c r="D280" s="1027"/>
      <c r="E280" s="1027"/>
      <c r="F280" s="1027"/>
      <c r="G280" s="1032"/>
      <c r="H280" s="1032"/>
      <c r="I280" s="1032"/>
      <c r="J280" s="1032"/>
      <c r="K280" s="1032"/>
      <c r="L280" s="1032"/>
      <c r="M280" s="1032"/>
      <c r="N280" s="1032"/>
      <c r="O280" s="1032"/>
      <c r="P280" s="1032"/>
      <c r="Q280" s="1032"/>
      <c r="R280" s="1032"/>
      <c r="S280" s="1032"/>
      <c r="T280" s="1032"/>
      <c r="U280" s="1032"/>
      <c r="V280" s="1032"/>
      <c r="W280" s="1032"/>
      <c r="X280" s="1032"/>
      <c r="Y280" s="1032"/>
      <c r="Z280" s="1032"/>
      <c r="AA280" s="1032"/>
      <c r="AB280" s="1032"/>
      <c r="AC280" s="1033"/>
      <c r="AD280" s="271"/>
      <c r="AE280" s="216"/>
      <c r="AF280" s="106"/>
      <c r="AG280" s="4"/>
      <c r="AH280" s="4">
        <f>IF(AA251=Ceny_n!$B$184,IF(AI242=1,Ceny!$F$934,IF(AI242=2,Ceny!$G$934,0)),0)</f>
        <v>0</v>
      </c>
      <c r="AI280" s="4" t="str">
        <f>IF(AG270=3,AH280,AH289)</f>
        <v xml:space="preserve"> </v>
      </c>
      <c r="AJ280" s="4"/>
      <c r="AK280" s="4"/>
      <c r="AL280" s="4"/>
      <c r="AM280" s="4"/>
      <c r="AN280" s="4"/>
      <c r="AO280" s="4"/>
      <c r="AP280" s="4"/>
      <c r="AQ280" s="4"/>
      <c r="AR280" s="4"/>
      <c r="AS280" s="4"/>
      <c r="AT280" s="4"/>
      <c r="AU280" s="4"/>
      <c r="AV280" s="4"/>
      <c r="AW280" s="4"/>
      <c r="AX280" s="4"/>
      <c r="AY280" s="4"/>
      <c r="AZ280" s="256"/>
      <c r="BA280" s="256"/>
      <c r="BB280" s="4"/>
      <c r="BD280" s="62" t="e">
        <v>#REF!</v>
      </c>
      <c r="BE280" s="178" t="e">
        <f t="shared" si="30"/>
        <v>#REF!</v>
      </c>
    </row>
    <row r="281" spans="2:57" s="178" customFormat="1" ht="6.9" customHeight="1" thickBot="1" x14ac:dyDescent="0.35">
      <c r="B281" s="1026"/>
      <c r="C281" s="1027"/>
      <c r="D281" s="1027"/>
      <c r="E281" s="1027"/>
      <c r="F281" s="1027"/>
      <c r="G281" s="1032"/>
      <c r="H281" s="1032"/>
      <c r="I281" s="1032"/>
      <c r="J281" s="1032"/>
      <c r="K281" s="1032"/>
      <c r="L281" s="1032"/>
      <c r="M281" s="1032"/>
      <c r="N281" s="1032"/>
      <c r="O281" s="1032"/>
      <c r="P281" s="1032"/>
      <c r="Q281" s="1032"/>
      <c r="R281" s="1032"/>
      <c r="S281" s="1032"/>
      <c r="T281" s="1032"/>
      <c r="U281" s="1032"/>
      <c r="V281" s="1032"/>
      <c r="W281" s="1032"/>
      <c r="X281" s="1032"/>
      <c r="Y281" s="1032"/>
      <c r="Z281" s="1032"/>
      <c r="AA281" s="1032"/>
      <c r="AB281" s="1032"/>
      <c r="AC281" s="1033"/>
      <c r="AD281" s="271"/>
      <c r="AE281" s="216"/>
      <c r="AF281" s="106"/>
      <c r="AG281" s="4"/>
      <c r="AH281" s="4">
        <f>IF(AA251=Ceny_n!$B$184,IF(AI242=1,Ceny!$F$935,IF(AI242=2,Ceny!$G$935,0)),0)</f>
        <v>0</v>
      </c>
      <c r="AI281" s="4" t="str">
        <f>IF(AG270=3,AH281,AH289)</f>
        <v xml:space="preserve"> </v>
      </c>
      <c r="AJ281" s="4"/>
      <c r="AK281" s="4"/>
      <c r="AL281" s="4"/>
      <c r="AM281" s="4"/>
      <c r="AN281" s="4"/>
      <c r="AO281" s="4"/>
      <c r="AP281" s="4"/>
      <c r="AQ281" s="4"/>
      <c r="AR281" s="4"/>
      <c r="AS281" s="4"/>
      <c r="AT281" s="4"/>
      <c r="AU281" s="4"/>
      <c r="AV281" s="4"/>
      <c r="AW281" s="4"/>
      <c r="AX281" s="4"/>
      <c r="AY281" s="4"/>
      <c r="AZ281" s="256"/>
      <c r="BA281" s="256"/>
      <c r="BD281" s="66" t="e">
        <v>#REF!</v>
      </c>
      <c r="BE281" s="178" t="e">
        <f t="shared" si="30"/>
        <v>#REF!</v>
      </c>
    </row>
    <row r="282" spans="2:57" s="178" customFormat="1" ht="6.9" customHeight="1" x14ac:dyDescent="0.3">
      <c r="B282" s="1026"/>
      <c r="C282" s="1027"/>
      <c r="D282" s="1027"/>
      <c r="E282" s="1027"/>
      <c r="F282" s="1027"/>
      <c r="G282" s="1032"/>
      <c r="H282" s="1032"/>
      <c r="I282" s="1032"/>
      <c r="J282" s="1032"/>
      <c r="K282" s="1032"/>
      <c r="L282" s="1032"/>
      <c r="M282" s="1032"/>
      <c r="N282" s="1032"/>
      <c r="O282" s="1032"/>
      <c r="P282" s="1032"/>
      <c r="Q282" s="1032"/>
      <c r="R282" s="1032"/>
      <c r="S282" s="1032"/>
      <c r="T282" s="1032"/>
      <c r="U282" s="1032"/>
      <c r="V282" s="1032"/>
      <c r="W282" s="1032"/>
      <c r="X282" s="1032"/>
      <c r="Y282" s="1032"/>
      <c r="Z282" s="1032"/>
      <c r="AA282" s="1032"/>
      <c r="AB282" s="1032"/>
      <c r="AC282" s="1033"/>
      <c r="AD282" s="271"/>
      <c r="AE282" s="216"/>
      <c r="AF282" s="106"/>
      <c r="AG282" s="4"/>
      <c r="AH282" s="4">
        <f>IF(AA251=Ceny_n!$B$184,IF(AI242=1,Ceny!$F$936,IF(AI242=2,Ceny!$G$936,0)),0)</f>
        <v>0</v>
      </c>
      <c r="AI282" s="4" t="str">
        <f>IF(AG270=3,AH282,AH289)</f>
        <v xml:space="preserve"> </v>
      </c>
      <c r="AJ282" s="4"/>
      <c r="AK282" s="4"/>
      <c r="AL282" s="4"/>
      <c r="AM282" s="4"/>
      <c r="AN282" s="4"/>
      <c r="AO282" s="4"/>
      <c r="AP282" s="4"/>
      <c r="AQ282" s="4"/>
      <c r="AR282" s="4"/>
      <c r="AS282" s="4"/>
      <c r="AT282" s="4"/>
      <c r="AU282" s="4"/>
      <c r="AV282" s="4"/>
      <c r="AW282" s="4"/>
      <c r="AX282" s="4"/>
      <c r="AY282" s="4"/>
      <c r="AZ282" s="256"/>
      <c r="BA282" s="256"/>
    </row>
    <row r="283" spans="2:57" s="178" customFormat="1" ht="6.9" customHeight="1" x14ac:dyDescent="0.3">
      <c r="B283" s="1026"/>
      <c r="C283" s="1027"/>
      <c r="D283" s="1027"/>
      <c r="E283" s="1027"/>
      <c r="F283" s="1027"/>
      <c r="G283" s="1032"/>
      <c r="H283" s="1032"/>
      <c r="I283" s="1032"/>
      <c r="J283" s="1032"/>
      <c r="K283" s="1032"/>
      <c r="L283" s="1032"/>
      <c r="M283" s="1032"/>
      <c r="N283" s="1032"/>
      <c r="O283" s="1032"/>
      <c r="P283" s="1032"/>
      <c r="Q283" s="1032"/>
      <c r="R283" s="1032"/>
      <c r="S283" s="1032"/>
      <c r="T283" s="1032"/>
      <c r="U283" s="1032"/>
      <c r="V283" s="1032"/>
      <c r="W283" s="1032"/>
      <c r="X283" s="1032"/>
      <c r="Y283" s="1032"/>
      <c r="Z283" s="1032"/>
      <c r="AA283" s="1032"/>
      <c r="AB283" s="1032"/>
      <c r="AC283" s="1033"/>
      <c r="AD283" s="271"/>
      <c r="AE283" s="216"/>
      <c r="AF283" s="106"/>
      <c r="AG283" s="4"/>
      <c r="AH283" s="4">
        <f>IF(AA251=Ceny_n!$B$184,IF(AI242=1,Ceny!$F$937,IF(AI242=2,Ceny!$G$937,0)),0)</f>
        <v>0</v>
      </c>
      <c r="AI283" s="4" t="str">
        <f>IF(AG270=3,AH283,AH289)</f>
        <v xml:space="preserve"> </v>
      </c>
      <c r="AJ283" s="4"/>
      <c r="AK283" s="4"/>
      <c r="AL283" s="4"/>
      <c r="AM283" s="4"/>
      <c r="AN283" s="4"/>
      <c r="AO283" s="4"/>
      <c r="AP283" s="4"/>
      <c r="AQ283" s="4"/>
      <c r="AR283" s="4"/>
      <c r="AS283" s="4"/>
      <c r="AT283" s="4"/>
      <c r="AU283" s="4"/>
      <c r="AV283" s="4"/>
      <c r="AW283" s="4"/>
      <c r="AX283" s="4"/>
      <c r="AY283" s="4"/>
      <c r="AZ283" s="256"/>
      <c r="BA283" s="256"/>
    </row>
    <row r="284" spans="2:57" s="178" customFormat="1" ht="20.25" customHeight="1" x14ac:dyDescent="0.3">
      <c r="B284" s="1026"/>
      <c r="C284" s="1027"/>
      <c r="D284" s="1027"/>
      <c r="E284" s="1027"/>
      <c r="F284" s="1027"/>
      <c r="G284" s="1032"/>
      <c r="H284" s="1032"/>
      <c r="I284" s="1032"/>
      <c r="J284" s="1032"/>
      <c r="K284" s="1032"/>
      <c r="L284" s="1032"/>
      <c r="M284" s="1032"/>
      <c r="N284" s="1032"/>
      <c r="O284" s="1032"/>
      <c r="P284" s="1032"/>
      <c r="Q284" s="1032"/>
      <c r="R284" s="1032"/>
      <c r="S284" s="1032"/>
      <c r="T284" s="1032"/>
      <c r="U284" s="1032"/>
      <c r="V284" s="1032"/>
      <c r="W284" s="1032"/>
      <c r="X284" s="1032"/>
      <c r="Y284" s="1032"/>
      <c r="Z284" s="1032"/>
      <c r="AA284" s="1032"/>
      <c r="AB284" s="1032"/>
      <c r="AC284" s="1033"/>
      <c r="AD284" s="271"/>
      <c r="AE284" s="216"/>
      <c r="AF284" s="106"/>
      <c r="AG284" s="4"/>
      <c r="AH284" s="4">
        <f>IF(AA251=Ceny_n!$B$184,IF(AI242=1,Ceny!$F$938,IF(AI242=2,Ceny!$G$938,0)),0)</f>
        <v>0</v>
      </c>
      <c r="AI284" s="4" t="str">
        <f>IF(AG270=3,AH284,AH289)</f>
        <v xml:space="preserve"> </v>
      </c>
      <c r="AJ284" s="4"/>
      <c r="AK284" s="4"/>
      <c r="AL284" s="4"/>
      <c r="AM284" s="4"/>
      <c r="AN284" s="4"/>
      <c r="AO284" s="4"/>
      <c r="AP284" s="4"/>
      <c r="AQ284" s="4"/>
      <c r="AR284" s="4"/>
      <c r="AS284" s="4"/>
      <c r="AT284" s="4"/>
      <c r="AU284" s="4"/>
      <c r="AV284" s="4"/>
      <c r="AW284" s="4"/>
      <c r="AX284" s="4"/>
      <c r="AY284" s="4"/>
      <c r="AZ284" s="256"/>
      <c r="BA284" s="256"/>
    </row>
    <row r="285" spans="2:57" s="178" customFormat="1" ht="6.9" customHeight="1" x14ac:dyDescent="0.3">
      <c r="B285" s="1026"/>
      <c r="C285" s="1027"/>
      <c r="D285" s="1027"/>
      <c r="E285" s="1027"/>
      <c r="F285" s="1027"/>
      <c r="G285" s="1032"/>
      <c r="H285" s="1032"/>
      <c r="I285" s="1032"/>
      <c r="J285" s="1032"/>
      <c r="K285" s="1032"/>
      <c r="L285" s="1032"/>
      <c r="M285" s="1032"/>
      <c r="N285" s="1032"/>
      <c r="O285" s="1032"/>
      <c r="P285" s="1032"/>
      <c r="Q285" s="1032"/>
      <c r="R285" s="1032"/>
      <c r="S285" s="1032"/>
      <c r="T285" s="1032"/>
      <c r="U285" s="1032"/>
      <c r="V285" s="1032"/>
      <c r="W285" s="1032"/>
      <c r="X285" s="1032"/>
      <c r="Y285" s="1032"/>
      <c r="Z285" s="1032"/>
      <c r="AA285" s="1032"/>
      <c r="AB285" s="1032"/>
      <c r="AC285" s="1033"/>
      <c r="AD285" s="271"/>
      <c r="AE285" s="216"/>
      <c r="AF285" s="106"/>
      <c r="AG285" s="4"/>
      <c r="AH285" s="4">
        <f>IF(AA251=Ceny_n!$B$184,IF(AI242=1,Ceny!$F$939,IF(AI242=2,Ceny!$G$939,0)),0)</f>
        <v>0</v>
      </c>
      <c r="AI285" s="4"/>
      <c r="AJ285" s="4"/>
      <c r="AK285" s="4"/>
      <c r="AL285" s="4"/>
      <c r="AM285" s="4"/>
      <c r="AN285" s="4"/>
      <c r="AO285" s="4"/>
      <c r="AP285" s="4"/>
      <c r="AQ285" s="4"/>
      <c r="AR285" s="4"/>
      <c r="AS285" s="4"/>
      <c r="AT285" s="4"/>
      <c r="AU285" s="4"/>
      <c r="AV285" s="4"/>
      <c r="AW285" s="4"/>
      <c r="AX285" s="4"/>
      <c r="AY285" s="4"/>
      <c r="AZ285" s="256"/>
      <c r="BA285" s="256"/>
    </row>
    <row r="286" spans="2:57" s="178" customFormat="1" ht="6.9" customHeight="1" x14ac:dyDescent="0.3">
      <c r="B286" s="1026"/>
      <c r="C286" s="1027"/>
      <c r="D286" s="1027"/>
      <c r="E286" s="1027"/>
      <c r="F286" s="1027"/>
      <c r="G286" s="1032"/>
      <c r="H286" s="1032"/>
      <c r="I286" s="1032"/>
      <c r="J286" s="1032"/>
      <c r="K286" s="1032"/>
      <c r="L286" s="1032"/>
      <c r="M286" s="1032"/>
      <c r="N286" s="1032"/>
      <c r="O286" s="1032"/>
      <c r="P286" s="1032"/>
      <c r="Q286" s="1032"/>
      <c r="R286" s="1032"/>
      <c r="S286" s="1032"/>
      <c r="T286" s="1032"/>
      <c r="U286" s="1032"/>
      <c r="V286" s="1032"/>
      <c r="W286" s="1032"/>
      <c r="X286" s="1032"/>
      <c r="Y286" s="1032"/>
      <c r="Z286" s="1032"/>
      <c r="AA286" s="1032"/>
      <c r="AB286" s="1032"/>
      <c r="AC286" s="1033"/>
      <c r="AD286" s="271"/>
      <c r="AE286" s="216"/>
      <c r="AF286" s="106"/>
      <c r="AG286" s="4"/>
      <c r="AH286" s="4">
        <f>IF(AA251=Ceny_n!$B$184,IF(AI242=1,Ceny!$F$940,IF(AI242=2,Ceny!$G$940,0)),0)</f>
        <v>0</v>
      </c>
      <c r="AI286" s="4"/>
      <c r="AJ286" s="4"/>
      <c r="AK286" s="4"/>
      <c r="AL286" s="4"/>
      <c r="AM286" s="4"/>
      <c r="AN286" s="4"/>
      <c r="AO286" s="4"/>
      <c r="AP286" s="4"/>
      <c r="AQ286" s="4"/>
      <c r="AR286" s="4"/>
      <c r="AS286" s="4"/>
      <c r="AT286" s="4"/>
      <c r="AU286" s="4"/>
      <c r="AV286" s="4"/>
      <c r="AW286" s="4"/>
      <c r="AX286" s="4"/>
      <c r="AY286" s="4"/>
      <c r="AZ286" s="256"/>
      <c r="BA286" s="256"/>
    </row>
    <row r="287" spans="2:57" s="178" customFormat="1" ht="6.9" customHeight="1" x14ac:dyDescent="0.3">
      <c r="B287" s="1026"/>
      <c r="C287" s="1027"/>
      <c r="D287" s="1027"/>
      <c r="E287" s="1027"/>
      <c r="F287" s="1027"/>
      <c r="G287" s="1032"/>
      <c r="H287" s="1032"/>
      <c r="I287" s="1032"/>
      <c r="J287" s="1032"/>
      <c r="K287" s="1032"/>
      <c r="L287" s="1032"/>
      <c r="M287" s="1032"/>
      <c r="N287" s="1032"/>
      <c r="O287" s="1032"/>
      <c r="P287" s="1032"/>
      <c r="Q287" s="1032"/>
      <c r="R287" s="1032"/>
      <c r="S287" s="1032"/>
      <c r="T287" s="1032"/>
      <c r="U287" s="1032"/>
      <c r="V287" s="1032"/>
      <c r="W287" s="1032"/>
      <c r="X287" s="1032"/>
      <c r="Y287" s="1032"/>
      <c r="Z287" s="1032"/>
      <c r="AA287" s="1032"/>
      <c r="AB287" s="1032"/>
      <c r="AC287" s="1033"/>
      <c r="AD287" s="271"/>
      <c r="AE287" s="216"/>
      <c r="AF287" s="106"/>
      <c r="AG287" s="4"/>
      <c r="AH287" s="4">
        <f>IF(AA251=Ceny_n!$B$184,IF(AI242=1,Ceny!$F$941,IF(AI242=2,Ceny!$G$941,0)),0)</f>
        <v>0</v>
      </c>
      <c r="AI287" s="4"/>
      <c r="AJ287" s="4"/>
      <c r="AK287" s="4"/>
      <c r="AL287" s="4"/>
      <c r="AM287" s="4"/>
      <c r="AN287" s="4"/>
      <c r="AO287" s="4"/>
      <c r="AP287" s="4"/>
      <c r="AQ287" s="4"/>
      <c r="AR287" s="4"/>
      <c r="AS287" s="4"/>
      <c r="AT287" s="4"/>
      <c r="AU287" s="4"/>
      <c r="AV287" s="4"/>
      <c r="AW287" s="4"/>
      <c r="AX287" s="4"/>
      <c r="AY287" s="4"/>
      <c r="AZ287" s="256"/>
      <c r="BA287" s="256"/>
    </row>
    <row r="288" spans="2:57" s="178" customFormat="1" ht="6.9" customHeight="1" x14ac:dyDescent="0.3">
      <c r="B288" s="1028"/>
      <c r="C288" s="1029"/>
      <c r="D288" s="1029"/>
      <c r="E288" s="1029"/>
      <c r="F288" s="1029"/>
      <c r="G288" s="1034"/>
      <c r="H288" s="1034"/>
      <c r="I288" s="1034"/>
      <c r="J288" s="1034"/>
      <c r="K288" s="1034"/>
      <c r="L288" s="1034"/>
      <c r="M288" s="1034"/>
      <c r="N288" s="1034"/>
      <c r="O288" s="1034"/>
      <c r="P288" s="1034"/>
      <c r="Q288" s="1034"/>
      <c r="R288" s="1034"/>
      <c r="S288" s="1034"/>
      <c r="T288" s="1034"/>
      <c r="U288" s="1034"/>
      <c r="V288" s="1034"/>
      <c r="W288" s="1034"/>
      <c r="X288" s="1034"/>
      <c r="Y288" s="1034"/>
      <c r="Z288" s="1034"/>
      <c r="AA288" s="1034"/>
      <c r="AB288" s="1034"/>
      <c r="AC288" s="1035"/>
      <c r="AD288" s="271"/>
      <c r="AE288" s="216"/>
      <c r="AF288" s="106"/>
      <c r="AG288" s="4"/>
      <c r="AH288" s="4">
        <f>IF(AA251=Ceny_n!$B$184,IF(AI242=1,Ceny!$F$942,IF(AI242=2,Ceny!$G$942,0)),0)</f>
        <v>0</v>
      </c>
      <c r="AI288" s="4"/>
      <c r="AJ288" s="4"/>
      <c r="AK288" s="4"/>
      <c r="AL288" s="4"/>
      <c r="AM288" s="4"/>
      <c r="AN288" s="4"/>
      <c r="AO288" s="4"/>
      <c r="AP288" s="4"/>
      <c r="AQ288" s="4"/>
      <c r="AR288" s="4"/>
      <c r="AS288" s="4"/>
      <c r="AT288" s="4"/>
      <c r="AU288" s="4"/>
      <c r="AV288" s="4"/>
      <c r="AW288" s="4"/>
      <c r="AX288" s="4"/>
      <c r="AY288" s="4"/>
      <c r="AZ288" s="256"/>
      <c r="BA288" s="256"/>
    </row>
    <row r="289" spans="2:59" s="178" customFormat="1" ht="7.5" customHeight="1" x14ac:dyDescent="0.3">
      <c r="B289" s="111"/>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c r="AC289" s="113"/>
      <c r="AD289" s="272"/>
      <c r="AE289" s="217"/>
      <c r="AF289" s="106"/>
      <c r="AG289" s="4"/>
      <c r="AH289" s="4" t="s">
        <v>684</v>
      </c>
      <c r="AI289" s="4"/>
      <c r="AJ289" s="4"/>
      <c r="AK289" s="4"/>
      <c r="AL289" s="4"/>
      <c r="AM289" s="4"/>
      <c r="AN289" s="4"/>
      <c r="AO289" s="4"/>
      <c r="AP289" s="4"/>
      <c r="AQ289" s="4"/>
      <c r="AR289" s="4"/>
      <c r="AS289" s="4"/>
      <c r="AT289" s="4"/>
      <c r="AU289" s="4"/>
      <c r="AV289" s="4"/>
      <c r="AW289" s="4"/>
      <c r="AX289" s="4"/>
      <c r="AY289" s="4"/>
      <c r="AZ289" s="256"/>
      <c r="BA289" s="256"/>
    </row>
    <row r="290" spans="2:59" s="4" customFormat="1" ht="25.8" x14ac:dyDescent="0.3">
      <c r="B290" s="141" t="s">
        <v>5</v>
      </c>
      <c r="C290" s="1090" t="str">
        <f>Ceny_n!$B$129</f>
        <v>Rámeček</v>
      </c>
      <c r="D290" s="1090"/>
      <c r="E290" s="1090"/>
      <c r="F290" s="1090"/>
      <c r="G290" s="1090"/>
      <c r="H290" s="1090"/>
      <c r="I290" s="1090"/>
      <c r="J290" s="1090"/>
      <c r="K290" s="1090"/>
      <c r="L290" s="1090"/>
      <c r="M290" s="1090"/>
      <c r="N290" s="1090"/>
      <c r="O290" s="1090"/>
      <c r="P290" s="1090"/>
      <c r="Q290" s="1090"/>
      <c r="R290" s="1090"/>
      <c r="S290" s="1090"/>
      <c r="T290" s="1090"/>
      <c r="U290" s="1090"/>
      <c r="V290" s="1090"/>
      <c r="W290" s="1090"/>
      <c r="X290" s="1090"/>
      <c r="Y290" s="1090"/>
      <c r="Z290" s="1090"/>
      <c r="AA290" s="1090"/>
      <c r="AB290" s="1090"/>
      <c r="AC290" s="1091"/>
      <c r="AD290" s="263"/>
      <c r="AE290" s="205"/>
      <c r="AF290" s="106"/>
      <c r="AZ290" s="256"/>
      <c r="BA290" s="256"/>
    </row>
    <row r="291" spans="2:59" s="4" customFormat="1" ht="15" thickBot="1" x14ac:dyDescent="0.35">
      <c r="B291" s="96"/>
      <c r="Y291" s="53"/>
      <c r="Z291" s="53"/>
      <c r="AA291" s="53"/>
      <c r="AB291" s="53"/>
      <c r="AC291" s="93"/>
      <c r="AD291" s="273" t="s">
        <v>1199</v>
      </c>
      <c r="AE291" s="206"/>
      <c r="AF291" s="106"/>
      <c r="AJ291" s="1092" t="s">
        <v>1531</v>
      </c>
      <c r="AK291" s="1092"/>
      <c r="AZ291" s="256"/>
      <c r="BA291" s="256"/>
    </row>
    <row r="292" spans="2:59" s="178" customFormat="1" ht="15" thickBot="1" x14ac:dyDescent="0.35">
      <c r="B292" s="97"/>
      <c r="C292" s="4"/>
      <c r="D292" s="1093" t="str">
        <f>IF(H292=1,AC301,"")</f>
        <v/>
      </c>
      <c r="E292" s="1094"/>
      <c r="F292" s="1094"/>
      <c r="G292" s="1094"/>
      <c r="H292" s="50">
        <f>IF(AG324=3,1,0)</f>
        <v>0</v>
      </c>
      <c r="I292" s="50"/>
      <c r="J292" s="50"/>
      <c r="K292" s="50" t="b">
        <f>IF(AG324=3,IF(AC300=4,1,0))</f>
        <v>0</v>
      </c>
      <c r="L292" s="50"/>
      <c r="M292" s="50" t="b">
        <f>IF(AG324=3,IF(AC300=3,1,0))</f>
        <v>0</v>
      </c>
      <c r="N292" s="50"/>
      <c r="O292" s="50" t="b">
        <f>IF(AG324=3,IF(AC300=4,1,0))</f>
        <v>0</v>
      </c>
      <c r="P292" s="50"/>
      <c r="Q292" s="50"/>
      <c r="R292" s="50">
        <f>IF(AG324=3,1,0)</f>
        <v>0</v>
      </c>
      <c r="S292" s="1095" t="str">
        <f>IF(R292=1,AC301,"")</f>
        <v/>
      </c>
      <c r="T292" s="1095"/>
      <c r="U292" s="1095"/>
      <c r="V292" s="1095"/>
      <c r="W292" s="1096"/>
      <c r="X292" s="53"/>
      <c r="Y292" s="54"/>
      <c r="Z292" s="4"/>
      <c r="AA292" s="948"/>
      <c r="AB292" s="948"/>
      <c r="AC292" s="98"/>
      <c r="AD292" s="257"/>
      <c r="AE292" s="199"/>
      <c r="AF292" s="106"/>
      <c r="AG292" s="4" t="s">
        <v>87</v>
      </c>
      <c r="AH292" s="4" t="s">
        <v>88</v>
      </c>
      <c r="AI292" s="4" t="s">
        <v>89</v>
      </c>
      <c r="AJ292" s="4" t="s">
        <v>6</v>
      </c>
      <c r="AK292" s="4"/>
      <c r="AL292" s="4" t="s">
        <v>99</v>
      </c>
      <c r="AM292" s="4" t="s">
        <v>90</v>
      </c>
      <c r="AN292" s="4" t="s">
        <v>109</v>
      </c>
      <c r="AO292" s="4"/>
      <c r="AP292" s="4" t="s">
        <v>91</v>
      </c>
      <c r="AQ292" s="4"/>
      <c r="AR292" s="4" t="s">
        <v>93</v>
      </c>
      <c r="AS292" s="4" t="s">
        <v>92</v>
      </c>
      <c r="AT292" s="4"/>
      <c r="AU292" s="4"/>
      <c r="AV292" s="4"/>
      <c r="AW292" s="4"/>
      <c r="AX292" s="4"/>
      <c r="AY292" s="4"/>
      <c r="AZ292" s="256"/>
      <c r="BA292" s="256"/>
      <c r="BB292" s="178">
        <v>0</v>
      </c>
      <c r="BD292" s="178" t="e">
        <f>IF(ISNA(VLOOKUP(AC298,#REF!,14,FALSE)),2,IF(VLOOKUP(AC298,#REF!,14,FALSE)="N",1,2))</f>
        <v>#REF!</v>
      </c>
    </row>
    <row r="293" spans="2:59" s="178" customFormat="1" ht="18" customHeight="1" x14ac:dyDescent="0.4">
      <c r="B293" s="97"/>
      <c r="C293" s="4"/>
      <c r="D293" s="1081" t="str">
        <f>IF(D297=1,AC301,"")</f>
        <v/>
      </c>
      <c r="E293" s="55"/>
      <c r="F293" s="56"/>
      <c r="G293" s="56"/>
      <c r="H293" s="56"/>
      <c r="I293" s="56"/>
      <c r="J293" s="56"/>
      <c r="K293" s="56"/>
      <c r="L293" s="56"/>
      <c r="M293" s="56"/>
      <c r="N293" s="56"/>
      <c r="O293" s="56"/>
      <c r="P293" s="56"/>
      <c r="Q293" s="56"/>
      <c r="R293" s="56"/>
      <c r="S293" s="56"/>
      <c r="T293" s="56"/>
      <c r="U293" s="56"/>
      <c r="V293" s="57"/>
      <c r="W293" s="1081" t="str">
        <f>IF(W297=1,AC301,"")</f>
        <v/>
      </c>
      <c r="X293" s="53"/>
      <c r="Y293" s="4"/>
      <c r="Z293" s="4"/>
      <c r="AA293" s="1097" t="str">
        <f>Ceny_n!$B$132</f>
        <v>Typ profilu</v>
      </c>
      <c r="AB293" s="1098"/>
      <c r="AC293" s="250" t="s">
        <v>991</v>
      </c>
      <c r="AD293" s="207" t="s">
        <v>1687</v>
      </c>
      <c r="AE293" s="207"/>
      <c r="AF293" s="106">
        <f>IF(AC297=AV_HL_SD,TYP_RAM,AG298)</f>
        <v>0</v>
      </c>
      <c r="AG293" s="4">
        <f>VLOOKUP(AC293,$B$348:$D$391,2,0)</f>
        <v>212.18</v>
      </c>
      <c r="AH293" s="4">
        <f>AG293*(((L322/1000)+(Y298/1000))*2)</f>
        <v>509.23199999999997</v>
      </c>
      <c r="AI293" s="4">
        <f>AH293*AC295</f>
        <v>0</v>
      </c>
      <c r="AJ293" s="4">
        <f>VLOOKUP(AC293,$B$348:$D$391,3,0)</f>
        <v>92.7</v>
      </c>
      <c r="AK293" s="4"/>
      <c r="AL293" s="4">
        <f>VLOOKUP(AC293,$B$348:$I$392,AH297,0)</f>
        <v>0</v>
      </c>
      <c r="AM293" s="4">
        <f>AJ293*AC295</f>
        <v>0</v>
      </c>
      <c r="AN293" s="4">
        <f>AL293*AC295</f>
        <v>0</v>
      </c>
      <c r="AO293" s="4"/>
      <c r="AP293" s="4">
        <f>VLOOKUP(AC294,$B$403:$C$477,2,0)</f>
        <v>0</v>
      </c>
      <c r="AQ293" s="4"/>
      <c r="AR293" s="4">
        <f>(L322/1000)*(Y298/1000)*AP293</f>
        <v>0</v>
      </c>
      <c r="AS293" s="4">
        <f>AR293*AC295</f>
        <v>0</v>
      </c>
      <c r="AT293" s="4"/>
      <c r="AU293" s="4"/>
      <c r="AV293" s="4"/>
      <c r="AW293" s="4"/>
      <c r="AX293" s="4"/>
      <c r="AY293" s="4"/>
      <c r="AZ293" s="256"/>
      <c r="BA293" s="256"/>
      <c r="BB293" s="1099" t="s">
        <v>1218</v>
      </c>
      <c r="BC293" s="1099"/>
      <c r="BD293" s="1099"/>
      <c r="BE293" s="1099"/>
      <c r="BF293" s="1099"/>
      <c r="BG293" s="1099"/>
    </row>
    <row r="294" spans="2:59" s="178" customFormat="1" ht="18" customHeight="1" thickBot="1" x14ac:dyDescent="0.35">
      <c r="B294" s="97"/>
      <c r="C294" s="4"/>
      <c r="D294" s="1081"/>
      <c r="E294" s="58"/>
      <c r="F294" s="59"/>
      <c r="G294" s="59"/>
      <c r="H294" s="59"/>
      <c r="I294" s="59"/>
      <c r="J294" s="59"/>
      <c r="K294" s="59"/>
      <c r="L294" s="59"/>
      <c r="M294" s="59"/>
      <c r="N294" s="59"/>
      <c r="O294" s="59"/>
      <c r="P294" s="59"/>
      <c r="Q294" s="59"/>
      <c r="R294" s="59"/>
      <c r="S294" s="59"/>
      <c r="T294" s="59"/>
      <c r="U294" s="59"/>
      <c r="V294" s="60"/>
      <c r="W294" s="1081"/>
      <c r="X294" s="53"/>
      <c r="Y294" s="4"/>
      <c r="Z294" s="4"/>
      <c r="AA294" s="1084" t="str">
        <f>Ceny_n!$B$133</f>
        <v>Typ skla</v>
      </c>
      <c r="AB294" s="1085"/>
      <c r="AC294" s="251"/>
      <c r="AD294" s="207" t="s">
        <v>1539</v>
      </c>
      <c r="AE294" s="208"/>
      <c r="AF294" s="178" t="str">
        <f>Ceny_n!$B$199</f>
        <v>Vyberte ze seznamu</v>
      </c>
      <c r="AG294" s="4" t="s">
        <v>220</v>
      </c>
      <c r="AH294" s="4" t="s">
        <v>226</v>
      </c>
      <c r="AI294" s="4" t="s">
        <v>227</v>
      </c>
      <c r="AJ294" s="4" t="s">
        <v>371</v>
      </c>
      <c r="AK294" s="4"/>
      <c r="AL294" s="4" t="s">
        <v>29</v>
      </c>
      <c r="AM294" s="4"/>
      <c r="AN294" s="4"/>
      <c r="AO294" s="4"/>
      <c r="AP294" s="4"/>
      <c r="AQ294" s="4"/>
      <c r="AR294" s="4"/>
      <c r="AS294" s="4"/>
      <c r="AT294" s="4"/>
      <c r="AU294" s="4"/>
      <c r="AV294" s="4"/>
      <c r="AW294" s="4"/>
      <c r="AX294" s="4"/>
      <c r="AY294" s="4"/>
      <c r="AZ294" s="256"/>
      <c r="BA294" s="256"/>
      <c r="BB294" s="219" t="s">
        <v>1058</v>
      </c>
      <c r="BC294" s="220" t="s">
        <v>1064</v>
      </c>
      <c r="BD294" s="223" t="s">
        <v>1085</v>
      </c>
      <c r="BE294" s="223"/>
      <c r="BF294" s="178" t="s">
        <v>1173</v>
      </c>
      <c r="BG294" s="178" t="s">
        <v>1174</v>
      </c>
    </row>
    <row r="295" spans="2:59" s="178" customFormat="1" ht="18" customHeight="1" thickBot="1" x14ac:dyDescent="0.35">
      <c r="B295" s="97"/>
      <c r="C295" s="4"/>
      <c r="D295" s="1081"/>
      <c r="E295" s="58"/>
      <c r="F295" s="59"/>
      <c r="G295" s="59"/>
      <c r="H295" s="59"/>
      <c r="I295" s="59"/>
      <c r="J295" s="59"/>
      <c r="K295" s="59"/>
      <c r="L295" s="59"/>
      <c r="M295" s="59"/>
      <c r="N295" s="59"/>
      <c r="O295" s="59"/>
      <c r="P295" s="59"/>
      <c r="Q295" s="59"/>
      <c r="R295" s="59"/>
      <c r="S295" s="59"/>
      <c r="T295" s="59"/>
      <c r="U295" s="59"/>
      <c r="V295" s="60"/>
      <c r="W295" s="1081"/>
      <c r="X295" s="53"/>
      <c r="Y295" s="4"/>
      <c r="Z295" s="4"/>
      <c r="AA295" s="1084" t="str">
        <f>Ceny_n!$B$134</f>
        <v>Počet kusů</v>
      </c>
      <c r="AB295" s="1085"/>
      <c r="AC295" s="251"/>
      <c r="AD295" s="207" t="s">
        <v>1202</v>
      </c>
      <c r="AE295" s="208"/>
      <c r="AF295" s="178" t="str">
        <f>IF(AC293=AF294,"",Ceny!$B$141)</f>
        <v>Závěsy</v>
      </c>
      <c r="AG295" s="4">
        <f>VLOOKUP(AR296,Ceny!$B$847:$D$917,3,0)</f>
        <v>0</v>
      </c>
      <c r="AH295" s="4" t="e">
        <f>VLOOKUP(AW296,Ceny!$B$847:$D$917,3,0)</f>
        <v>#REF!</v>
      </c>
      <c r="AI295" s="4" t="e">
        <f>(AG295+AH295)*AC295*AC300</f>
        <v>#REF!</v>
      </c>
      <c r="AJ295" s="4">
        <f>IF(AC305=0,0,VLOOKUP(AC305,AI319:AY333,13,0))</f>
        <v>0</v>
      </c>
      <c r="AK295" s="4"/>
      <c r="AL295" s="4">
        <f>AG315*AC295*AJ295</f>
        <v>0</v>
      </c>
      <c r="AM295" s="4"/>
      <c r="AN295" s="4"/>
      <c r="AO295" s="4"/>
      <c r="AP295" s="1092" t="s">
        <v>1532</v>
      </c>
      <c r="AQ295" s="1092"/>
      <c r="AR295" s="4"/>
      <c r="AS295" s="4"/>
      <c r="AT295" s="4"/>
      <c r="AU295" s="4"/>
      <c r="AV295" s="4"/>
      <c r="AW295" s="4"/>
      <c r="AX295" s="4"/>
      <c r="AY295" s="4"/>
      <c r="AZ295" s="256"/>
      <c r="BA295" s="256"/>
      <c r="BB295" s="61" t="e">
        <f t="array" ref="BB295:BB312">IF(AI296=1,PANT_HETTICH_WIDE,PANT_HETTICH_SLIM)</f>
        <v>#REF!</v>
      </c>
      <c r="BC295" s="227" t="e">
        <f t="array" ref="BC295:BC312">IF(AI296=2,PANT_BLUM_WIDE,PANT_BLUM_SLIM)</f>
        <v>#REF!</v>
      </c>
      <c r="BD295" s="61" t="e">
        <f t="array" ref="BD295:BD335">IF(ISNA(IF(AND(AI296=2,AC304=NAHORE),VYKLOP_UP_WIDE,
IF(AND(AI296=2,AC304=DOLE),VYKLOP_DWN_WIDE,
IF(AND(AI296=1,AC304=NAHORE),VYKLOP_UP_SLIM,
IF(AND(AI296=1,AC304=DOLE),VYKLOP_DWN_SLIM,""))))),"",IF(BD292=2,"",IF(AND(AI296=2,AC304=NAHORE),VYKLOP_UP_WIDE,
IF(AND(AI296=2,AC304=DOLE),VYKLOP_DWN_WIDE,
IF(AND(AI296=1,AC304=NAHORE),VYKLOP_UP_SLIM,
IF(AND(AI296=1,AC304=DOLE),VYKLOP_DWN_SLIM,""))))))</f>
        <v>#REF!</v>
      </c>
      <c r="BE295" s="178" t="e">
        <f>IF(OR(ISNA(BD295),BD295=""),"",1)</f>
        <v>#REF!</v>
      </c>
      <c r="BF295" s="61" t="e">
        <f t="array" ref="BF295:BF311">IF(AI296=1,PANT_STRONG_SLIM_BTL,PANT_STRONG_WIDE_BTL)</f>
        <v>#REF!</v>
      </c>
      <c r="BG295" s="61" t="e">
        <f t="array" ref="BG295:BG311">IF(AI296=1,PANT_STRONG_SLIM_STL,PANT_STRONG_WIDE_STL)</f>
        <v>#REF!</v>
      </c>
    </row>
    <row r="296" spans="2:59" s="178" customFormat="1" ht="18" customHeight="1" thickBot="1" x14ac:dyDescent="0.45">
      <c r="B296" s="97"/>
      <c r="C296" s="4"/>
      <c r="D296" s="1081"/>
      <c r="E296" s="58"/>
      <c r="F296" s="59"/>
      <c r="G296" s="59"/>
      <c r="H296" s="59"/>
      <c r="I296" s="59"/>
      <c r="J296" s="59"/>
      <c r="K296" s="59"/>
      <c r="L296" s="59"/>
      <c r="M296" s="59"/>
      <c r="N296" s="59"/>
      <c r="O296" s="59"/>
      <c r="P296" s="59"/>
      <c r="Q296" s="59"/>
      <c r="R296" s="59"/>
      <c r="S296" s="59"/>
      <c r="T296" s="59"/>
      <c r="U296" s="59"/>
      <c r="V296" s="60"/>
      <c r="W296" s="1081"/>
      <c r="X296" s="53"/>
      <c r="Y296" s="4"/>
      <c r="Z296" s="4"/>
      <c r="AA296" s="1084" t="str">
        <f>Ceny_n!$B$215</f>
        <v>Typ kování</v>
      </c>
      <c r="AB296" s="1085"/>
      <c r="AC296" s="251"/>
      <c r="AD296" s="207" t="s">
        <v>1196</v>
      </c>
      <c r="AE296" s="208"/>
      <c r="AF296" s="106" t="str">
        <f>IF(AC293=AF294,"",AV_HF)</f>
        <v>AVENTOS HF</v>
      </c>
      <c r="AG296" s="4"/>
      <c r="AH296" s="4"/>
      <c r="AI296" s="4" t="e">
        <f>IF(AC293=AF294,0,VLOOKUP(AC293,#REF!,2,0))</f>
        <v>#REF!</v>
      </c>
      <c r="AJ296" s="235" t="str">
        <f>IF(AC296=AV_HF,HOR_DV,
IF(AC296=AV_HF_SD,HOR_DV,
IF(AC296=AV_OST,AV_HK,
IF(AC296=ZAVESY,PRAZDNE_1,""))))</f>
        <v/>
      </c>
      <c r="AK296" s="236" t="str">
        <f t="shared" ref="AK296:AK307" si="36">IF(OR(ISNA(AJ296),AJ296=""),"",1)</f>
        <v/>
      </c>
      <c r="AL296" s="948" t="s">
        <v>21</v>
      </c>
      <c r="AM296" s="948"/>
      <c r="AN296" s="948"/>
      <c r="AO296" s="247"/>
      <c r="AP296" s="4">
        <f>IF(AE298=AP297,1,IF(AE298=AP298,2,IF(AE298=AP299,3,IF(AE298=AP300,4,IF(AE298=AP301,5,IF(AE298=AP302,6,IF(AE298=AP303,7,0)))))))</f>
        <v>1</v>
      </c>
      <c r="AQ296" s="4"/>
      <c r="AR296" s="218">
        <f>VLOOKUP(AP296,AL297:AR622,5,0)</f>
        <v>0</v>
      </c>
      <c r="AS296" s="1100" t="s">
        <v>1185</v>
      </c>
      <c r="AT296" s="1100"/>
      <c r="AU296" s="4" t="e">
        <f>IF(AE299=AU297,1,IF(AE299=AU298,2,0))</f>
        <v>#REF!</v>
      </c>
      <c r="AV296" s="4"/>
      <c r="AW296" s="4" t="e">
        <f>VLOOKUP(AU296,AL297:AS298,6,0)</f>
        <v>#REF!</v>
      </c>
      <c r="AX296" s="4"/>
      <c r="AY296" s="4"/>
      <c r="AZ296" s="256"/>
      <c r="BA296" s="256"/>
      <c r="BB296" s="62" t="e">
        <v>#REF!</v>
      </c>
      <c r="BC296" s="228" t="e">
        <v>#REF!</v>
      </c>
      <c r="BD296" s="62" t="e">
        <v>#REF!</v>
      </c>
      <c r="BE296" s="178" t="e">
        <f t="shared" ref="BE296:BE335" si="37">IF(OR(ISNA(BD296),BD296=""),"",1)</f>
        <v>#REF!</v>
      </c>
      <c r="BF296" s="62" t="e">
        <v>#REF!</v>
      </c>
      <c r="BG296" s="62" t="e">
        <v>#REF!</v>
      </c>
    </row>
    <row r="297" spans="2:59" s="178" customFormat="1" ht="18" customHeight="1" x14ac:dyDescent="0.35">
      <c r="B297" s="97"/>
      <c r="C297" s="4"/>
      <c r="D297" s="49">
        <f>IF(AG324=2,1,0)</f>
        <v>0</v>
      </c>
      <c r="E297" s="58"/>
      <c r="F297" s="59"/>
      <c r="G297" s="59"/>
      <c r="H297" s="59"/>
      <c r="I297" s="59"/>
      <c r="J297" s="59"/>
      <c r="K297" s="59"/>
      <c r="L297" s="59"/>
      <c r="M297" s="59"/>
      <c r="N297" s="59"/>
      <c r="O297" s="59"/>
      <c r="P297" s="59"/>
      <c r="Q297" s="59"/>
      <c r="R297" s="59"/>
      <c r="S297" s="59"/>
      <c r="T297" s="59"/>
      <c r="U297" s="59"/>
      <c r="V297" s="60"/>
      <c r="W297" s="49">
        <f>IF(AG324=1,1,0)</f>
        <v>0</v>
      </c>
      <c r="X297" s="53"/>
      <c r="Y297" s="4"/>
      <c r="Z297" s="4"/>
      <c r="AA297" s="1084">
        <f>IF(AC296=AV_HF,POZ_RAM,
IF(AC296=AV_HF_SD,POZ_RAM,
IF(AC296=ZAVESY,VYR_ZAVES,
IF(AC296=AV_OST,TYP_AV,0))))</f>
        <v>0</v>
      </c>
      <c r="AB297" s="1085"/>
      <c r="AC297" s="252"/>
      <c r="AD297" s="265" t="s">
        <v>1214</v>
      </c>
      <c r="AE297" s="209"/>
      <c r="AF297" s="106" t="str">
        <f>IF(AC293=AF294,"",AV_HF_SD)</f>
        <v>AVENTOS HF Servo Drive</v>
      </c>
      <c r="AG297" s="4"/>
      <c r="AH297" s="4">
        <f>IF(AC296=AV_HF,5,IF(AC296=AV_HF_SD,5,IF(AC296=AV_OST,5,8)))</f>
        <v>8</v>
      </c>
      <c r="AI297" s="232" t="e">
        <f>IF(AI296=1,$B$480,IF(AI296=2,$B$484,0))</f>
        <v>#REF!</v>
      </c>
      <c r="AJ297" s="237" t="str">
        <f>IF(AC296=AV_HF,DOL_DV,
IF(AC296=AV_HF_SD,DOL_DV,
IF(AC296=AV_OST,AV_HK_TIP,
IF(AC296=ZAVESY,BLUM,""))))</f>
        <v/>
      </c>
      <c r="AK297" s="238" t="str">
        <f t="shared" si="36"/>
        <v/>
      </c>
      <c r="AL297" s="4">
        <v>1</v>
      </c>
      <c r="AM297" s="4" t="e">
        <f>IF(AC297=PRAZDNE_1,AI297,IF(AC297=BLUM,BC295,IF(AC297=STRONG_INT_TL,AI314,IF(AC297=STRONG_BINT_TL,AI310,IF(AC297=HETTICH,BB295,"")))))</f>
        <v>#REF!</v>
      </c>
      <c r="AN297" s="4" t="e">
        <f t="shared" ref="AN297:AN311" si="38">IF(ISNA(VLOOKUP(AM297,$B$480:$C$615,2,0)),"",VLOOKUP(AM297,$B$480:$C$615,2,0))</f>
        <v>#REF!</v>
      </c>
      <c r="AO297" s="4" t="e">
        <f>CONCATENATE(AN297," (",AM297,")")</f>
        <v>#REF!</v>
      </c>
      <c r="AP297" s="241">
        <f t="array" ref="AP297:AP322">IF(OR(AC296=AV_HF,AC296=AV_HF_SD),HF_TYP_2_CILKA,
IF(AC297=AV_HL,TYP_RAM_AV_HL1,
IF(AC297=AV_HL_SD,TYP_RAM_AV_HL,
IF(OR(AC297=AV_HKXS,AC297=AV_HKXS_TIP),UMISTENI_RAM_HKXS,
IF(AC297=HETTICH,T1_PANT_HETTICH,
IF(AC297=BLUM,T1_PANT_BLUM,
IF(AC297=STRONG_BINT_TL,T1_PANT_STRONG_BTL,
IF(AC297=STRONG_INT_TL,T1_PANT_STRONG_STL,PRAZDNE_1))))))))</f>
        <v>0</v>
      </c>
      <c r="AQ297" s="236" t="str">
        <f>IF(OR(ISNA(AP297),AP297=0),"",1)</f>
        <v/>
      </c>
      <c r="AR297" s="4"/>
      <c r="AS297" s="244" t="e">
        <f>VLOOKUP(AR296,#REF!,8,0)</f>
        <v>#REF!</v>
      </c>
      <c r="AT297" s="236" t="e">
        <f>IF(OR(ISNA(AS297),AS297=0),"",1)</f>
        <v>#REF!</v>
      </c>
      <c r="AU297" s="4" t="e">
        <f>IF(OR(ISNA(AS297),AS297=0),PRAZDNE_1,VLOOKUP(AR296,#REF!,5,FALSE))</f>
        <v>#REF!</v>
      </c>
      <c r="AV297" s="4"/>
      <c r="AW297" s="4"/>
      <c r="AX297" s="4"/>
      <c r="AY297" s="4"/>
      <c r="AZ297" s="256"/>
      <c r="BA297" s="256"/>
      <c r="BB297" s="62" t="e">
        <v>#REF!</v>
      </c>
      <c r="BC297" s="228" t="e">
        <v>#REF!</v>
      </c>
      <c r="BD297" s="62" t="e">
        <v>#REF!</v>
      </c>
      <c r="BE297" s="178" t="e">
        <f t="shared" si="37"/>
        <v>#REF!</v>
      </c>
      <c r="BF297" s="62" t="e">
        <v>#REF!</v>
      </c>
      <c r="BG297" s="62" t="e">
        <v>#REF!</v>
      </c>
    </row>
    <row r="298" spans="2:59" s="178" customFormat="1" ht="18" customHeight="1" x14ac:dyDescent="0.5">
      <c r="B298" s="97"/>
      <c r="C298" s="4"/>
      <c r="D298" s="49"/>
      <c r="E298" s="58"/>
      <c r="F298" s="59"/>
      <c r="G298" s="59"/>
      <c r="H298" s="59"/>
      <c r="I298" s="59"/>
      <c r="J298" s="59"/>
      <c r="K298" s="59"/>
      <c r="L298" s="59"/>
      <c r="M298" s="59"/>
      <c r="N298" s="59"/>
      <c r="O298" s="59"/>
      <c r="P298" s="59"/>
      <c r="Q298" s="59"/>
      <c r="R298" s="44"/>
      <c r="S298" s="44"/>
      <c r="T298" s="44"/>
      <c r="U298" s="44"/>
      <c r="V298" s="45"/>
      <c r="W298" s="49"/>
      <c r="X298" s="53"/>
      <c r="Y298" s="1086">
        <v>600</v>
      </c>
      <c r="Z298" s="4"/>
      <c r="AA298" s="1084">
        <f>IF(AC297=AV_HF,HM_UCH,
IF(OR('Běžné rámečky'!AC297=AV_HKS,'Běžné rámečky'!AC297=AV_HS),HM_UCH,
IF(AC297=AV_HL,TYP_RAM,
IF(AC296=ZAVESY,TYP_ZAV,
IF(AC296=AV_HF,PROV_2_CILKA,
IF(AC296=AV_HF_SD,PROV_2_CILKA,
IF(AC297=AV_HK_SD,HM_UCH,
IF(AC297=AV_HK,HM_UCH,
IF(AC297=AV_HKXS,POZICE_RAMENE,
IF(AC297=AV_HKXS_TIP,POZICE_RAMENE,AF293))))))))))</f>
        <v>0</v>
      </c>
      <c r="AB298" s="1085"/>
      <c r="AC298" s="252"/>
      <c r="AD298" s="266" t="s">
        <v>1215</v>
      </c>
      <c r="AE298" s="210">
        <f>IF(AA298=HM_UCH,0,AC298)</f>
        <v>0</v>
      </c>
      <c r="AF298" s="106" t="str">
        <f>IF(AC293=AF294,"",AV_OST)</f>
        <v>Aventos ostatní</v>
      </c>
      <c r="AG298" s="4">
        <f>IF(AC297=AV_HL_SD,HM_UCH,IF(AC297=AV_HS_SD,HM_UCH,0))</f>
        <v>0</v>
      </c>
      <c r="AH298" s="4"/>
      <c r="AI298" s="233" t="e">
        <f>IF(AI296=1,$B$481,IF(AI296=2,$B$485,0))</f>
        <v>#REF!</v>
      </c>
      <c r="AJ298" s="237" t="str">
        <f>IF(AC296=AV_OST,AV_HK_SD,
IF(AC296=ZAVESY,HETTICH,""))</f>
        <v/>
      </c>
      <c r="AK298" s="238" t="str">
        <f t="shared" si="36"/>
        <v/>
      </c>
      <c r="AL298" s="4">
        <v>2</v>
      </c>
      <c r="AM298" s="4" t="e">
        <f>IF(AC297=PRAZDNE_1,AI298,IF(AC297=BLUM,BC296,IF(AC297=STRONG_INT_TL,AI315,IF(AC297=STRONG_BINT_TL,AI311,IF(AC297=HETTICH,BB296,"")))))</f>
        <v>#REF!</v>
      </c>
      <c r="AN298" s="4" t="e">
        <f t="shared" si="38"/>
        <v>#REF!</v>
      </c>
      <c r="AO298" s="4" t="e">
        <f t="shared" ref="AO298:AO322" si="39">CONCATENATE(AN298," (",AM298,")")</f>
        <v>#REF!</v>
      </c>
      <c r="AP298" s="242">
        <v>0</v>
      </c>
      <c r="AQ298" s="238" t="str">
        <f t="shared" ref="AQ298:AQ322" si="40">IF(OR(ISNA(AP298),AP298=0),"",1)</f>
        <v/>
      </c>
      <c r="AR298" s="4"/>
      <c r="AS298" s="245" t="e">
        <f>VLOOKUP(AR296,#REF!,9,0)</f>
        <v>#REF!</v>
      </c>
      <c r="AT298" s="238" t="e">
        <f t="shared" ref="AT298:AT306" si="41">IF(OR(ISNA(AS298),AS298=0),"",1)</f>
        <v>#REF!</v>
      </c>
      <c r="AU298" s="4" t="e">
        <f>IF(OR(ISNA(AS298),AS298=0),PRAZDNE_1,VLOOKUP(AR297,#REF!,5,FALSE))</f>
        <v>#REF!</v>
      </c>
      <c r="AV298" s="4"/>
      <c r="AW298" s="4"/>
      <c r="AX298" s="4"/>
      <c r="AY298" s="4"/>
      <c r="AZ298" s="256"/>
      <c r="BA298" s="256"/>
      <c r="BB298" s="62" t="e">
        <v>#REF!</v>
      </c>
      <c r="BC298" s="228" t="e">
        <v>#REF!</v>
      </c>
      <c r="BD298" s="62" t="e">
        <v>#REF!</v>
      </c>
      <c r="BE298" s="178" t="e">
        <f t="shared" si="37"/>
        <v>#REF!</v>
      </c>
      <c r="BF298" s="62" t="e">
        <v>#REF!</v>
      </c>
      <c r="BG298" s="62" t="e">
        <v>#REF!</v>
      </c>
    </row>
    <row r="299" spans="2:59" s="178" customFormat="1" ht="18" customHeight="1" x14ac:dyDescent="0.35">
      <c r="B299" s="97"/>
      <c r="C299" s="4"/>
      <c r="D299" s="49"/>
      <c r="E299" s="58"/>
      <c r="F299" s="59"/>
      <c r="G299" s="59"/>
      <c r="H299" s="59"/>
      <c r="I299" s="59"/>
      <c r="J299" s="59"/>
      <c r="K299" s="59"/>
      <c r="L299" s="59"/>
      <c r="M299" s="59"/>
      <c r="N299" s="59"/>
      <c r="O299" s="59"/>
      <c r="P299" s="59"/>
      <c r="Q299" s="59"/>
      <c r="R299" s="46" t="s">
        <v>15</v>
      </c>
      <c r="S299" s="59"/>
      <c r="T299" s="59"/>
      <c r="U299" s="63"/>
      <c r="V299" s="60"/>
      <c r="W299" s="49"/>
      <c r="X299" s="4"/>
      <c r="Y299" s="1087"/>
      <c r="Z299" s="4"/>
      <c r="AA299" s="1084">
        <f>IF(AC296=AV_HF,HM_UCH,
IF(AC297=AV_HL,HM_UCH,
IF('Běžné rámečky'!AC297=AV_HL_SD,HM_UCH,
IF(AC296=AV_HF_SD,HM_UCH,
IF(AC296=ZAVESY,TYP_PODL,IF(AC297=AV_HKXS,HM_UCH,0))))))</f>
        <v>0</v>
      </c>
      <c r="AB299" s="1085"/>
      <c r="AC299" s="252"/>
      <c r="AD299" s="266" t="s">
        <v>1540</v>
      </c>
      <c r="AE299" s="210">
        <f>IF(AA299=HM_UCH,0,AC299)</f>
        <v>0</v>
      </c>
      <c r="AF299" s="106" t="str">
        <f>IF(AC293=$B$372,0,$J$353)</f>
        <v>Závěsy se zvedacím pístem</v>
      </c>
      <c r="AG299" s="4"/>
      <c r="AH299" s="4"/>
      <c r="AI299" s="233" t="e">
        <f>IF(AI296=1,$B$482,IF(AI296=2,$B$486,0))</f>
        <v>#REF!</v>
      </c>
      <c r="AJ299" s="237" t="str">
        <f>IF(AC296=AV_OST,AV_HL,
IF(AC296=ZAVESY,STRONG_INT_TL,""))</f>
        <v/>
      </c>
      <c r="AK299" s="238" t="str">
        <f t="shared" si="36"/>
        <v/>
      </c>
      <c r="AL299" s="4">
        <v>3</v>
      </c>
      <c r="AM299" s="4" t="e">
        <f>IF(AC297=PRAZDNE_1,AI299,IF(AC297=BLUM,BC297,IF(AC297=STRONG_INT_TL,AI316,IF(AC297=STRONG_BINT_TL,AI312,IF(AC297=HETTICH,BB297,"")))))</f>
        <v>#REF!</v>
      </c>
      <c r="AN299" s="4" t="e">
        <f t="shared" si="38"/>
        <v>#REF!</v>
      </c>
      <c r="AO299" s="4" t="e">
        <f t="shared" si="39"/>
        <v>#REF!</v>
      </c>
      <c r="AP299" s="242">
        <v>0</v>
      </c>
      <c r="AQ299" s="238" t="str">
        <f t="shared" si="40"/>
        <v/>
      </c>
      <c r="AR299" s="4"/>
      <c r="AS299" s="245" t="e">
        <f>VLOOKUP(AR296,#REF!,10,0)</f>
        <v>#REF!</v>
      </c>
      <c r="AT299" s="238" t="e">
        <f t="shared" si="41"/>
        <v>#REF!</v>
      </c>
      <c r="AU299" s="4" t="e">
        <f>IF(OR(ISNA(AS299),AS299=0),PRAZDNE_1,VLOOKUP(AR298,#REF!,5,FALSE))</f>
        <v>#REF!</v>
      </c>
      <c r="AV299" s="4"/>
      <c r="AW299" s="4"/>
      <c r="AX299" s="4"/>
      <c r="AY299" s="4"/>
      <c r="AZ299" s="256"/>
      <c r="BA299" s="256"/>
      <c r="BB299" s="62" t="e">
        <v>#REF!</v>
      </c>
      <c r="BC299" s="228" t="e">
        <v>#REF!</v>
      </c>
      <c r="BD299" s="62" t="e">
        <v>#REF!</v>
      </c>
      <c r="BE299" s="178" t="e">
        <f t="shared" si="37"/>
        <v>#REF!</v>
      </c>
      <c r="BF299" s="62" t="e">
        <v>#REF!</v>
      </c>
      <c r="BG299" s="62" t="e">
        <v>#REF!</v>
      </c>
    </row>
    <row r="300" spans="2:59" s="178" customFormat="1" ht="18" customHeight="1" x14ac:dyDescent="0.3">
      <c r="B300" s="97"/>
      <c r="C300" s="4"/>
      <c r="D300" s="49" t="b">
        <f>IF(AG324=2,IF(AC300=4,1,0))</f>
        <v>0</v>
      </c>
      <c r="E300" s="58"/>
      <c r="F300" s="59"/>
      <c r="G300" s="59"/>
      <c r="H300" s="59"/>
      <c r="I300" s="59"/>
      <c r="J300" s="59"/>
      <c r="K300" s="59"/>
      <c r="L300" s="59"/>
      <c r="M300" s="59"/>
      <c r="N300" s="59"/>
      <c r="O300" s="59"/>
      <c r="P300" s="59"/>
      <c r="Q300" s="59"/>
      <c r="R300" s="59"/>
      <c r="S300" s="64"/>
      <c r="T300" s="65"/>
      <c r="U300" s="63"/>
      <c r="V300" s="60"/>
      <c r="W300" s="49" t="b">
        <f>IF(AG324=1,IF(AC300=4,1,0))</f>
        <v>0</v>
      </c>
      <c r="X300" s="40"/>
      <c r="Y300" s="1087"/>
      <c r="Z300" s="4"/>
      <c r="AA300" s="1084">
        <f>IF(AC296=ZAVESY,POC_ZAVES,0)</f>
        <v>0</v>
      </c>
      <c r="AB300" s="1085"/>
      <c r="AC300" s="251"/>
      <c r="AD300" s="207" t="s">
        <v>1201</v>
      </c>
      <c r="AE300" s="208"/>
      <c r="AF300" s="106"/>
      <c r="AG300" s="4"/>
      <c r="AH300" s="4"/>
      <c r="AI300" s="233" t="e">
        <f>IF(AI296=1,$B$483,IF(AI296=2,$B$487,0))</f>
        <v>#REF!</v>
      </c>
      <c r="AJ300" s="237" t="str">
        <f>IF(AC296=AV_OST,AV_HL_SD,
IF(AC296=ZAVESY,STRONG_BINT_TL,""))</f>
        <v/>
      </c>
      <c r="AK300" s="238" t="str">
        <f t="shared" si="36"/>
        <v/>
      </c>
      <c r="AL300" s="4">
        <v>4</v>
      </c>
      <c r="AM300" s="4" t="e">
        <f>IF(AC297=PRAZDNE_1,AI300,IF(AC297=BLUM,BC298,IF(AC297=STRONG_INT_TL,AI317,IF(AC297=STRONG_BINT_TL,AI313,IF(AC297=HETTICH,BB298,"")))))</f>
        <v>#REF!</v>
      </c>
      <c r="AN300" s="4" t="e">
        <f t="shared" si="38"/>
        <v>#REF!</v>
      </c>
      <c r="AO300" s="4" t="e">
        <f t="shared" si="39"/>
        <v>#REF!</v>
      </c>
      <c r="AP300" s="242">
        <v>0</v>
      </c>
      <c r="AQ300" s="238" t="str">
        <f t="shared" si="40"/>
        <v/>
      </c>
      <c r="AR300" s="4"/>
      <c r="AS300" s="245" t="e">
        <f>VLOOKUP(AR296,#REF!,11,0)</f>
        <v>#REF!</v>
      </c>
      <c r="AT300" s="238" t="e">
        <f t="shared" si="41"/>
        <v>#REF!</v>
      </c>
      <c r="AU300" s="4"/>
      <c r="AV300" s="4"/>
      <c r="AW300" s="4"/>
      <c r="AX300" s="4"/>
      <c r="AY300" s="4"/>
      <c r="AZ300" s="256"/>
      <c r="BA300" s="256"/>
      <c r="BB300" s="62" t="e">
        <v>#REF!</v>
      </c>
      <c r="BC300" s="228" t="e">
        <v>#REF!</v>
      </c>
      <c r="BD300" s="62" t="e">
        <v>#REF!</v>
      </c>
      <c r="BE300" s="178" t="e">
        <f t="shared" si="37"/>
        <v>#REF!</v>
      </c>
      <c r="BF300" s="62" t="e">
        <v>#REF!</v>
      </c>
      <c r="BG300" s="62" t="e">
        <v>#REF!</v>
      </c>
    </row>
    <row r="301" spans="2:59" s="178" customFormat="1" ht="18" customHeight="1" x14ac:dyDescent="0.3">
      <c r="B301" s="97"/>
      <c r="C301" s="4"/>
      <c r="D301" s="49"/>
      <c r="E301" s="58"/>
      <c r="F301" s="59"/>
      <c r="G301" s="59"/>
      <c r="H301" s="59"/>
      <c r="I301" s="59"/>
      <c r="J301" s="59"/>
      <c r="K301" s="59"/>
      <c r="L301" s="59"/>
      <c r="M301" s="59"/>
      <c r="N301" s="59"/>
      <c r="O301" s="59"/>
      <c r="P301" s="59"/>
      <c r="Q301" s="59"/>
      <c r="R301" s="59"/>
      <c r="S301" s="1088"/>
      <c r="T301" s="65"/>
      <c r="U301" s="63"/>
      <c r="V301" s="60"/>
      <c r="W301" s="49"/>
      <c r="X301" s="4"/>
      <c r="Y301" s="1087"/>
      <c r="Z301" s="4"/>
      <c r="AA301" s="1084">
        <f>IF(AC296=ZAVESY,VZD_ZAVES,0)</f>
        <v>0</v>
      </c>
      <c r="AB301" s="1085"/>
      <c r="AC301" s="253"/>
      <c r="AD301" s="207" t="s">
        <v>1202</v>
      </c>
      <c r="AE301" s="211"/>
      <c r="AF301" s="1089"/>
      <c r="AG301" s="4"/>
      <c r="AH301" s="4"/>
      <c r="AI301" s="233" t="e">
        <f>IF(AI296=2,$B$488,0)</f>
        <v>#REF!</v>
      </c>
      <c r="AJ301" s="237" t="str">
        <f>IF(AC296=AV_OST,AV_HS,
IF(AC296=ZAVESY,
IF(AI296=1,PANT_STRONG_PLUS_SLIM,PANT_STRONG_SLIM_BTL),""))</f>
        <v/>
      </c>
      <c r="AK301" s="238" t="str">
        <f t="shared" si="36"/>
        <v/>
      </c>
      <c r="AL301" s="4">
        <v>5</v>
      </c>
      <c r="AM301" s="4" t="e">
        <f>IF(AC297=PRAZDNE_1,AI301,IF(AC297=BLUM,BC299,IF(AC297=HETTICH,BB299,"")))</f>
        <v>#REF!</v>
      </c>
      <c r="AN301" s="4" t="e">
        <f t="shared" si="38"/>
        <v>#REF!</v>
      </c>
      <c r="AO301" s="4" t="e">
        <f t="shared" si="39"/>
        <v>#REF!</v>
      </c>
      <c r="AP301" s="242">
        <v>0</v>
      </c>
      <c r="AQ301" s="238" t="str">
        <f t="shared" si="40"/>
        <v/>
      </c>
      <c r="AR301" s="4"/>
      <c r="AS301" s="245" t="e">
        <f>VLOOKUP(AR296,#REF!,12,0)</f>
        <v>#REF!</v>
      </c>
      <c r="AT301" s="238" t="e">
        <f t="shared" si="41"/>
        <v>#REF!</v>
      </c>
      <c r="AU301" s="4"/>
      <c r="AV301" s="4"/>
      <c r="AW301" s="4"/>
      <c r="AX301" s="4"/>
      <c r="AY301" s="4"/>
      <c r="AZ301" s="256"/>
      <c r="BA301" s="256"/>
      <c r="BB301" s="62" t="e">
        <v>#REF!</v>
      </c>
      <c r="BC301" s="228" t="e">
        <v>#REF!</v>
      </c>
      <c r="BD301" s="62" t="e">
        <v>#REF!</v>
      </c>
      <c r="BE301" s="178" t="e">
        <f t="shared" si="37"/>
        <v>#REF!</v>
      </c>
      <c r="BF301" s="62" t="e">
        <v>#REF!</v>
      </c>
      <c r="BG301" s="62" t="e">
        <v>#REF!</v>
      </c>
    </row>
    <row r="302" spans="2:59" s="178" customFormat="1" ht="24.75" customHeight="1" thickBot="1" x14ac:dyDescent="0.4">
      <c r="B302" s="97"/>
      <c r="C302" s="4"/>
      <c r="D302" s="49"/>
      <c r="E302" s="58"/>
      <c r="F302" s="59"/>
      <c r="G302" s="59"/>
      <c r="H302" s="59"/>
      <c r="I302" s="59"/>
      <c r="J302" s="59"/>
      <c r="K302" s="59"/>
      <c r="L302" s="59"/>
      <c r="M302" s="59"/>
      <c r="N302" s="59"/>
      <c r="O302" s="59"/>
      <c r="P302" s="59"/>
      <c r="Q302" s="59"/>
      <c r="R302" s="59"/>
      <c r="S302" s="1088"/>
      <c r="T302" s="65"/>
      <c r="U302" s="63"/>
      <c r="V302" s="60"/>
      <c r="W302" s="49"/>
      <c r="X302" s="4"/>
      <c r="Y302" s="1087"/>
      <c r="Z302" s="4"/>
      <c r="AA302" s="230"/>
      <c r="AB302" s="231"/>
      <c r="AC302" s="254"/>
      <c r="AD302" s="267"/>
      <c r="AE302" s="212"/>
      <c r="AF302" s="1089"/>
      <c r="AG302" s="4"/>
      <c r="AH302" s="4"/>
      <c r="AI302" s="234" t="e">
        <f>IF(AI296=2,$B$489,0)</f>
        <v>#REF!</v>
      </c>
      <c r="AJ302" s="237" t="str">
        <f>IF(AC296=AV_OST,AV_HS_SD,"")</f>
        <v/>
      </c>
      <c r="AK302" s="238" t="str">
        <f t="shared" si="36"/>
        <v/>
      </c>
      <c r="AL302" s="4">
        <v>6</v>
      </c>
      <c r="AM302" s="4" t="e">
        <f>IF(AC297=PRAZDNE_1,AI302,IF(AC297=BLUM,BC300,IF(AC297=HETTICH,BB300,"")))</f>
        <v>#REF!</v>
      </c>
      <c r="AN302" s="4" t="e">
        <f t="shared" si="38"/>
        <v>#REF!</v>
      </c>
      <c r="AO302" s="4" t="e">
        <f t="shared" si="39"/>
        <v>#REF!</v>
      </c>
      <c r="AP302" s="242">
        <v>0</v>
      </c>
      <c r="AQ302" s="238" t="str">
        <f t="shared" si="40"/>
        <v/>
      </c>
      <c r="AR302" s="4"/>
      <c r="AS302" s="245" t="e">
        <f>VLOOKUP(AR296,#REF!,13,0)</f>
        <v>#REF!</v>
      </c>
      <c r="AT302" s="238" t="e">
        <f t="shared" si="41"/>
        <v>#REF!</v>
      </c>
      <c r="AU302" s="4"/>
      <c r="AV302" s="4"/>
      <c r="AW302" s="4"/>
      <c r="AX302" s="4"/>
      <c r="AY302" s="4"/>
      <c r="AZ302" s="256"/>
      <c r="BA302" s="256"/>
      <c r="BB302" s="62" t="e">
        <v>#REF!</v>
      </c>
      <c r="BC302" s="228" t="e">
        <v>#REF!</v>
      </c>
      <c r="BD302" s="62" t="e">
        <v>#REF!</v>
      </c>
      <c r="BE302" s="178" t="e">
        <f t="shared" si="37"/>
        <v>#REF!</v>
      </c>
      <c r="BF302" s="62" t="e">
        <v>#REF!</v>
      </c>
      <c r="BG302" s="62" t="e">
        <v>#REF!</v>
      </c>
    </row>
    <row r="303" spans="2:59" s="178" customFormat="1" ht="18" x14ac:dyDescent="0.35">
      <c r="B303" s="97"/>
      <c r="C303" s="4"/>
      <c r="D303" s="49"/>
      <c r="E303" s="58"/>
      <c r="F303" s="59"/>
      <c r="G303" s="59"/>
      <c r="H303" s="59"/>
      <c r="I303" s="59"/>
      <c r="J303" s="59"/>
      <c r="K303" s="59"/>
      <c r="L303" s="59"/>
      <c r="M303" s="59"/>
      <c r="N303" s="59"/>
      <c r="O303" s="59"/>
      <c r="P303" s="59"/>
      <c r="Q303" s="59"/>
      <c r="R303" s="59"/>
      <c r="S303" s="1088"/>
      <c r="T303" s="65"/>
      <c r="U303" s="63"/>
      <c r="V303" s="60"/>
      <c r="W303" s="49"/>
      <c r="X303" s="4"/>
      <c r="Y303" s="1087"/>
      <c r="Z303" s="4"/>
      <c r="AA303" s="230"/>
      <c r="AB303" s="231"/>
      <c r="AC303" s="254"/>
      <c r="AD303" s="267"/>
      <c r="AE303" s="212"/>
      <c r="AF303" s="1089"/>
      <c r="AG303" s="4"/>
      <c r="AH303" s="4"/>
      <c r="AI303" s="232" t="e">
        <f>IF(AI296=1,$B$499,IF(AI296=2,$B$507,0))</f>
        <v>#REF!</v>
      </c>
      <c r="AJ303" s="237" t="str">
        <f>IF(AC296=AV_OST,AV_HKS,"")</f>
        <v/>
      </c>
      <c r="AK303" s="238" t="str">
        <f t="shared" si="36"/>
        <v/>
      </c>
      <c r="AL303" s="4">
        <v>7</v>
      </c>
      <c r="AM303" s="4" t="str">
        <f>IF(AC297=HETTICH,BB301,IF(AC297=BLUM,BC301,""))</f>
        <v/>
      </c>
      <c r="AN303" s="4" t="str">
        <f t="shared" si="38"/>
        <v/>
      </c>
      <c r="AO303" s="4" t="str">
        <f t="shared" si="39"/>
        <v xml:space="preserve"> ()</v>
      </c>
      <c r="AP303" s="242">
        <v>0</v>
      </c>
      <c r="AQ303" s="238" t="str">
        <f t="shared" si="40"/>
        <v/>
      </c>
      <c r="AR303" s="4"/>
      <c r="AS303" s="245"/>
      <c r="AT303" s="238" t="str">
        <f t="shared" si="41"/>
        <v/>
      </c>
      <c r="AU303" s="4"/>
      <c r="AV303" s="4"/>
      <c r="AW303" s="4"/>
      <c r="AX303" s="4"/>
      <c r="AY303" s="4"/>
      <c r="AZ303" s="256"/>
      <c r="BA303" s="256"/>
      <c r="BB303" s="62" t="e">
        <v>#REF!</v>
      </c>
      <c r="BC303" s="228" t="e">
        <v>#REF!</v>
      </c>
      <c r="BD303" s="62" t="e">
        <v>#REF!</v>
      </c>
      <c r="BE303" s="178" t="e">
        <f t="shared" si="37"/>
        <v>#REF!</v>
      </c>
      <c r="BF303" s="62" t="e">
        <v>#REF!</v>
      </c>
      <c r="BG303" s="62" t="e">
        <v>#REF!</v>
      </c>
    </row>
    <row r="304" spans="2:59" s="178" customFormat="1" ht="18" customHeight="1" x14ac:dyDescent="0.3">
      <c r="B304" s="97"/>
      <c r="C304" s="4"/>
      <c r="D304" s="49" t="b">
        <f>IF(AG324=2,IF(AC300=3,1,0))</f>
        <v>0</v>
      </c>
      <c r="E304" s="58"/>
      <c r="F304" s="59"/>
      <c r="G304" s="59"/>
      <c r="H304" s="59"/>
      <c r="I304" s="59"/>
      <c r="J304" s="59"/>
      <c r="K304" s="59"/>
      <c r="L304" s="59"/>
      <c r="M304" s="59"/>
      <c r="N304" s="59"/>
      <c r="O304" s="59"/>
      <c r="P304" s="59"/>
      <c r="Q304" s="59"/>
      <c r="R304" s="59"/>
      <c r="S304" s="1088"/>
      <c r="T304" s="65"/>
      <c r="U304" s="63"/>
      <c r="V304" s="60"/>
      <c r="W304" s="49" t="b">
        <f>IF(AG324=1,IF(AC300=3,1,0))</f>
        <v>0</v>
      </c>
      <c r="X304" s="4"/>
      <c r="Y304" s="1087"/>
      <c r="Z304" s="4"/>
      <c r="AA304" s="1084">
        <f>IF(AC296=ZAVESY,Ceny!$B$196,0)</f>
        <v>0</v>
      </c>
      <c r="AB304" s="1085"/>
      <c r="AC304" s="251"/>
      <c r="AD304" s="207" t="s">
        <v>1203</v>
      </c>
      <c r="AE304" s="208"/>
      <c r="AF304" s="106"/>
      <c r="AG304" s="4">
        <v>2</v>
      </c>
      <c r="AH304" s="4">
        <f>IF(AC296=ZAVESY,AG304,0)</f>
        <v>0</v>
      </c>
      <c r="AI304" s="233" t="e">
        <f>IF(AI296=1,$B$500,IF(AI296=2,$B$508,0))</f>
        <v>#REF!</v>
      </c>
      <c r="AJ304" s="237" t="str">
        <f>IF(AC296=AV_OST,AV_HKS_TIP,"")</f>
        <v/>
      </c>
      <c r="AK304" s="238" t="str">
        <f t="shared" si="36"/>
        <v/>
      </c>
      <c r="AL304" s="4">
        <v>8</v>
      </c>
      <c r="AM304" s="4" t="str">
        <f>IF(AC297=HETTICH,BB302,IF(AC297=BLUM,BC302,""))</f>
        <v/>
      </c>
      <c r="AN304" s="4" t="str">
        <f t="shared" si="38"/>
        <v/>
      </c>
      <c r="AO304" s="4" t="str">
        <f t="shared" si="39"/>
        <v xml:space="preserve"> ()</v>
      </c>
      <c r="AP304" s="242">
        <v>0</v>
      </c>
      <c r="AQ304" s="238" t="str">
        <f t="shared" si="40"/>
        <v/>
      </c>
      <c r="AR304" s="4"/>
      <c r="AS304" s="245"/>
      <c r="AT304" s="238" t="str">
        <f t="shared" si="41"/>
        <v/>
      </c>
      <c r="AU304" s="4"/>
      <c r="AV304" s="4"/>
      <c r="AW304" s="4"/>
      <c r="AX304" s="4"/>
      <c r="AY304" s="4"/>
      <c r="AZ304" s="256"/>
      <c r="BA304" s="256"/>
      <c r="BB304" s="62" t="e">
        <v>#REF!</v>
      </c>
      <c r="BC304" s="228" t="e">
        <v>#REF!</v>
      </c>
      <c r="BD304" s="62" t="e">
        <v>#REF!</v>
      </c>
      <c r="BE304" s="178" t="e">
        <f t="shared" si="37"/>
        <v>#REF!</v>
      </c>
      <c r="BF304" s="62" t="e">
        <v>#REF!</v>
      </c>
      <c r="BG304" s="62" t="e">
        <v>#REF!</v>
      </c>
    </row>
    <row r="305" spans="2:59" s="178" customFormat="1" ht="18" customHeight="1" x14ac:dyDescent="0.3">
      <c r="B305" s="97"/>
      <c r="C305" s="4"/>
      <c r="D305" s="49"/>
      <c r="E305" s="58"/>
      <c r="F305" s="59"/>
      <c r="G305" s="59"/>
      <c r="H305" s="59"/>
      <c r="I305" s="59"/>
      <c r="J305" s="59"/>
      <c r="K305" s="59"/>
      <c r="L305" s="59"/>
      <c r="M305" s="59"/>
      <c r="N305" s="59"/>
      <c r="O305" s="59"/>
      <c r="P305" s="59"/>
      <c r="Q305" s="59"/>
      <c r="R305" s="59"/>
      <c r="S305" s="1083"/>
      <c r="T305" s="65"/>
      <c r="U305" s="63"/>
      <c r="V305" s="60"/>
      <c r="W305" s="49"/>
      <c r="X305" s="4"/>
      <c r="Y305" s="1087"/>
      <c r="Z305" s="4"/>
      <c r="AA305" s="1084">
        <f>IF(AG324=1,0,IF(AG324=2,0,IF(AC296=ZAVESY,IF(BD292=2,0,Ceny!$B$184),0)))</f>
        <v>0</v>
      </c>
      <c r="AB305" s="1085"/>
      <c r="AC305" s="190"/>
      <c r="AD305" s="207" t="s">
        <v>1541</v>
      </c>
      <c r="AE305" s="208"/>
      <c r="AF305" s="106" t="b">
        <v>1</v>
      </c>
      <c r="AG305" s="4">
        <v>3</v>
      </c>
      <c r="AH305" s="4">
        <f>IF(AC296=ZAVESY,AG305,0)</f>
        <v>0</v>
      </c>
      <c r="AI305" s="233" t="e">
        <f>IF(AI296=1,$B$501,IF(AI296=2,$B$509,0))</f>
        <v>#REF!</v>
      </c>
      <c r="AJ305" s="237" t="str">
        <f>IF(AC296=AV_OST,AV_HKXS,"")</f>
        <v/>
      </c>
      <c r="AK305" s="238" t="str">
        <f t="shared" si="36"/>
        <v/>
      </c>
      <c r="AL305" s="4">
        <v>9</v>
      </c>
      <c r="AM305" s="4" t="str">
        <f>IF(AC297=HETTICH,BB303,IF(AC297=BLUM,BC303,""))</f>
        <v/>
      </c>
      <c r="AN305" s="4" t="str">
        <f t="shared" si="38"/>
        <v/>
      </c>
      <c r="AO305" s="4" t="str">
        <f t="shared" si="39"/>
        <v xml:space="preserve"> ()</v>
      </c>
      <c r="AP305" s="242">
        <v>0</v>
      </c>
      <c r="AQ305" s="238" t="str">
        <f t="shared" si="40"/>
        <v/>
      </c>
      <c r="AR305" s="4"/>
      <c r="AS305" s="245"/>
      <c r="AT305" s="238" t="str">
        <f t="shared" si="41"/>
        <v/>
      </c>
      <c r="AU305" s="4"/>
      <c r="AV305" s="4"/>
      <c r="AW305" s="4"/>
      <c r="AX305" s="4"/>
      <c r="AY305" s="4"/>
      <c r="AZ305" s="256"/>
      <c r="BA305" s="256"/>
      <c r="BB305" s="62" t="e">
        <v>#REF!</v>
      </c>
      <c r="BC305" s="228" t="e">
        <v>#REF!</v>
      </c>
      <c r="BD305" s="62" t="e">
        <v>#REF!</v>
      </c>
      <c r="BE305" s="178" t="e">
        <f t="shared" si="37"/>
        <v>#REF!</v>
      </c>
      <c r="BF305" s="62" t="e">
        <v>#REF!</v>
      </c>
      <c r="BG305" s="62" t="e">
        <v>#REF!</v>
      </c>
    </row>
    <row r="306" spans="2:59" s="178" customFormat="1" ht="18" customHeight="1" thickBot="1" x14ac:dyDescent="0.35">
      <c r="B306" s="97"/>
      <c r="C306" s="4"/>
      <c r="D306" s="49" t="b">
        <f>IF(AG324=2,IF(AC300=4,1,0))</f>
        <v>0</v>
      </c>
      <c r="E306" s="58"/>
      <c r="F306" s="59"/>
      <c r="G306" s="59"/>
      <c r="H306" s="59"/>
      <c r="I306" s="59"/>
      <c r="J306" s="59"/>
      <c r="K306" s="59"/>
      <c r="L306" s="59"/>
      <c r="M306" s="59"/>
      <c r="N306" s="59"/>
      <c r="O306" s="59"/>
      <c r="P306" s="59"/>
      <c r="Q306" s="59"/>
      <c r="R306" s="59"/>
      <c r="S306" s="65"/>
      <c r="T306" s="65"/>
      <c r="U306" s="63"/>
      <c r="V306" s="60"/>
      <c r="W306" s="49" t="b">
        <f>IF(AG324=1,IF(AC300=4,1,0))</f>
        <v>0</v>
      </c>
      <c r="X306" s="4"/>
      <c r="Y306" s="1060" t="str">
        <f>Ceny_n!$B$136</f>
        <v>Výška</v>
      </c>
      <c r="Z306" s="4"/>
      <c r="AA306" s="1061">
        <f>IF(AC305=0,0,Ceny!$B$186)</f>
        <v>0</v>
      </c>
      <c r="AB306" s="1062"/>
      <c r="AC306" s="191"/>
      <c r="AD306" s="207" t="s">
        <v>1205</v>
      </c>
      <c r="AE306" s="208"/>
      <c r="AF306" s="106"/>
      <c r="AG306" s="4">
        <v>4</v>
      </c>
      <c r="AH306" s="4">
        <f>IF(AC296=ZAVESY,AG306,0)</f>
        <v>0</v>
      </c>
      <c r="AI306" s="233" t="e">
        <f>IF(AI296=1,$B$502,IF(AI296=2,$B$510,0))</f>
        <v>#REF!</v>
      </c>
      <c r="AJ306" s="239" t="str">
        <f>IF(AC296=AV_OST,AV_HKXS_TIP,"")</f>
        <v/>
      </c>
      <c r="AK306" s="240" t="str">
        <f t="shared" si="36"/>
        <v/>
      </c>
      <c r="AL306" s="4">
        <v>10</v>
      </c>
      <c r="AM306" s="4" t="str">
        <f>IF(AC297=HETTICH,BB304,IF(AC297=BLUM,BC304,""))</f>
        <v/>
      </c>
      <c r="AN306" s="4" t="str">
        <f t="shared" si="38"/>
        <v/>
      </c>
      <c r="AO306" s="4" t="str">
        <f t="shared" si="39"/>
        <v xml:space="preserve"> ()</v>
      </c>
      <c r="AP306" s="242">
        <v>0</v>
      </c>
      <c r="AQ306" s="238" t="str">
        <f t="shared" si="40"/>
        <v/>
      </c>
      <c r="AR306" s="4"/>
      <c r="AS306" s="246"/>
      <c r="AT306" s="240" t="str">
        <f t="shared" si="41"/>
        <v/>
      </c>
      <c r="AU306" s="4"/>
      <c r="AV306" s="4"/>
      <c r="AW306" s="4"/>
      <c r="AX306" s="4"/>
      <c r="AY306" s="4"/>
      <c r="AZ306" s="256"/>
      <c r="BA306" s="256"/>
      <c r="BB306" s="62" t="e">
        <v>#REF!</v>
      </c>
      <c r="BC306" s="228" t="e">
        <v>#REF!</v>
      </c>
      <c r="BD306" s="62" t="e">
        <v>#REF!</v>
      </c>
      <c r="BE306" s="178" t="e">
        <f t="shared" si="37"/>
        <v>#REF!</v>
      </c>
      <c r="BF306" s="62" t="e">
        <v>#REF!</v>
      </c>
      <c r="BG306" s="62" t="e">
        <v>#REF!</v>
      </c>
    </row>
    <row r="307" spans="2:59" s="178" customFormat="1" ht="1.5" customHeight="1" x14ac:dyDescent="0.3">
      <c r="B307" s="97"/>
      <c r="C307" s="4"/>
      <c r="D307" s="49"/>
      <c r="E307" s="58"/>
      <c r="F307" s="59"/>
      <c r="G307" s="59"/>
      <c r="H307" s="59"/>
      <c r="I307" s="59"/>
      <c r="J307" s="59"/>
      <c r="K307" s="59"/>
      <c r="L307" s="59"/>
      <c r="M307" s="59"/>
      <c r="N307" s="59"/>
      <c r="O307" s="59"/>
      <c r="P307" s="59"/>
      <c r="Q307" s="59"/>
      <c r="R307" s="59"/>
      <c r="S307" s="65"/>
      <c r="T307" s="65"/>
      <c r="U307" s="63"/>
      <c r="V307" s="60"/>
      <c r="W307" s="49"/>
      <c r="X307" s="4"/>
      <c r="Y307" s="1060"/>
      <c r="Z307" s="4"/>
      <c r="AA307" s="1063"/>
      <c r="AB307" s="1066" t="str">
        <f>Ceny_n!$B$185</f>
        <v>Dodat včetně uvedeného kování</v>
      </c>
      <c r="AC307" s="1067"/>
      <c r="AD307" s="268"/>
      <c r="AE307" s="213"/>
      <c r="AF307" s="106"/>
      <c r="AG307" s="4">
        <v>5</v>
      </c>
      <c r="AH307" s="4">
        <f>IF(AC296=ZAVESY,AG307,0)</f>
        <v>0</v>
      </c>
      <c r="AI307" s="62" t="e">
        <f>IF(AI296=1,$B$503,IF(AI296=2,$B$511,0))</f>
        <v>#REF!</v>
      </c>
      <c r="AJ307" s="4"/>
      <c r="AK307" s="178" t="str">
        <f t="shared" si="36"/>
        <v/>
      </c>
      <c r="AL307" s="4">
        <v>11</v>
      </c>
      <c r="AM307" s="4">
        <f>IF(AC297=HETTICH,BB305,IF(AC297=BLUM,BC305,))</f>
        <v>0</v>
      </c>
      <c r="AN307" s="4" t="str">
        <f t="shared" si="38"/>
        <v/>
      </c>
      <c r="AO307" s="4" t="str">
        <f t="shared" si="39"/>
        <v xml:space="preserve"> (0)</v>
      </c>
      <c r="AP307" s="242">
        <v>0</v>
      </c>
      <c r="AQ307" s="238" t="str">
        <f t="shared" si="40"/>
        <v/>
      </c>
      <c r="AR307" s="4"/>
      <c r="AS307" s="4"/>
      <c r="AT307" s="4"/>
      <c r="AU307" s="4"/>
      <c r="AV307" s="4"/>
      <c r="AW307" s="4"/>
      <c r="AX307" s="4"/>
      <c r="AY307" s="4"/>
      <c r="AZ307" s="256"/>
      <c r="BA307" s="256"/>
      <c r="BB307" s="62" t="e">
        <v>#REF!</v>
      </c>
      <c r="BC307" s="228" t="e">
        <v>#REF!</v>
      </c>
      <c r="BD307" s="62" t="e">
        <v>#REF!</v>
      </c>
      <c r="BE307" s="178" t="e">
        <f t="shared" si="37"/>
        <v>#REF!</v>
      </c>
      <c r="BF307" s="62" t="e">
        <v>#REF!</v>
      </c>
      <c r="BG307" s="62" t="e">
        <v>#REF!</v>
      </c>
    </row>
    <row r="308" spans="2:59" s="178" customFormat="1" ht="15.6" x14ac:dyDescent="0.3">
      <c r="B308" s="97"/>
      <c r="C308" s="4"/>
      <c r="D308" s="49"/>
      <c r="E308" s="58"/>
      <c r="F308" s="59"/>
      <c r="G308" s="59"/>
      <c r="H308" s="59"/>
      <c r="I308" s="59"/>
      <c r="J308" s="59"/>
      <c r="K308" s="59"/>
      <c r="L308" s="59"/>
      <c r="M308" s="59"/>
      <c r="N308" s="59"/>
      <c r="O308" s="59"/>
      <c r="P308" s="59"/>
      <c r="Q308" s="59"/>
      <c r="R308" s="59"/>
      <c r="S308" s="59"/>
      <c r="T308" s="59"/>
      <c r="U308" s="59"/>
      <c r="V308" s="60"/>
      <c r="W308" s="49"/>
      <c r="X308" s="4"/>
      <c r="Y308" s="1060"/>
      <c r="Z308" s="4"/>
      <c r="AA308" s="1064"/>
      <c r="AB308" s="1068"/>
      <c r="AC308" s="1069"/>
      <c r="AD308" s="268"/>
      <c r="AE308" s="213"/>
      <c r="AF308" s="106"/>
      <c r="AG308" s="4"/>
      <c r="AH308" s="4"/>
      <c r="AI308" s="62" t="e">
        <f>IF(AI296=1,$B$504,IF(AI296=2,$B$513,0))</f>
        <v>#REF!</v>
      </c>
      <c r="AJ308" s="4"/>
      <c r="AK308" s="4"/>
      <c r="AL308" s="4">
        <v>12</v>
      </c>
      <c r="AM308" s="4" t="str">
        <f>IF(AC297=HETTICH,BB306,IF(AC297=BLUM,BC306,""))</f>
        <v/>
      </c>
      <c r="AN308" s="4" t="str">
        <f t="shared" si="38"/>
        <v/>
      </c>
      <c r="AO308" s="4" t="str">
        <f t="shared" si="39"/>
        <v xml:space="preserve"> ()</v>
      </c>
      <c r="AP308" s="242">
        <v>0</v>
      </c>
      <c r="AQ308" s="238" t="str">
        <f t="shared" si="40"/>
        <v/>
      </c>
      <c r="AR308" s="4"/>
      <c r="AS308" s="4"/>
      <c r="AT308" s="4"/>
      <c r="AU308" s="4"/>
      <c r="AV308" s="4"/>
      <c r="AW308" s="4"/>
      <c r="AX308" s="4"/>
      <c r="AY308" s="4"/>
      <c r="AZ308" s="256"/>
      <c r="BA308" s="256"/>
      <c r="BB308" s="62" t="e">
        <v>#REF!</v>
      </c>
      <c r="BC308" s="228" t="e">
        <v>#REF!</v>
      </c>
      <c r="BD308" s="62" t="e">
        <v>#REF!</v>
      </c>
      <c r="BE308" s="178" t="e">
        <f t="shared" si="37"/>
        <v>#REF!</v>
      </c>
      <c r="BF308" s="62" t="e">
        <v>#REF!</v>
      </c>
      <c r="BG308" s="62" t="e">
        <v>#REF!</v>
      </c>
    </row>
    <row r="309" spans="2:59" s="178" customFormat="1" ht="2.25" customHeight="1" thickBot="1" x14ac:dyDescent="0.35">
      <c r="B309" s="97"/>
      <c r="C309" s="4"/>
      <c r="D309" s="49"/>
      <c r="E309" s="58"/>
      <c r="F309" s="59"/>
      <c r="G309" s="59"/>
      <c r="H309" s="59"/>
      <c r="I309" s="59"/>
      <c r="J309" s="59"/>
      <c r="K309" s="59"/>
      <c r="L309" s="59"/>
      <c r="M309" s="59"/>
      <c r="N309" s="59"/>
      <c r="O309" s="59"/>
      <c r="P309" s="59"/>
      <c r="Q309" s="59"/>
      <c r="R309" s="59"/>
      <c r="S309" s="59"/>
      <c r="T309" s="59"/>
      <c r="U309" s="1072"/>
      <c r="V309" s="60"/>
      <c r="W309" s="49"/>
      <c r="X309" s="4"/>
      <c r="Y309" s="1060"/>
      <c r="Z309" s="4"/>
      <c r="AA309" s="1064"/>
      <c r="AB309" s="1068"/>
      <c r="AC309" s="1069"/>
      <c r="AD309" s="268"/>
      <c r="AE309" s="213"/>
      <c r="AF309" s="106"/>
      <c r="AG309" s="4"/>
      <c r="AH309" s="4"/>
      <c r="AI309" s="66" t="e">
        <f>IF(AI296=1,$B$506,0)</f>
        <v>#REF!</v>
      </c>
      <c r="AJ309" s="4"/>
      <c r="AK309" s="4"/>
      <c r="AL309" s="4">
        <v>13</v>
      </c>
      <c r="AM309" s="221"/>
      <c r="AN309" s="4" t="str">
        <f t="shared" si="38"/>
        <v/>
      </c>
      <c r="AO309" s="4" t="str">
        <f t="shared" si="39"/>
        <v xml:space="preserve"> ()</v>
      </c>
      <c r="AP309" s="242">
        <v>0</v>
      </c>
      <c r="AQ309" s="238" t="str">
        <f t="shared" si="40"/>
        <v/>
      </c>
      <c r="AR309" s="4"/>
      <c r="AS309" s="4"/>
      <c r="AT309" s="4"/>
      <c r="AU309" s="4"/>
      <c r="AV309" s="4"/>
      <c r="AW309" s="4"/>
      <c r="AX309" s="4"/>
      <c r="AY309" s="4"/>
      <c r="AZ309" s="256"/>
      <c r="BA309" s="256"/>
      <c r="BB309" s="62" t="e">
        <v>#REF!</v>
      </c>
      <c r="BC309" s="228" t="e">
        <v>#REF!</v>
      </c>
      <c r="BD309" s="62" t="e">
        <v>#REF!</v>
      </c>
      <c r="BE309" s="178" t="e">
        <f t="shared" si="37"/>
        <v>#REF!</v>
      </c>
      <c r="BF309" s="62" t="e">
        <v>#REF!</v>
      </c>
      <c r="BG309" s="62" t="e">
        <v>#REF!</v>
      </c>
    </row>
    <row r="310" spans="2:59" s="178" customFormat="1" ht="12.75" customHeight="1" x14ac:dyDescent="0.3">
      <c r="B310" s="97"/>
      <c r="C310" s="4"/>
      <c r="D310" s="49"/>
      <c r="E310" s="58"/>
      <c r="F310" s="59"/>
      <c r="G310" s="59"/>
      <c r="H310" s="59"/>
      <c r="I310" s="59"/>
      <c r="J310" s="59"/>
      <c r="K310" s="59"/>
      <c r="L310" s="59"/>
      <c r="M310" s="59"/>
      <c r="N310" s="59"/>
      <c r="O310" s="59"/>
      <c r="P310" s="59"/>
      <c r="Q310" s="59"/>
      <c r="R310" s="59"/>
      <c r="S310" s="59"/>
      <c r="T310" s="59"/>
      <c r="U310" s="1073"/>
      <c r="V310" s="60"/>
      <c r="W310" s="49"/>
      <c r="X310" s="4"/>
      <c r="Y310" s="1060"/>
      <c r="Z310" s="4"/>
      <c r="AA310" s="1065"/>
      <c r="AB310" s="1070"/>
      <c r="AC310" s="1071"/>
      <c r="AD310" s="268"/>
      <c r="AE310" s="213"/>
      <c r="AF310" s="106"/>
      <c r="AG310" s="4"/>
      <c r="AH310" s="4"/>
      <c r="AI310" s="61" t="e">
        <f>IF(AI296=2,$B$520,0)</f>
        <v>#REF!</v>
      </c>
      <c r="AJ310" s="4"/>
      <c r="AK310" s="4"/>
      <c r="AL310" s="4">
        <v>14</v>
      </c>
      <c r="AM310" s="4"/>
      <c r="AN310" s="4" t="str">
        <f t="shared" si="38"/>
        <v/>
      </c>
      <c r="AO310" s="4" t="str">
        <f t="shared" si="39"/>
        <v xml:space="preserve"> ()</v>
      </c>
      <c r="AP310" s="242">
        <v>0</v>
      </c>
      <c r="AQ310" s="238" t="str">
        <f t="shared" si="40"/>
        <v/>
      </c>
      <c r="AR310" s="4"/>
      <c r="AS310" s="4"/>
      <c r="AT310" s="4"/>
      <c r="AU310" s="4"/>
      <c r="AV310" s="4"/>
      <c r="AW310" s="4"/>
      <c r="AX310" s="4"/>
      <c r="AY310" s="4"/>
      <c r="AZ310" s="256"/>
      <c r="BA310" s="256"/>
      <c r="BB310" s="62" t="e">
        <v>#REF!</v>
      </c>
      <c r="BC310" s="228" t="e">
        <v>#REF!</v>
      </c>
      <c r="BD310" s="62" t="e">
        <v>#REF!</v>
      </c>
      <c r="BE310" s="178" t="e">
        <f t="shared" si="37"/>
        <v>#REF!</v>
      </c>
      <c r="BF310" s="62" t="e">
        <v>#REF!</v>
      </c>
      <c r="BG310" s="62" t="e">
        <v>#REF!</v>
      </c>
    </row>
    <row r="311" spans="2:59" s="178" customFormat="1" ht="26.4" thickBot="1" x14ac:dyDescent="0.55000000000000004">
      <c r="B311" s="97"/>
      <c r="C311" s="4"/>
      <c r="D311" s="49"/>
      <c r="E311" s="58"/>
      <c r="F311" s="59"/>
      <c r="G311" s="59"/>
      <c r="H311" s="59"/>
      <c r="I311" s="59"/>
      <c r="J311" s="59"/>
      <c r="K311" s="59"/>
      <c r="L311" s="59"/>
      <c r="M311" s="59"/>
      <c r="N311" s="59"/>
      <c r="O311" s="59"/>
      <c r="P311" s="59"/>
      <c r="Q311" s="59"/>
      <c r="R311" s="44" t="s">
        <v>15</v>
      </c>
      <c r="S311" s="59"/>
      <c r="T311" s="59"/>
      <c r="U311" s="59"/>
      <c r="V311" s="60"/>
      <c r="W311" s="49"/>
      <c r="X311" s="4"/>
      <c r="Y311" s="1060"/>
      <c r="Z311" s="4"/>
      <c r="AA311" s="4"/>
      <c r="AB311" s="4"/>
      <c r="AC311" s="98"/>
      <c r="AD311" s="257"/>
      <c r="AE311" s="199"/>
      <c r="AF311" s="106"/>
      <c r="AG311" s="4"/>
      <c r="AH311" s="4"/>
      <c r="AI311" s="62" t="e">
        <f>IF(AI296=2,$B$521,0)</f>
        <v>#REF!</v>
      </c>
      <c r="AJ311" s="4"/>
      <c r="AK311" s="4"/>
      <c r="AL311" s="4">
        <v>15</v>
      </c>
      <c r="AM311" s="4"/>
      <c r="AN311" s="4" t="str">
        <f t="shared" si="38"/>
        <v/>
      </c>
      <c r="AO311" s="4" t="str">
        <f t="shared" si="39"/>
        <v xml:space="preserve"> ()</v>
      </c>
      <c r="AP311" s="242">
        <v>0</v>
      </c>
      <c r="AQ311" s="238" t="str">
        <f t="shared" si="40"/>
        <v/>
      </c>
      <c r="AR311" s="4"/>
      <c r="AS311" s="4"/>
      <c r="AT311" s="4"/>
      <c r="AU311" s="4"/>
      <c r="AV311" s="4"/>
      <c r="AW311" s="4"/>
      <c r="AX311" s="4"/>
      <c r="AY311" s="4"/>
      <c r="AZ311" s="256"/>
      <c r="BA311" s="256"/>
      <c r="BB311" s="62" t="e">
        <v>#REF!</v>
      </c>
      <c r="BC311" s="228" t="e">
        <v>#REF!</v>
      </c>
      <c r="BD311" s="62" t="e">
        <v>#REF!</v>
      </c>
      <c r="BE311" s="178" t="e">
        <f t="shared" si="37"/>
        <v>#REF!</v>
      </c>
      <c r="BF311" s="66" t="e">
        <v>#REF!</v>
      </c>
      <c r="BG311" s="66" t="e">
        <v>#REF!</v>
      </c>
    </row>
    <row r="312" spans="2:59" s="178" customFormat="1" ht="5.25" customHeight="1" thickBot="1" x14ac:dyDescent="1.1499999999999999">
      <c r="B312" s="97"/>
      <c r="C312" s="4"/>
      <c r="D312" s="49"/>
      <c r="E312" s="58"/>
      <c r="F312" s="59"/>
      <c r="G312" s="59"/>
      <c r="H312" s="59"/>
      <c r="I312" s="59"/>
      <c r="J312" s="59"/>
      <c r="K312" s="59"/>
      <c r="L312" s="59"/>
      <c r="M312" s="59"/>
      <c r="N312" s="59"/>
      <c r="O312" s="59"/>
      <c r="P312" s="59"/>
      <c r="Q312" s="59"/>
      <c r="R312" s="44"/>
      <c r="S312" s="59"/>
      <c r="T312" s="59"/>
      <c r="U312" s="59"/>
      <c r="V312" s="60"/>
      <c r="W312" s="49"/>
      <c r="X312" s="4"/>
      <c r="Y312" s="1060"/>
      <c r="Z312" s="4"/>
      <c r="AA312" s="104"/>
      <c r="AB312" s="53"/>
      <c r="AC312" s="93"/>
      <c r="AD312" s="264"/>
      <c r="AE312" s="206"/>
      <c r="AF312" s="106"/>
      <c r="AG312" s="4"/>
      <c r="AH312" s="4"/>
      <c r="AI312" s="62" t="e">
        <f>IF(AI296=2,$B$522,0)</f>
        <v>#REF!</v>
      </c>
      <c r="AJ312" s="4"/>
      <c r="AK312" s="4"/>
      <c r="AL312" s="4">
        <v>16</v>
      </c>
      <c r="AM312" s="4"/>
      <c r="AN312" s="4"/>
      <c r="AO312" s="4" t="str">
        <f t="shared" si="39"/>
        <v xml:space="preserve"> ()</v>
      </c>
      <c r="AP312" s="242">
        <v>0</v>
      </c>
      <c r="AQ312" s="238" t="str">
        <f t="shared" si="40"/>
        <v/>
      </c>
      <c r="AR312" s="4"/>
      <c r="AS312" s="4"/>
      <c r="AT312" s="4"/>
      <c r="AU312" s="4"/>
      <c r="AV312" s="4"/>
      <c r="AW312" s="4"/>
      <c r="AX312" s="4"/>
      <c r="AY312" s="4"/>
      <c r="AZ312" s="256"/>
      <c r="BA312" s="256"/>
      <c r="BB312" s="66" t="e">
        <v>#REF!</v>
      </c>
      <c r="BC312" s="229" t="e">
        <v>#REF!</v>
      </c>
      <c r="BD312" s="62" t="e">
        <v>#REF!</v>
      </c>
      <c r="BE312" s="178" t="e">
        <f t="shared" si="37"/>
        <v>#REF!</v>
      </c>
    </row>
    <row r="313" spans="2:59" s="178" customFormat="1" ht="8.25" customHeight="1" thickBot="1" x14ac:dyDescent="0.55000000000000004">
      <c r="B313" s="97"/>
      <c r="C313" s="4"/>
      <c r="D313" s="1074">
        <f>IF(AG324=2,1,0)</f>
        <v>0</v>
      </c>
      <c r="E313" s="58"/>
      <c r="F313" s="59"/>
      <c r="G313" s="59"/>
      <c r="H313" s="59"/>
      <c r="I313" s="59"/>
      <c r="J313" s="59"/>
      <c r="K313" s="59"/>
      <c r="L313" s="59"/>
      <c r="M313" s="59"/>
      <c r="N313" s="59"/>
      <c r="O313" s="59"/>
      <c r="P313" s="59"/>
      <c r="Q313" s="59"/>
      <c r="R313" s="44"/>
      <c r="S313" s="67"/>
      <c r="T313" s="67"/>
      <c r="U313" s="59"/>
      <c r="V313" s="60"/>
      <c r="W313" s="1074">
        <f>IF(AG324=1,1,0)</f>
        <v>0</v>
      </c>
      <c r="X313" s="4"/>
      <c r="Y313" s="68"/>
      <c r="Z313" s="4"/>
      <c r="AA313" s="53"/>
      <c r="AB313" s="53"/>
      <c r="AC313" s="93"/>
      <c r="AD313" s="264"/>
      <c r="AE313" s="206"/>
      <c r="AF313" s="106"/>
      <c r="AG313" s="4"/>
      <c r="AH313" s="4"/>
      <c r="AI313" s="66" t="e">
        <f>IF(AI296=2,$B$523,0)</f>
        <v>#REF!</v>
      </c>
      <c r="AJ313" s="4"/>
      <c r="AK313" s="4"/>
      <c r="AL313" s="4">
        <v>17</v>
      </c>
      <c r="AM313" s="4"/>
      <c r="AN313" s="4"/>
      <c r="AO313" s="4" t="str">
        <f t="shared" si="39"/>
        <v xml:space="preserve"> ()</v>
      </c>
      <c r="AP313" s="242">
        <v>0</v>
      </c>
      <c r="AQ313" s="238" t="str">
        <f t="shared" si="40"/>
        <v/>
      </c>
      <c r="AR313" s="4"/>
      <c r="AS313" s="4"/>
      <c r="AT313" s="4"/>
      <c r="AU313" s="4"/>
      <c r="AV313" s="4"/>
      <c r="AW313" s="4"/>
      <c r="AX313" s="4"/>
      <c r="AY313" s="4"/>
      <c r="AZ313" s="256"/>
      <c r="BA313" s="256"/>
      <c r="BC313" s="137"/>
      <c r="BD313" s="62" t="e">
        <v>#REF!</v>
      </c>
      <c r="BE313" s="178" t="e">
        <f t="shared" si="37"/>
        <v>#REF!</v>
      </c>
    </row>
    <row r="314" spans="2:59" s="178" customFormat="1" ht="18" customHeight="1" x14ac:dyDescent="0.5">
      <c r="B314" s="97"/>
      <c r="C314" s="4"/>
      <c r="D314" s="1074" t="e">
        <f>IF(#REF!=$Y$41,1,0)</f>
        <v>#REF!</v>
      </c>
      <c r="E314" s="58"/>
      <c r="F314" s="59"/>
      <c r="G314" s="127"/>
      <c r="H314" s="59"/>
      <c r="I314" s="48"/>
      <c r="J314" s="48"/>
      <c r="K314" s="48"/>
      <c r="L314" s="1075"/>
      <c r="M314" s="1076"/>
      <c r="N314" s="1077"/>
      <c r="O314" s="59"/>
      <c r="P314" s="59"/>
      <c r="Q314" s="59"/>
      <c r="R314" s="44"/>
      <c r="S314" s="1078"/>
      <c r="T314" s="69"/>
      <c r="U314" s="67"/>
      <c r="V314" s="45"/>
      <c r="W314" s="1074" t="e">
        <f>IF(#REF!=$Y$41,1,0)</f>
        <v>#REF!</v>
      </c>
      <c r="X314" s="53"/>
      <c r="Y314" s="70"/>
      <c r="Z314" s="4"/>
      <c r="AA314" s="1101" t="str">
        <f>IF(OR(Y298&gt;2500,L322&gt;2500),MAX_ROZ_RAM,"")</f>
        <v/>
      </c>
      <c r="AB314" s="1101"/>
      <c r="AC314" s="1102"/>
      <c r="AD314" s="264"/>
      <c r="AE314" s="206"/>
      <c r="AF314" s="106"/>
      <c r="AG314" s="4"/>
      <c r="AH314" s="4"/>
      <c r="AI314" s="61" t="e">
        <f>IF(AI296=1,$B$530,IF(AI296=2,$B$531,0))</f>
        <v>#REF!</v>
      </c>
      <c r="AJ314" s="4"/>
      <c r="AK314" s="4"/>
      <c r="AL314" s="4">
        <v>18</v>
      </c>
      <c r="AM314" s="4"/>
      <c r="AN314" s="4"/>
      <c r="AO314" s="4" t="str">
        <f t="shared" si="39"/>
        <v xml:space="preserve"> ()</v>
      </c>
      <c r="AP314" s="242">
        <v>0</v>
      </c>
      <c r="AQ314" s="238" t="str">
        <f t="shared" si="40"/>
        <v/>
      </c>
      <c r="AR314" s="4"/>
      <c r="AS314" s="4"/>
      <c r="AT314" s="4"/>
      <c r="AU314" s="4"/>
      <c r="AV314" s="4"/>
      <c r="AW314" s="4"/>
      <c r="AX314" s="4"/>
      <c r="AY314" s="4"/>
      <c r="AZ314" s="256"/>
      <c r="BA314" s="256"/>
      <c r="BC314" s="137"/>
      <c r="BD314" s="62" t="e">
        <v>#REF!</v>
      </c>
      <c r="BE314" s="178" t="e">
        <f t="shared" si="37"/>
        <v>#REF!</v>
      </c>
    </row>
    <row r="315" spans="2:59" s="178" customFormat="1" ht="6" customHeight="1" x14ac:dyDescent="0.5">
      <c r="B315" s="97"/>
      <c r="C315" s="4"/>
      <c r="D315" s="1081" t="str">
        <f>IF(D313=1,AC301,"")</f>
        <v/>
      </c>
      <c r="E315" s="58"/>
      <c r="F315" s="59"/>
      <c r="G315" s="71"/>
      <c r="H315" s="59"/>
      <c r="I315" s="48"/>
      <c r="J315" s="48"/>
      <c r="K315" s="48"/>
      <c r="L315" s="48"/>
      <c r="M315" s="71"/>
      <c r="N315" s="71"/>
      <c r="O315" s="59"/>
      <c r="P315" s="59"/>
      <c r="Q315" s="59"/>
      <c r="R315" s="44"/>
      <c r="S315" s="1079"/>
      <c r="T315" s="69"/>
      <c r="U315" s="67"/>
      <c r="V315" s="45"/>
      <c r="W315" s="1081" t="str">
        <f>IF(W313=1,AC301,"")</f>
        <v/>
      </c>
      <c r="X315" s="53"/>
      <c r="Y315" s="70"/>
      <c r="Z315" s="4"/>
      <c r="AA315" s="1101"/>
      <c r="AB315" s="1101"/>
      <c r="AC315" s="1102"/>
      <c r="AD315" s="264"/>
      <c r="AE315" s="206"/>
      <c r="AF315" s="106"/>
      <c r="AG315" s="4">
        <f>IF(AC306=$J$369,1,IF(AC306=$J$370,1,IF(AC306=$J$371,2,0)))</f>
        <v>0</v>
      </c>
      <c r="AH315" s="4"/>
      <c r="AI315" s="62" t="e">
        <f>IF(AI296=2,$B$532,0)</f>
        <v>#REF!</v>
      </c>
      <c r="AJ315" s="4"/>
      <c r="AK315" s="4"/>
      <c r="AL315" s="4">
        <v>19</v>
      </c>
      <c r="AM315" s="4"/>
      <c r="AN315" s="4"/>
      <c r="AO315" s="4" t="str">
        <f t="shared" si="39"/>
        <v xml:space="preserve"> ()</v>
      </c>
      <c r="AP315" s="242">
        <v>0</v>
      </c>
      <c r="AQ315" s="238" t="str">
        <f t="shared" si="40"/>
        <v/>
      </c>
      <c r="AR315" s="4"/>
      <c r="AS315" s="4"/>
      <c r="AT315" s="4"/>
      <c r="AU315" s="4"/>
      <c r="AV315" s="4"/>
      <c r="AW315" s="4"/>
      <c r="AX315" s="4"/>
      <c r="AY315" s="4"/>
      <c r="AZ315" s="256"/>
      <c r="BA315" s="256"/>
      <c r="BC315" s="137"/>
      <c r="BD315" s="62" t="e">
        <v>#REF!</v>
      </c>
      <c r="BE315" s="178" t="e">
        <f t="shared" si="37"/>
        <v>#REF!</v>
      </c>
    </row>
    <row r="316" spans="2:59" s="178" customFormat="1" ht="22.5" customHeight="1" x14ac:dyDescent="0.5">
      <c r="B316" s="97"/>
      <c r="C316" s="4"/>
      <c r="D316" s="1081"/>
      <c r="E316" s="58"/>
      <c r="F316" s="59"/>
      <c r="G316" s="59"/>
      <c r="H316" s="59"/>
      <c r="I316" s="44" t="s">
        <v>15</v>
      </c>
      <c r="J316" s="48"/>
      <c r="K316" s="48"/>
      <c r="L316" s="48"/>
      <c r="M316" s="48"/>
      <c r="N316" s="48"/>
      <c r="O316" s="59"/>
      <c r="P316" s="44" t="s">
        <v>15</v>
      </c>
      <c r="Q316" s="48"/>
      <c r="R316" s="44"/>
      <c r="S316" s="1080"/>
      <c r="T316" s="69"/>
      <c r="U316" s="44"/>
      <c r="V316" s="60"/>
      <c r="W316" s="1081"/>
      <c r="X316" s="53"/>
      <c r="Y316" s="70"/>
      <c r="Z316" s="4"/>
      <c r="AA316" s="1101"/>
      <c r="AB316" s="1101"/>
      <c r="AC316" s="1102"/>
      <c r="AD316" s="264"/>
      <c r="AE316" s="206"/>
      <c r="AF316" s="106"/>
      <c r="AG316" s="4">
        <f>IF(AC305=0,0,VPRAVO)</f>
        <v>0</v>
      </c>
      <c r="AH316" s="4"/>
      <c r="AI316" s="62" t="e">
        <f>IF(AI296=2,$B$533,0)</f>
        <v>#REF!</v>
      </c>
      <c r="AJ316" s="4"/>
      <c r="AK316" s="4"/>
      <c r="AL316" s="4">
        <v>20</v>
      </c>
      <c r="AM316" s="4"/>
      <c r="AN316" s="4"/>
      <c r="AO316" s="4" t="str">
        <f t="shared" si="39"/>
        <v xml:space="preserve"> ()</v>
      </c>
      <c r="AP316" s="242">
        <v>0</v>
      </c>
      <c r="AQ316" s="238" t="str">
        <f t="shared" si="40"/>
        <v/>
      </c>
      <c r="AR316" s="4"/>
      <c r="AS316" s="4"/>
      <c r="AT316" s="4"/>
      <c r="AU316" s="4"/>
      <c r="AV316" s="4"/>
      <c r="AW316" s="4"/>
      <c r="AX316" s="4"/>
      <c r="AY316" s="4"/>
      <c r="AZ316" s="256"/>
      <c r="BA316" s="256"/>
      <c r="BC316" s="137"/>
      <c r="BD316" s="62" t="e">
        <v>#REF!</v>
      </c>
      <c r="BE316" s="178" t="e">
        <f t="shared" si="37"/>
        <v>#REF!</v>
      </c>
    </row>
    <row r="317" spans="2:59" s="178" customFormat="1" ht="26.4" thickBot="1" x14ac:dyDescent="0.55000000000000004">
      <c r="B317" s="97"/>
      <c r="C317" s="4"/>
      <c r="D317" s="1081"/>
      <c r="E317" s="58"/>
      <c r="F317" s="59"/>
      <c r="G317" s="59"/>
      <c r="H317" s="59"/>
      <c r="I317" s="48"/>
      <c r="J317" s="1082"/>
      <c r="K317" s="48"/>
      <c r="L317" s="48"/>
      <c r="M317" s="48"/>
      <c r="N317" s="48"/>
      <c r="O317" s="59"/>
      <c r="P317" s="48"/>
      <c r="Q317" s="48"/>
      <c r="R317" s="59"/>
      <c r="S317" s="72"/>
      <c r="T317" s="72"/>
      <c r="U317" s="63"/>
      <c r="V317" s="60"/>
      <c r="W317" s="1081"/>
      <c r="X317" s="53"/>
      <c r="Y317" s="5"/>
      <c r="Z317" s="4"/>
      <c r="AA317" s="1101" t="str">
        <f>IF(AC301=0,"",IF(AND(OR(AC293="Palio (elox.)",AC293="Siena (elox.)"),AC301&lt;80),MIN_POZ_ZAVES_80,IF(AC301&lt;70,MIN_POZ_ZAVES,"")))</f>
        <v/>
      </c>
      <c r="AB317" s="1101"/>
      <c r="AC317" s="1102"/>
      <c r="AD317" s="257"/>
      <c r="AE317" s="199"/>
      <c r="AF317" s="106"/>
      <c r="AG317" s="4">
        <f>IF(AC305=0,0,VLEVO)</f>
        <v>0</v>
      </c>
      <c r="AH317" s="4"/>
      <c r="AI317" s="66" t="e">
        <f>IF(AI296=2,$B$534,0)</f>
        <v>#REF!</v>
      </c>
      <c r="AJ317" s="4"/>
      <c r="AK317" s="4"/>
      <c r="AL317" s="4">
        <v>21</v>
      </c>
      <c r="AM317" s="4"/>
      <c r="AN317" s="4"/>
      <c r="AO317" s="4" t="str">
        <f t="shared" si="39"/>
        <v xml:space="preserve"> ()</v>
      </c>
      <c r="AP317" s="242">
        <v>0</v>
      </c>
      <c r="AQ317" s="238" t="str">
        <f t="shared" si="40"/>
        <v/>
      </c>
      <c r="AR317" s="4"/>
      <c r="AS317" s="4"/>
      <c r="AT317" s="4"/>
      <c r="AU317" s="4"/>
      <c r="AV317" s="4"/>
      <c r="AW317" s="4"/>
      <c r="AX317" s="4"/>
      <c r="AY317" s="4"/>
      <c r="AZ317" s="256"/>
      <c r="BA317" s="256"/>
      <c r="BC317" s="137"/>
      <c r="BD317" s="62" t="e">
        <v>#REF!</v>
      </c>
      <c r="BE317" s="178" t="e">
        <f t="shared" si="37"/>
        <v>#REF!</v>
      </c>
    </row>
    <row r="318" spans="2:59" s="178" customFormat="1" ht="25.8" x14ac:dyDescent="0.5">
      <c r="B318" s="97"/>
      <c r="C318" s="4"/>
      <c r="D318" s="1081"/>
      <c r="E318" s="58"/>
      <c r="F318" s="59"/>
      <c r="G318" s="59"/>
      <c r="H318" s="59"/>
      <c r="I318" s="48"/>
      <c r="J318" s="1083"/>
      <c r="K318" s="48"/>
      <c r="L318" s="48"/>
      <c r="M318" s="48"/>
      <c r="N318" s="48"/>
      <c r="O318" s="59"/>
      <c r="P318" s="48"/>
      <c r="Q318" s="48"/>
      <c r="R318" s="59"/>
      <c r="S318" s="73"/>
      <c r="T318" s="73"/>
      <c r="U318" s="63"/>
      <c r="V318" s="60"/>
      <c r="W318" s="1081"/>
      <c r="X318" s="53"/>
      <c r="Y318" s="4"/>
      <c r="Z318" s="4"/>
      <c r="AA318" s="4"/>
      <c r="AB318" s="4"/>
      <c r="AC318" s="98"/>
      <c r="AD318" s="257"/>
      <c r="AE318" s="199"/>
      <c r="AF318" s="106"/>
      <c r="AG318" s="4">
        <f>IF(AC305=0,0,OBE_STRANY)</f>
        <v>0</v>
      </c>
      <c r="AH318" s="4"/>
      <c r="AI318" s="4"/>
      <c r="AJ318" s="4">
        <f>IF(AC305=0,0,VLOOKUP(AC305,AI319:AJ332,2,0))</f>
        <v>0</v>
      </c>
      <c r="AK318" s="4"/>
      <c r="AL318" s="4">
        <v>22</v>
      </c>
      <c r="AM318" s="4"/>
      <c r="AN318" s="4"/>
      <c r="AO318" s="4" t="str">
        <f t="shared" si="39"/>
        <v xml:space="preserve"> ()</v>
      </c>
      <c r="AP318" s="242">
        <v>0</v>
      </c>
      <c r="AQ318" s="238" t="str">
        <f t="shared" si="40"/>
        <v/>
      </c>
      <c r="AR318" s="4"/>
      <c r="AS318" s="4"/>
      <c r="AT318" s="4"/>
      <c r="AU318" s="4"/>
      <c r="AV318" s="4"/>
      <c r="AW318" s="4"/>
      <c r="AX318" s="4"/>
      <c r="AY318" s="4"/>
      <c r="AZ318" s="256"/>
      <c r="BA318" s="256"/>
      <c r="BB318" s="4"/>
      <c r="BD318" s="62" t="e">
        <v>#REF!</v>
      </c>
      <c r="BE318" s="178" t="e">
        <f t="shared" si="37"/>
        <v>#REF!</v>
      </c>
    </row>
    <row r="319" spans="2:59" s="178" customFormat="1" ht="15.75" customHeight="1" thickBot="1" x14ac:dyDescent="0.55000000000000004">
      <c r="B319" s="97"/>
      <c r="C319" s="4"/>
      <c r="D319" s="1081"/>
      <c r="E319" s="74"/>
      <c r="F319" s="75"/>
      <c r="G319" s="75"/>
      <c r="H319" s="75"/>
      <c r="I319" s="47"/>
      <c r="J319" s="47"/>
      <c r="K319" s="47"/>
      <c r="L319" s="47"/>
      <c r="M319" s="47"/>
      <c r="N319" s="47"/>
      <c r="O319" s="75"/>
      <c r="P319" s="47"/>
      <c r="Q319" s="47"/>
      <c r="R319" s="75"/>
      <c r="S319" s="75"/>
      <c r="T319" s="75"/>
      <c r="U319" s="75"/>
      <c r="V319" s="76"/>
      <c r="W319" s="1081"/>
      <c r="X319" s="53"/>
      <c r="Y319" s="4"/>
      <c r="Z319" s="4"/>
      <c r="AA319" s="4"/>
      <c r="AB319" s="4"/>
      <c r="AC319" s="98"/>
      <c r="AD319" s="257"/>
      <c r="AE319" s="199"/>
      <c r="AF319" s="106"/>
      <c r="AG319" s="4"/>
      <c r="AH319" s="4">
        <f>IF(AA305=Ceny_n!$B$184,IF(AI296=1,Ceny!$F$919,IF(AI296=2,Ceny!$G$919,0)),0)</f>
        <v>0</v>
      </c>
      <c r="AI319" s="4">
        <f>IF(AG324=3,AH319,AH338)</f>
        <v>0</v>
      </c>
      <c r="AJ319" s="4">
        <f>IF(AC296=ZAVESY,Ceny!$E$948,0)</f>
        <v>0</v>
      </c>
      <c r="AK319" s="4"/>
      <c r="AL319" s="4">
        <v>22</v>
      </c>
      <c r="AM319" s="4"/>
      <c r="AN319" s="4"/>
      <c r="AO319" s="4" t="str">
        <f t="shared" si="39"/>
        <v xml:space="preserve"> ()</v>
      </c>
      <c r="AP319" s="242">
        <v>0</v>
      </c>
      <c r="AQ319" s="238" t="str">
        <f t="shared" si="40"/>
        <v/>
      </c>
      <c r="AR319" s="4"/>
      <c r="AS319" s="4" t="e">
        <f>VLOOKUP(AL319,Ceny!$B$963:$E$970,4,0)</f>
        <v>#N/A</v>
      </c>
      <c r="AT319" s="4"/>
      <c r="AU319" s="4"/>
      <c r="AV319" s="4"/>
      <c r="AW319" s="4"/>
      <c r="AX319" s="4"/>
      <c r="AY319" s="4" t="e">
        <f t="shared" ref="AY319:AY333" si="42">AJ319+AS319+AT319+AU319+AW319</f>
        <v>#N/A</v>
      </c>
      <c r="AZ319" s="256"/>
      <c r="BA319" s="256"/>
      <c r="BB319" s="4"/>
      <c r="BD319" s="62" t="e">
        <v>#REF!</v>
      </c>
      <c r="BE319" s="178" t="e">
        <f t="shared" si="37"/>
        <v>#REF!</v>
      </c>
    </row>
    <row r="320" spans="2:59" s="178" customFormat="1" ht="18.600000000000001" thickBot="1" x14ac:dyDescent="0.4">
      <c r="B320" s="97"/>
      <c r="C320" s="4"/>
      <c r="D320" s="1036" t="str">
        <f>IF(H320=1,AC301,"")</f>
        <v/>
      </c>
      <c r="E320" s="1037"/>
      <c r="F320" s="1037"/>
      <c r="G320" s="1037"/>
      <c r="H320" s="51">
        <f>IF(AG324=4,1,0)</f>
        <v>0</v>
      </c>
      <c r="I320" s="51"/>
      <c r="J320" s="51"/>
      <c r="K320" s="51" t="b">
        <f>IF(AG324=4,IF(AC300=4,1,0))</f>
        <v>0</v>
      </c>
      <c r="L320" s="51"/>
      <c r="M320" s="51" t="b">
        <f>IF(AG324=4,IF(AC300=3,1,0))</f>
        <v>0</v>
      </c>
      <c r="N320" s="51"/>
      <c r="O320" s="51" t="b">
        <f>IF(AG324=4,IF(AC300=4,1,0))</f>
        <v>0</v>
      </c>
      <c r="P320" s="51"/>
      <c r="Q320" s="51"/>
      <c r="R320" s="51">
        <f>IF(AG324=4,1,0)</f>
        <v>0</v>
      </c>
      <c r="S320" s="1038" t="str">
        <f>IF(R320=1,AC301,"")</f>
        <v/>
      </c>
      <c r="T320" s="1038"/>
      <c r="U320" s="1038"/>
      <c r="V320" s="1038"/>
      <c r="W320" s="1039"/>
      <c r="X320" s="53"/>
      <c r="Y320" s="54"/>
      <c r="Z320" s="195" t="str">
        <f>IF(OR(AC293=Ceny_n!$B$18,AC293=Ceny_n!$B$19,AC293=Ceny_n!$B$20),Ceny!$B$498,"")</f>
        <v/>
      </c>
      <c r="AA320" s="4"/>
      <c r="AB320" s="4"/>
      <c r="AC320" s="98"/>
      <c r="AD320" s="257"/>
      <c r="AE320" s="199"/>
      <c r="AF320" s="106"/>
      <c r="AG320" s="4">
        <f>IF(AC296=ZAVESY,VPRAVO,0)</f>
        <v>0</v>
      </c>
      <c r="AH320" s="4">
        <f>IF(AA305=Ceny_n!$B$184,IF(AI296=1,Ceny!$F$920,IF(AI296=2,Ceny!$G$920,0)),0)</f>
        <v>0</v>
      </c>
      <c r="AI320" s="4">
        <f>IF(AG324=3,AH320,AH339)</f>
        <v>0</v>
      </c>
      <c r="AJ320" s="4">
        <f>IF(AC296=ZAVESY,Ceny!$E$949,0)</f>
        <v>0</v>
      </c>
      <c r="AK320" s="4"/>
      <c r="AL320" s="4">
        <v>22</v>
      </c>
      <c r="AM320" s="4"/>
      <c r="AN320" s="4"/>
      <c r="AO320" s="4" t="str">
        <f t="shared" si="39"/>
        <v xml:space="preserve"> ()</v>
      </c>
      <c r="AP320" s="242">
        <v>0</v>
      </c>
      <c r="AQ320" s="238" t="str">
        <f t="shared" si="40"/>
        <v/>
      </c>
      <c r="AR320" s="4"/>
      <c r="AS320" s="4" t="e">
        <f>VLOOKUP(AL320,Ceny!$B$963:$E$970,4,0)</f>
        <v>#N/A</v>
      </c>
      <c r="AT320" s="4"/>
      <c r="AU320" s="4"/>
      <c r="AV320" s="4"/>
      <c r="AW320" s="4"/>
      <c r="AX320" s="4"/>
      <c r="AY320" s="4" t="e">
        <f t="shared" si="42"/>
        <v>#N/A</v>
      </c>
      <c r="AZ320" s="256"/>
      <c r="BA320" s="256"/>
      <c r="BB320" s="4"/>
      <c r="BD320" s="62" t="e">
        <v>#REF!</v>
      </c>
      <c r="BE320" s="178" t="e">
        <f t="shared" si="37"/>
        <v>#REF!</v>
      </c>
    </row>
    <row r="321" spans="2:57" s="178" customFormat="1" ht="6" customHeight="1" x14ac:dyDescent="0.3">
      <c r="B321" s="97"/>
      <c r="C321" s="4"/>
      <c r="D321" s="53"/>
      <c r="E321" s="53"/>
      <c r="F321" s="53"/>
      <c r="G321" s="53"/>
      <c r="H321" s="53"/>
      <c r="I321" s="4"/>
      <c r="J321" s="4"/>
      <c r="K321" s="4"/>
      <c r="L321" s="4"/>
      <c r="M321" s="4"/>
      <c r="N321" s="4"/>
      <c r="O321" s="4"/>
      <c r="P321" s="4"/>
      <c r="Q321" s="4"/>
      <c r="R321" s="53"/>
      <c r="S321" s="53"/>
      <c r="T321" s="53"/>
      <c r="U321" s="53"/>
      <c r="V321" s="53"/>
      <c r="W321" s="53"/>
      <c r="X321" s="4"/>
      <c r="Y321" s="4"/>
      <c r="Z321" s="4"/>
      <c r="AA321" s="4"/>
      <c r="AB321" s="4"/>
      <c r="AC321" s="98"/>
      <c r="AD321" s="257"/>
      <c r="AE321" s="199"/>
      <c r="AF321" s="106"/>
      <c r="AG321" s="4">
        <f>IF(AC296=ZAVESY,VLEVO,0)</f>
        <v>0</v>
      </c>
      <c r="AH321" s="4">
        <f>IF(AA305=Ceny_n!$B$184,IF(AI296=1,Ceny!$F$921,IF(AI296=2,Ceny!$G$921,0)),0)</f>
        <v>0</v>
      </c>
      <c r="AI321" s="4">
        <f>IF(AG324=3,AH321,AH340)</f>
        <v>0</v>
      </c>
      <c r="AJ321" s="4">
        <f>IF(AC296=ZAVESY,Ceny!$E$950,0)</f>
        <v>0</v>
      </c>
      <c r="AK321" s="4"/>
      <c r="AL321" s="4">
        <v>22</v>
      </c>
      <c r="AM321" s="4"/>
      <c r="AN321" s="4"/>
      <c r="AO321" s="4" t="str">
        <f t="shared" si="39"/>
        <v xml:space="preserve"> ()</v>
      </c>
      <c r="AP321" s="242">
        <v>0</v>
      </c>
      <c r="AQ321" s="238" t="str">
        <f t="shared" si="40"/>
        <v/>
      </c>
      <c r="AR321" s="4"/>
      <c r="AS321" s="4" t="e">
        <f>VLOOKUP(AL321,Ceny!$B$963:$E$970,4,0)</f>
        <v>#N/A</v>
      </c>
      <c r="AT321" s="4"/>
      <c r="AU321" s="4"/>
      <c r="AV321" s="4"/>
      <c r="AW321" s="4"/>
      <c r="AX321" s="4"/>
      <c r="AY321" s="4" t="e">
        <f t="shared" si="42"/>
        <v>#N/A</v>
      </c>
      <c r="AZ321" s="256"/>
      <c r="BA321" s="256"/>
      <c r="BB321" s="4"/>
      <c r="BD321" s="62" t="e">
        <v>#REF!</v>
      </c>
      <c r="BE321" s="178" t="e">
        <f t="shared" si="37"/>
        <v>#REF!</v>
      </c>
    </row>
    <row r="322" spans="2:57" s="178" customFormat="1" ht="20.25" customHeight="1" thickBot="1" x14ac:dyDescent="0.4">
      <c r="B322" s="97"/>
      <c r="C322" s="4"/>
      <c r="D322" s="54"/>
      <c r="E322" s="54"/>
      <c r="F322" s="54"/>
      <c r="G322" s="54"/>
      <c r="H322" s="4"/>
      <c r="I322" s="1040" t="str">
        <f>Ceny_n!$B$135</f>
        <v xml:space="preserve">Šířka </v>
      </c>
      <c r="J322" s="1041"/>
      <c r="K322" s="1041"/>
      <c r="L322" s="1042">
        <v>600</v>
      </c>
      <c r="M322" s="1042"/>
      <c r="N322" s="1042"/>
      <c r="O322" s="1042"/>
      <c r="P322" s="1042"/>
      <c r="Q322" s="1043"/>
      <c r="R322" s="54"/>
      <c r="S322" s="54"/>
      <c r="T322" s="54"/>
      <c r="U322" s="54"/>
      <c r="V322" s="54"/>
      <c r="W322" s="54"/>
      <c r="X322" s="4"/>
      <c r="Y322" s="4"/>
      <c r="Z322" s="195" t="str">
        <f>IF(L322&gt;1500,Ceny!$B$290,IF(Y298&gt;1500,Ceny!$B$290,""))</f>
        <v/>
      </c>
      <c r="AA322" s="4"/>
      <c r="AB322" s="4"/>
      <c r="AC322" s="98"/>
      <c r="AD322" s="257"/>
      <c r="AE322" s="199"/>
      <c r="AF322" s="106"/>
      <c r="AG322" s="4">
        <f>IF(AC296=ZAVESY,NAHORE,0)</f>
        <v>0</v>
      </c>
      <c r="AH322" s="4">
        <f>IF(AA305=Ceny_n!$B$184,IF(AI296=1,Ceny!$F$922,IF(AI296=2,Ceny!$G$922,0)),0)</f>
        <v>0</v>
      </c>
      <c r="AI322" s="4">
        <f>IF(AG324=3,AH322,AH341)</f>
        <v>0</v>
      </c>
      <c r="AJ322" s="4">
        <f>IF(AC296=ZAVESY,Ceny!$E$951,0)</f>
        <v>0</v>
      </c>
      <c r="AK322" s="4"/>
      <c r="AL322" s="4">
        <v>22</v>
      </c>
      <c r="AM322" s="4"/>
      <c r="AN322" s="4"/>
      <c r="AO322" s="4" t="str">
        <f t="shared" si="39"/>
        <v xml:space="preserve"> ()</v>
      </c>
      <c r="AP322" s="243">
        <v>0</v>
      </c>
      <c r="AQ322" s="240" t="str">
        <f t="shared" si="40"/>
        <v/>
      </c>
      <c r="AR322" s="4"/>
      <c r="AS322" s="4" t="e">
        <f>VLOOKUP(AL322,Ceny!$B$963:$E$970,4,0)</f>
        <v>#N/A</v>
      </c>
      <c r="AT322" s="4"/>
      <c r="AU322" s="4"/>
      <c r="AV322" s="4"/>
      <c r="AW322" s="4"/>
      <c r="AX322" s="4"/>
      <c r="AY322" s="4" t="e">
        <f t="shared" si="42"/>
        <v>#N/A</v>
      </c>
      <c r="AZ322" s="256"/>
      <c r="BA322" s="256"/>
      <c r="BD322" s="62" t="e">
        <v>#REF!</v>
      </c>
      <c r="BE322" s="178" t="e">
        <f t="shared" si="37"/>
        <v>#REF!</v>
      </c>
    </row>
    <row r="323" spans="2:57" s="178" customFormat="1" ht="17.25" customHeight="1" x14ac:dyDescent="0.35">
      <c r="B323" s="97"/>
      <c r="C323" s="4"/>
      <c r="D323" s="54"/>
      <c r="E323" s="54"/>
      <c r="F323" s="54"/>
      <c r="G323" s="54"/>
      <c r="H323" s="77"/>
      <c r="I323" s="77"/>
      <c r="J323" s="77"/>
      <c r="K323" s="78"/>
      <c r="L323" s="78"/>
      <c r="M323" s="79"/>
      <c r="N323" s="79"/>
      <c r="O323" s="79"/>
      <c r="P323" s="79"/>
      <c r="Q323" s="79"/>
      <c r="R323" s="54"/>
      <c r="S323" s="54"/>
      <c r="T323" s="54"/>
      <c r="U323" s="54"/>
      <c r="V323" s="54"/>
      <c r="W323" s="54"/>
      <c r="X323" s="4"/>
      <c r="Y323" s="4"/>
      <c r="Z323" s="1044" t="str">
        <f>Ceny_n!$B$138</f>
        <v>Cena rámečků celkem</v>
      </c>
      <c r="AA323" s="1045"/>
      <c r="AB323" s="1045"/>
      <c r="AC323" s="1048" t="e">
        <f>IF(AC293=$B$347,0,(AI293+AM293+AN293+AS293)-((AI293+AM293+AN293+AS293)*$AC$14))</f>
        <v>#REF!</v>
      </c>
      <c r="AD323" s="269"/>
      <c r="AE323" s="214"/>
      <c r="AF323" s="106"/>
      <c r="AG323" s="4">
        <f>IF(AC296=ZAVESY,DOLE,0)</f>
        <v>0</v>
      </c>
      <c r="AH323" s="4">
        <f>IF(AA305=Ceny_n!$B$184,IF(AI296=1,Ceny!$F$923,IF(AI296=2,Ceny!$G$923,0)),0)</f>
        <v>0</v>
      </c>
      <c r="AI323" s="4">
        <f>IF(AG324=3,AH323,AH342)</f>
        <v>0</v>
      </c>
      <c r="AJ323" s="4">
        <f>IF(AC296=ZAVESY,Ceny!$E$952,0)</f>
        <v>0</v>
      </c>
      <c r="AK323" s="4"/>
      <c r="AL323" s="4" t="e">
        <f>IF(AI296=1,Ceny!$B$964,0)</f>
        <v>#REF!</v>
      </c>
      <c r="AM323" s="4">
        <v>0</v>
      </c>
      <c r="AN323" s="4">
        <v>0</v>
      </c>
      <c r="AO323" s="4"/>
      <c r="AP323" s="4">
        <v>0</v>
      </c>
      <c r="AQ323" s="4"/>
      <c r="AR323" s="4"/>
      <c r="AS323" s="4" t="e">
        <f>VLOOKUP(AL323,Ceny!$B$963:$E$970,4,0)</f>
        <v>#REF!</v>
      </c>
      <c r="AT323" s="4"/>
      <c r="AU323" s="4"/>
      <c r="AV323" s="4"/>
      <c r="AW323" s="4"/>
      <c r="AX323" s="4"/>
      <c r="AY323" s="4" t="e">
        <f t="shared" si="42"/>
        <v>#REF!</v>
      </c>
      <c r="AZ323" s="256"/>
      <c r="BA323" s="256"/>
      <c r="BD323" s="62" t="e">
        <v>#REF!</v>
      </c>
      <c r="BE323" s="178" t="e">
        <f t="shared" si="37"/>
        <v>#REF!</v>
      </c>
    </row>
    <row r="324" spans="2:57" s="178" customFormat="1" ht="17.25" customHeight="1" x14ac:dyDescent="0.35">
      <c r="B324" s="97"/>
      <c r="C324" s="4"/>
      <c r="D324" s="54"/>
      <c r="E324" s="54"/>
      <c r="F324" s="54"/>
      <c r="G324" s="54"/>
      <c r="H324" s="77"/>
      <c r="I324" s="77"/>
      <c r="J324" s="77"/>
      <c r="K324" s="78"/>
      <c r="L324" s="78"/>
      <c r="M324" s="79"/>
      <c r="N324" s="79"/>
      <c r="O324" s="79"/>
      <c r="P324" s="79"/>
      <c r="Q324" s="79"/>
      <c r="R324" s="54"/>
      <c r="S324" s="54"/>
      <c r="T324" s="54"/>
      <c r="U324" s="54"/>
      <c r="V324" s="54"/>
      <c r="W324" s="54"/>
      <c r="X324" s="4"/>
      <c r="Y324" s="4"/>
      <c r="Z324" s="1046"/>
      <c r="AA324" s="1047"/>
      <c r="AB324" s="1047"/>
      <c r="AC324" s="1049"/>
      <c r="AD324" s="269"/>
      <c r="AE324" s="214"/>
      <c r="AF324" s="106"/>
      <c r="AG324" s="4">
        <f>IF(AC304=VPRAVO,1,IF('Běžné rámečky'!AC304=VLEVO,2,IF('Běžné rámečky'!AC304=NAHORE,3,IF('Běžné rámečky'!AC304=DOLE,4,0))))</f>
        <v>0</v>
      </c>
      <c r="AH324" s="4">
        <f>IF(AA305=Ceny_n!$B$184,IF(AI296=1,Ceny!$F$924,IF(AI296=2,Ceny!$G$924,0)),0)</f>
        <v>0</v>
      </c>
      <c r="AI324" s="4" t="e">
        <f>IF(AG324=3,AH324,#REF!)</f>
        <v>#REF!</v>
      </c>
      <c r="AJ324" s="4">
        <f>IF(AC296=ZAVESY,Ceny!$E$953,0)</f>
        <v>0</v>
      </c>
      <c r="AK324" s="4"/>
      <c r="AL324" s="80">
        <f>Ceny_n!$B$965</f>
        <v>15585</v>
      </c>
      <c r="AM324" s="4">
        <v>0</v>
      </c>
      <c r="AN324" s="4">
        <v>0</v>
      </c>
      <c r="AO324" s="4"/>
      <c r="AP324" s="4">
        <v>0</v>
      </c>
      <c r="AQ324" s="4"/>
      <c r="AR324" s="4"/>
      <c r="AS324" s="4">
        <f>VLOOKUP(AL324,Ceny!$B$963:$E$970,4,0)</f>
        <v>3.1249699999999998</v>
      </c>
      <c r="AT324" s="4"/>
      <c r="AU324" s="4"/>
      <c r="AV324" s="4"/>
      <c r="AW324" s="4"/>
      <c r="AX324" s="4"/>
      <c r="AY324" s="4">
        <f t="shared" si="42"/>
        <v>3.1249699999999998</v>
      </c>
      <c r="AZ324" s="256"/>
      <c r="BA324" s="256"/>
      <c r="BD324" s="62" t="e">
        <v>#REF!</v>
      </c>
      <c r="BE324" s="178" t="e">
        <f t="shared" si="37"/>
        <v>#REF!</v>
      </c>
    </row>
    <row r="325" spans="2:57" s="178" customFormat="1" ht="13.5" customHeight="1" x14ac:dyDescent="0.35">
      <c r="B325" s="97"/>
      <c r="C325" s="4"/>
      <c r="D325" s="54"/>
      <c r="E325" s="54"/>
      <c r="F325" s="54"/>
      <c r="G325" s="54"/>
      <c r="H325" s="77"/>
      <c r="I325" s="77"/>
      <c r="J325" s="77"/>
      <c r="K325" s="78"/>
      <c r="L325" s="78"/>
      <c r="M325" s="79"/>
      <c r="N325" s="79"/>
      <c r="O325" s="79"/>
      <c r="P325" s="79"/>
      <c r="Q325" s="79"/>
      <c r="R325" s="54"/>
      <c r="S325" s="54"/>
      <c r="T325" s="54"/>
      <c r="U325" s="54"/>
      <c r="V325" s="54"/>
      <c r="W325" s="54"/>
      <c r="X325" s="4"/>
      <c r="Y325" s="4"/>
      <c r="Z325" s="1050" t="str">
        <f>Ceny_n!$B$140</f>
        <v>Cena za kompletní objednávku</v>
      </c>
      <c r="AA325" s="1051"/>
      <c r="AB325" s="1051"/>
      <c r="AC325" s="1054" t="e">
        <f>SUM($AC$53,$AC$107,$AC$161,$AC$215,$AC$269,$AC$323)</f>
        <v>#REF!</v>
      </c>
      <c r="AD325" s="269"/>
      <c r="AE325" s="214"/>
      <c r="AF325" s="106"/>
      <c r="AG325" s="4"/>
      <c r="AH325" s="4">
        <f>IF(AA305=Ceny_n!$B$184,IF(AI296=1,Ceny!$F$925,IF(AI296=2,Ceny!$G$925,0)),0)</f>
        <v>0</v>
      </c>
      <c r="AI325" s="4" t="e">
        <f>IF(AG324=3,AH325,#REF!)</f>
        <v>#REF!</v>
      </c>
      <c r="AJ325" s="4">
        <f>IF(AC296=ZAVESY,Ceny!$E$954,0)</f>
        <v>0</v>
      </c>
      <c r="AK325" s="4"/>
      <c r="AL325" s="80">
        <f>Ceny_n!$B$965</f>
        <v>15585</v>
      </c>
      <c r="AM325" s="4">
        <v>0</v>
      </c>
      <c r="AN325" s="4">
        <v>0</v>
      </c>
      <c r="AO325" s="4"/>
      <c r="AP325" s="4">
        <v>0</v>
      </c>
      <c r="AQ325" s="4"/>
      <c r="AR325" s="4"/>
      <c r="AS325" s="4">
        <f>VLOOKUP(AL325,Ceny!$B$963:$E$970,4,0)</f>
        <v>3.1249699999999998</v>
      </c>
      <c r="AT325" s="4"/>
      <c r="AU325" s="4"/>
      <c r="AV325" s="4"/>
      <c r="AW325" s="4"/>
      <c r="AX325" s="4"/>
      <c r="AY325" s="4">
        <f t="shared" si="42"/>
        <v>3.1249699999999998</v>
      </c>
      <c r="AZ325" s="256"/>
      <c r="BA325" s="256"/>
      <c r="BD325" s="62" t="e">
        <v>#REF!</v>
      </c>
      <c r="BE325" s="178" t="e">
        <f t="shared" si="37"/>
        <v>#REF!</v>
      </c>
    </row>
    <row r="326" spans="2:57" s="178" customFormat="1" ht="17.25" customHeight="1" x14ac:dyDescent="0.35">
      <c r="B326" s="97"/>
      <c r="C326" s="4"/>
      <c r="D326" s="54"/>
      <c r="E326" s="54"/>
      <c r="F326" s="54"/>
      <c r="G326" s="54"/>
      <c r="H326" s="77"/>
      <c r="I326" s="77"/>
      <c r="J326" s="77"/>
      <c r="K326" s="78"/>
      <c r="L326" s="78"/>
      <c r="M326" s="79"/>
      <c r="N326" s="79"/>
      <c r="O326" s="79"/>
      <c r="P326" s="79"/>
      <c r="Q326" s="79"/>
      <c r="R326" s="54"/>
      <c r="S326" s="54"/>
      <c r="T326" s="54"/>
      <c r="U326" s="54"/>
      <c r="V326" s="54"/>
      <c r="W326" s="54"/>
      <c r="X326" s="4"/>
      <c r="Y326" s="4"/>
      <c r="Z326" s="1052"/>
      <c r="AA326" s="1053"/>
      <c r="AB326" s="1053"/>
      <c r="AC326" s="1055"/>
      <c r="AD326" s="270"/>
      <c r="AE326" s="215"/>
      <c r="AF326" s="106"/>
      <c r="AG326" s="4"/>
      <c r="AH326" s="4">
        <f>IF(AA305=Ceny_n!$B$184,IF(AI296=1,Ceny!$F$926,IF(AI296=2,Ceny!$G$926,0)),0)</f>
        <v>0</v>
      </c>
      <c r="AI326" s="4" t="e">
        <f>IF(AG324=3,AH326,#REF!)</f>
        <v>#REF!</v>
      </c>
      <c r="AJ326" s="4">
        <f>IF(AC296=ZAVESY,Ceny!$E$955,0)</f>
        <v>0</v>
      </c>
      <c r="AK326" s="4"/>
      <c r="AL326" s="80">
        <f>Ceny_n!$B$965</f>
        <v>15585</v>
      </c>
      <c r="AM326" s="4">
        <v>0</v>
      </c>
      <c r="AN326" s="4">
        <v>0</v>
      </c>
      <c r="AO326" s="4"/>
      <c r="AP326" s="4">
        <v>0</v>
      </c>
      <c r="AQ326" s="4"/>
      <c r="AR326" s="4"/>
      <c r="AS326" s="4">
        <f>VLOOKUP(AL326,Ceny!$B$963:$E$970,4,0)</f>
        <v>3.1249699999999998</v>
      </c>
      <c r="AT326" s="4"/>
      <c r="AU326" s="4"/>
      <c r="AV326" s="4"/>
      <c r="AW326" s="4"/>
      <c r="AX326" s="4"/>
      <c r="AY326" s="4">
        <f t="shared" si="42"/>
        <v>3.1249699999999998</v>
      </c>
      <c r="AZ326" s="256"/>
      <c r="BA326" s="256"/>
      <c r="BD326" s="62" t="e">
        <v>#REF!</v>
      </c>
      <c r="BE326" s="178" t="e">
        <f t="shared" si="37"/>
        <v>#REF!</v>
      </c>
    </row>
    <row r="327" spans="2:57" s="178" customFormat="1" ht="7.5" customHeight="1" x14ac:dyDescent="0.3">
      <c r="B327" s="97"/>
      <c r="C327" s="4"/>
      <c r="D327" s="54"/>
      <c r="E327" s="54"/>
      <c r="F327" s="54"/>
      <c r="G327" s="54"/>
      <c r="H327" s="77"/>
      <c r="I327" s="77"/>
      <c r="J327" s="77"/>
      <c r="K327" s="78"/>
      <c r="L327" s="78"/>
      <c r="M327" s="79"/>
      <c r="N327" s="79"/>
      <c r="O327" s="79"/>
      <c r="P327" s="79"/>
      <c r="Q327" s="79"/>
      <c r="R327" s="54"/>
      <c r="S327" s="54"/>
      <c r="T327" s="54"/>
      <c r="U327" s="54"/>
      <c r="V327" s="54"/>
      <c r="W327" s="54"/>
      <c r="X327" s="4"/>
      <c r="Y327" s="4"/>
      <c r="Z327" s="1056" t="str">
        <f>Ceny_n!$B$131</f>
        <v>Uvedené ceny jsou bez DPH a nezahrnují cenu požadovaného kování!</v>
      </c>
      <c r="AA327" s="1056"/>
      <c r="AB327" s="1056"/>
      <c r="AC327" s="1057"/>
      <c r="AD327" s="257"/>
      <c r="AE327" s="199"/>
      <c r="AF327" s="106"/>
      <c r="AG327" s="4"/>
      <c r="AH327" s="4">
        <f>IF(AA305=Ceny_n!$B$184,IF(AI296=1,Ceny!$F$927,IF(AI296=2,Ceny!$G$927,0)),0)</f>
        <v>0</v>
      </c>
      <c r="AI327" s="4" t="e">
        <f>IF(AG324=3,AH327,#REF!)</f>
        <v>#REF!</v>
      </c>
      <c r="AJ327" s="4">
        <f>IF(AC296=ZAVESY,Ceny!$E$956,0)</f>
        <v>0</v>
      </c>
      <c r="AK327" s="4"/>
      <c r="AL327" s="80">
        <f>Ceny_n!$B$965</f>
        <v>15585</v>
      </c>
      <c r="AM327" s="4">
        <v>0</v>
      </c>
      <c r="AN327" s="4">
        <v>0</v>
      </c>
      <c r="AO327" s="4"/>
      <c r="AP327" s="4">
        <v>0</v>
      </c>
      <c r="AQ327" s="4"/>
      <c r="AR327" s="4"/>
      <c r="AS327" s="4">
        <f>VLOOKUP(AL327,Ceny!$B$963:$E$970,4,0)</f>
        <v>3.1249699999999998</v>
      </c>
      <c r="AT327" s="4"/>
      <c r="AU327" s="4"/>
      <c r="AV327" s="4"/>
      <c r="AW327" s="4"/>
      <c r="AX327" s="4"/>
      <c r="AY327" s="4">
        <f t="shared" si="42"/>
        <v>3.1249699999999998</v>
      </c>
      <c r="AZ327" s="256"/>
      <c r="BA327" s="256"/>
      <c r="BD327" s="62" t="e">
        <v>#REF!</v>
      </c>
      <c r="BE327" s="178" t="e">
        <f t="shared" si="37"/>
        <v>#REF!</v>
      </c>
    </row>
    <row r="328" spans="2:57" s="4" customFormat="1" ht="7.5" customHeight="1" x14ac:dyDescent="0.3">
      <c r="B328" s="99"/>
      <c r="C328" s="100"/>
      <c r="D328" s="100"/>
      <c r="E328" s="100"/>
      <c r="F328" s="100"/>
      <c r="G328" s="100"/>
      <c r="H328" s="100"/>
      <c r="I328" s="101"/>
      <c r="J328" s="101"/>
      <c r="K328" s="101"/>
      <c r="L328" s="101"/>
      <c r="M328" s="101"/>
      <c r="N328" s="101"/>
      <c r="O328" s="102"/>
      <c r="P328" s="100"/>
      <c r="Q328" s="100"/>
      <c r="R328" s="100"/>
      <c r="S328" s="100"/>
      <c r="T328" s="100"/>
      <c r="U328" s="100"/>
      <c r="V328" s="100"/>
      <c r="W328" s="100"/>
      <c r="X328" s="100"/>
      <c r="Y328" s="100"/>
      <c r="Z328" s="1058"/>
      <c r="AA328" s="1058"/>
      <c r="AB328" s="1058"/>
      <c r="AC328" s="1059"/>
      <c r="AD328" s="257"/>
      <c r="AE328" s="199"/>
      <c r="AF328" s="106"/>
      <c r="AH328" s="4">
        <f>IF(AA305=Ceny_n!$B$184,IF(AI296=1,Ceny!$F$928,IF(AI296=2,Ceny!$G$928,0)),0)</f>
        <v>0</v>
      </c>
      <c r="AI328" s="4" t="e">
        <f>IF(AG324=3,AH328,#REF!)</f>
        <v>#REF!</v>
      </c>
      <c r="AJ328" s="4">
        <f>IF(AC296=ZAVESY,Ceny!$E$957,0)</f>
        <v>0</v>
      </c>
      <c r="AL328" s="80">
        <f>Ceny_n!$B$965</f>
        <v>15585</v>
      </c>
      <c r="AM328" s="4">
        <v>0</v>
      </c>
      <c r="AN328" s="4">
        <v>0</v>
      </c>
      <c r="AP328" s="4">
        <v>0</v>
      </c>
      <c r="AS328" s="4">
        <f>VLOOKUP(AL328,Ceny!$B$963:$E$970,4,0)</f>
        <v>3.1249699999999998</v>
      </c>
      <c r="AY328" s="4">
        <f t="shared" si="42"/>
        <v>3.1249699999999998</v>
      </c>
      <c r="AZ328" s="256"/>
      <c r="BA328" s="256"/>
      <c r="BB328" s="178"/>
      <c r="BD328" s="62" t="e">
        <v>#REF!</v>
      </c>
      <c r="BE328" s="178" t="e">
        <f t="shared" si="37"/>
        <v>#REF!</v>
      </c>
    </row>
    <row r="329" spans="2:57" s="178" customFormat="1" ht="6.9" customHeight="1" x14ac:dyDescent="0.3">
      <c r="B329" s="1024" t="str">
        <f>Ceny_n!$B$137</f>
        <v>Poznámky</v>
      </c>
      <c r="C329" s="1025"/>
      <c r="D329" s="1025"/>
      <c r="E329" s="1025"/>
      <c r="F329" s="1025"/>
      <c r="G329" s="1030"/>
      <c r="H329" s="1030"/>
      <c r="I329" s="1030"/>
      <c r="J329" s="1030"/>
      <c r="K329" s="1030"/>
      <c r="L329" s="1030"/>
      <c r="M329" s="1030"/>
      <c r="N329" s="1030"/>
      <c r="O329" s="1030"/>
      <c r="P329" s="1030"/>
      <c r="Q329" s="1030"/>
      <c r="R329" s="1030"/>
      <c r="S329" s="1030"/>
      <c r="T329" s="1030"/>
      <c r="U329" s="1030"/>
      <c r="V329" s="1030"/>
      <c r="W329" s="1030"/>
      <c r="X329" s="1030"/>
      <c r="Y329" s="1030"/>
      <c r="Z329" s="1030"/>
      <c r="AA329" s="1030"/>
      <c r="AB329" s="1030"/>
      <c r="AC329" s="1031"/>
      <c r="AD329" s="271"/>
      <c r="AE329" s="216"/>
      <c r="AF329" s="106"/>
      <c r="AG329" s="4"/>
      <c r="AH329" s="4">
        <f>IF(AA305=Ceny_n!$B$184,IF(AI296=1,Ceny!$F$929,IF(AI296=2,Ceny!$G$929,0)),0)</f>
        <v>0</v>
      </c>
      <c r="AI329" s="4" t="e">
        <f>IF(AG324=3,AH329,#REF!)</f>
        <v>#REF!</v>
      </c>
      <c r="AJ329" s="4">
        <f>IF(AC296=ZAVESY,Ceny!$E$958,0)</f>
        <v>0</v>
      </c>
      <c r="AK329" s="4"/>
      <c r="AL329" s="178">
        <f>Ceny_n!$B$968</f>
        <v>15596</v>
      </c>
      <c r="AM329" s="4">
        <f>Ceny_n!$B$967</f>
        <v>15595</v>
      </c>
      <c r="AN329" s="81" t="e">
        <f>IF(AI296=1,Ceny!$B$967,0)</f>
        <v>#REF!</v>
      </c>
      <c r="AO329" s="81"/>
      <c r="AP329" s="81" t="e">
        <f>IF(AI296=1,Ceny!$B$968,0)</f>
        <v>#REF!</v>
      </c>
      <c r="AQ329" s="81"/>
      <c r="AR329" s="81" t="e">
        <f>IF(AI296=1,Ceny!$B$969,0)</f>
        <v>#REF!</v>
      </c>
      <c r="AS329" s="4">
        <f>VLOOKUP(AL329,Ceny!$B$963:$E$970,4,0)</f>
        <v>11.9</v>
      </c>
      <c r="AT329" s="4">
        <f>VLOOKUP(AM329,Ceny!$B$963:$E$970,4,0)</f>
        <v>13.4</v>
      </c>
      <c r="AU329" s="4" t="e">
        <f>VLOOKUP(AN329,Ceny!$B$963:$E$970,4,0)</f>
        <v>#REF!</v>
      </c>
      <c r="AV329" s="4"/>
      <c r="AW329" s="4" t="e">
        <f>2*(VLOOKUP(AP329,Ceny!$B$963:$E$970,4,0))</f>
        <v>#REF!</v>
      </c>
      <c r="AX329" s="4" t="e">
        <f>2*(VLOOKUP(AR329,Ceny!$B$963:$E$970,4,0))</f>
        <v>#REF!</v>
      </c>
      <c r="AY329" s="4" t="e">
        <f t="shared" si="42"/>
        <v>#REF!</v>
      </c>
      <c r="AZ329" s="256"/>
      <c r="BA329" s="256"/>
      <c r="BD329" s="62" t="e">
        <v>#REF!</v>
      </c>
      <c r="BE329" s="178" t="e">
        <f t="shared" si="37"/>
        <v>#REF!</v>
      </c>
    </row>
    <row r="330" spans="2:57" s="178" customFormat="1" ht="6.9" customHeight="1" x14ac:dyDescent="0.3">
      <c r="B330" s="1026"/>
      <c r="C330" s="1027"/>
      <c r="D330" s="1027"/>
      <c r="E330" s="1027"/>
      <c r="F330" s="1027"/>
      <c r="G330" s="1032"/>
      <c r="H330" s="1032"/>
      <c r="I330" s="1032"/>
      <c r="J330" s="1032"/>
      <c r="K330" s="1032"/>
      <c r="L330" s="1032"/>
      <c r="M330" s="1032"/>
      <c r="N330" s="1032"/>
      <c r="O330" s="1032"/>
      <c r="P330" s="1032"/>
      <c r="Q330" s="1032"/>
      <c r="R330" s="1032"/>
      <c r="S330" s="1032"/>
      <c r="T330" s="1032"/>
      <c r="U330" s="1032"/>
      <c r="V330" s="1032"/>
      <c r="W330" s="1032"/>
      <c r="X330" s="1032"/>
      <c r="Y330" s="1032"/>
      <c r="Z330" s="1032"/>
      <c r="AA330" s="1032"/>
      <c r="AB330" s="1032"/>
      <c r="AC330" s="1033"/>
      <c r="AD330" s="271"/>
      <c r="AE330" s="216"/>
      <c r="AF330" s="106"/>
      <c r="AG330" s="4"/>
      <c r="AH330" s="4">
        <f>IF(AA305=Ceny_n!$B$184,IF(AI296=1,Ceny!$F$930,IF(AI296=2,Ceny!$G$930,0)),0)</f>
        <v>0</v>
      </c>
      <c r="AI330" s="4" t="e">
        <f>IF(AG324=3,AH330,#REF!)</f>
        <v>#REF!</v>
      </c>
      <c r="AJ330" s="4">
        <f>IF(AC296=ZAVESY,Ceny!$E$959,0)</f>
        <v>0</v>
      </c>
      <c r="AK330" s="4"/>
      <c r="AL330" s="178">
        <f>Ceny_n!$B$968</f>
        <v>15596</v>
      </c>
      <c r="AM330" s="4">
        <f>Ceny_n!$B$967</f>
        <v>15595</v>
      </c>
      <c r="AN330" s="81" t="e">
        <f>IF(AI296=1,Ceny!$B$967,0)</f>
        <v>#REF!</v>
      </c>
      <c r="AO330" s="81"/>
      <c r="AP330" s="81" t="e">
        <f>IF(AI296=1,Ceny!$B$968,0)</f>
        <v>#REF!</v>
      </c>
      <c r="AQ330" s="81"/>
      <c r="AR330" s="81" t="e">
        <f>IF(AI296=1,Ceny!$B$969,0)</f>
        <v>#REF!</v>
      </c>
      <c r="AS330" s="4">
        <f>VLOOKUP(AL330,Ceny!$B$963:$E$970,4,0)</f>
        <v>11.9</v>
      </c>
      <c r="AT330" s="4">
        <f>VLOOKUP(AM330,Ceny!$B$963:$E$970,4,0)</f>
        <v>13.4</v>
      </c>
      <c r="AU330" s="4" t="e">
        <f>VLOOKUP(AN330,Ceny!$B$963:$E$970,4,0)</f>
        <v>#REF!</v>
      </c>
      <c r="AV330" s="4"/>
      <c r="AW330" s="4" t="e">
        <f>2*(VLOOKUP(AP330,Ceny!$B$963:$E$970,4,0))</f>
        <v>#REF!</v>
      </c>
      <c r="AX330" s="4" t="e">
        <f>2*(VLOOKUP(AR330,Ceny!$B$963:$E$970,4,0))</f>
        <v>#REF!</v>
      </c>
      <c r="AY330" s="4" t="e">
        <f t="shared" si="42"/>
        <v>#REF!</v>
      </c>
      <c r="AZ330" s="256"/>
      <c r="BA330" s="256"/>
      <c r="BD330" s="62" t="e">
        <v>#REF!</v>
      </c>
      <c r="BE330" s="178" t="e">
        <f t="shared" si="37"/>
        <v>#REF!</v>
      </c>
    </row>
    <row r="331" spans="2:57" s="178" customFormat="1" ht="6.9" customHeight="1" x14ac:dyDescent="0.3">
      <c r="B331" s="1026"/>
      <c r="C331" s="1027"/>
      <c r="D331" s="1027"/>
      <c r="E331" s="1027"/>
      <c r="F331" s="1027"/>
      <c r="G331" s="1032"/>
      <c r="H331" s="1032"/>
      <c r="I331" s="1032"/>
      <c r="J331" s="1032"/>
      <c r="K331" s="1032"/>
      <c r="L331" s="1032"/>
      <c r="M331" s="1032"/>
      <c r="N331" s="1032"/>
      <c r="O331" s="1032"/>
      <c r="P331" s="1032"/>
      <c r="Q331" s="1032"/>
      <c r="R331" s="1032"/>
      <c r="S331" s="1032"/>
      <c r="T331" s="1032"/>
      <c r="U331" s="1032"/>
      <c r="V331" s="1032"/>
      <c r="W331" s="1032"/>
      <c r="X331" s="1032"/>
      <c r="Y331" s="1032"/>
      <c r="Z331" s="1032"/>
      <c r="AA331" s="1032"/>
      <c r="AB331" s="1032"/>
      <c r="AC331" s="1033"/>
      <c r="AD331" s="271"/>
      <c r="AE331" s="216"/>
      <c r="AF331" s="106"/>
      <c r="AG331" s="4"/>
      <c r="AH331" s="4">
        <f>IF(AA305=Ceny_n!$B$184,IF(AI296=1,Ceny!$F$931,IF(AI296=2,Ceny!$G$931,0)),0)</f>
        <v>0</v>
      </c>
      <c r="AI331" s="4" t="e">
        <f>IF(AG324=3,AH331,#REF!)</f>
        <v>#REF!</v>
      </c>
      <c r="AJ331" s="4">
        <f>IF(AC296=ZAVESY,Ceny!$E$960,0)</f>
        <v>0</v>
      </c>
      <c r="AK331" s="4"/>
      <c r="AL331" s="178">
        <f>Ceny_n!$B$968</f>
        <v>15596</v>
      </c>
      <c r="AM331" s="4">
        <f>Ceny_n!$B$967</f>
        <v>15595</v>
      </c>
      <c r="AN331" s="81" t="e">
        <f>IF(AI296=1,Ceny!$B$967,0)</f>
        <v>#REF!</v>
      </c>
      <c r="AO331" s="81"/>
      <c r="AP331" s="81" t="e">
        <f>IF(AI296=1,Ceny!$B$968,0)</f>
        <v>#REF!</v>
      </c>
      <c r="AQ331" s="81"/>
      <c r="AR331" s="81" t="e">
        <f>IF(AI296=1,Ceny!$B$969,0)</f>
        <v>#REF!</v>
      </c>
      <c r="AS331" s="4">
        <f>VLOOKUP(AL331,Ceny!$B$963:$E$970,4,0)</f>
        <v>11.9</v>
      </c>
      <c r="AT331" s="4">
        <f>VLOOKUP(AM331,Ceny!$B$963:$E$970,4,0)</f>
        <v>13.4</v>
      </c>
      <c r="AU331" s="4" t="e">
        <f>VLOOKUP(AN331,Ceny!$B$963:$E$970,4,0)</f>
        <v>#REF!</v>
      </c>
      <c r="AV331" s="4"/>
      <c r="AW331" s="4" t="e">
        <f>2*(VLOOKUP(AP331,Ceny!$B$963:$E$970,4,0))</f>
        <v>#REF!</v>
      </c>
      <c r="AX331" s="4" t="e">
        <f>2*(VLOOKUP(AR331,Ceny!$B$963:$E$970,4,0))</f>
        <v>#REF!</v>
      </c>
      <c r="AY331" s="4" t="e">
        <f t="shared" si="42"/>
        <v>#REF!</v>
      </c>
      <c r="AZ331" s="256"/>
      <c r="BA331" s="256"/>
      <c r="BD331" s="62" t="e">
        <v>#REF!</v>
      </c>
      <c r="BE331" s="178" t="e">
        <f t="shared" si="37"/>
        <v>#REF!</v>
      </c>
    </row>
    <row r="332" spans="2:57" s="178" customFormat="1" ht="6.9" customHeight="1" x14ac:dyDescent="0.3">
      <c r="B332" s="1026"/>
      <c r="C332" s="1027"/>
      <c r="D332" s="1027"/>
      <c r="E332" s="1027"/>
      <c r="F332" s="1027"/>
      <c r="G332" s="1032"/>
      <c r="H332" s="1032"/>
      <c r="I332" s="1032"/>
      <c r="J332" s="1032"/>
      <c r="K332" s="1032"/>
      <c r="L332" s="1032"/>
      <c r="M332" s="1032"/>
      <c r="N332" s="1032"/>
      <c r="O332" s="1032"/>
      <c r="P332" s="1032"/>
      <c r="Q332" s="1032"/>
      <c r="R332" s="1032"/>
      <c r="S332" s="1032"/>
      <c r="T332" s="1032"/>
      <c r="U332" s="1032"/>
      <c r="V332" s="1032"/>
      <c r="W332" s="1032"/>
      <c r="X332" s="1032"/>
      <c r="Y332" s="1032"/>
      <c r="Z332" s="1032"/>
      <c r="AA332" s="1032"/>
      <c r="AB332" s="1032"/>
      <c r="AC332" s="1033"/>
      <c r="AD332" s="271"/>
      <c r="AE332" s="216"/>
      <c r="AF332" s="106"/>
      <c r="AG332" s="4"/>
      <c r="AH332" s="4">
        <f>IF(AA305=Ceny_n!$B$184,IF(AI296=1,Ceny!$F$932,IF(AI296=2,Ceny!$G$932,0)),0)</f>
        <v>0</v>
      </c>
      <c r="AI332" s="4" t="e">
        <f>IF(AG324=3,AH332,#REF!)</f>
        <v>#REF!</v>
      </c>
      <c r="AJ332" s="4">
        <f>IF(AC296=ZAVESY,Ceny!$E$961,0)</f>
        <v>0</v>
      </c>
      <c r="AK332" s="4"/>
      <c r="AL332" s="178">
        <f>Ceny_n!$B$968</f>
        <v>15596</v>
      </c>
      <c r="AM332" s="4">
        <f>Ceny_n!$B$967</f>
        <v>15595</v>
      </c>
      <c r="AN332" s="81" t="e">
        <f>IF(AI296=1,Ceny!$B$967,0)</f>
        <v>#REF!</v>
      </c>
      <c r="AO332" s="81"/>
      <c r="AP332" s="81" t="e">
        <f>IF(AI296=1,Ceny!$B$968,0)</f>
        <v>#REF!</v>
      </c>
      <c r="AQ332" s="81"/>
      <c r="AR332" s="81" t="e">
        <f>IF(AI296=1,Ceny!$B$969,0)</f>
        <v>#REF!</v>
      </c>
      <c r="AS332" s="4">
        <f>VLOOKUP(AL332,Ceny!$B$963:$E$970,4,0)</f>
        <v>11.9</v>
      </c>
      <c r="AT332" s="4">
        <f>VLOOKUP(AM332,Ceny!$B$963:$E$970,4,0)</f>
        <v>13.4</v>
      </c>
      <c r="AU332" s="4" t="e">
        <f>VLOOKUP(AN332,Ceny!$B$963:$E$970,4,0)</f>
        <v>#REF!</v>
      </c>
      <c r="AV332" s="4"/>
      <c r="AW332" s="4" t="e">
        <f>2*(VLOOKUP(AP332,Ceny!$B$963:$E$970,4,0))</f>
        <v>#REF!</v>
      </c>
      <c r="AX332" s="4" t="e">
        <f>2*(VLOOKUP(AR332,Ceny!$B$963:$E$970,4,0))</f>
        <v>#REF!</v>
      </c>
      <c r="AY332" s="4" t="e">
        <f t="shared" si="42"/>
        <v>#REF!</v>
      </c>
      <c r="AZ332" s="256"/>
      <c r="BA332" s="256"/>
      <c r="BD332" s="62" t="e">
        <v>#REF!</v>
      </c>
      <c r="BE332" s="178" t="e">
        <f t="shared" si="37"/>
        <v>#REF!</v>
      </c>
    </row>
    <row r="333" spans="2:57" s="178" customFormat="1" ht="6.9" customHeight="1" x14ac:dyDescent="0.3">
      <c r="B333" s="1026"/>
      <c r="C333" s="1027"/>
      <c r="D333" s="1027"/>
      <c r="E333" s="1027"/>
      <c r="F333" s="1027"/>
      <c r="G333" s="1032"/>
      <c r="H333" s="1032"/>
      <c r="I333" s="1032"/>
      <c r="J333" s="1032"/>
      <c r="K333" s="1032"/>
      <c r="L333" s="1032"/>
      <c r="M333" s="1032"/>
      <c r="N333" s="1032"/>
      <c r="O333" s="1032"/>
      <c r="P333" s="1032"/>
      <c r="Q333" s="1032"/>
      <c r="R333" s="1032"/>
      <c r="S333" s="1032"/>
      <c r="T333" s="1032"/>
      <c r="U333" s="1032"/>
      <c r="V333" s="1032"/>
      <c r="W333" s="1032"/>
      <c r="X333" s="1032"/>
      <c r="Y333" s="1032"/>
      <c r="Z333" s="1032"/>
      <c r="AA333" s="1032"/>
      <c r="AB333" s="1032"/>
      <c r="AC333" s="1033"/>
      <c r="AD333" s="271"/>
      <c r="AE333" s="216"/>
      <c r="AF333" s="106"/>
      <c r="AG333" s="4"/>
      <c r="AH333" s="4">
        <f>IF(AA305=Ceny_n!$B$184,IF(AI296=1,Ceny!$F$933,IF(AI296=2,Ceny!$G$933,0)),0)</f>
        <v>0</v>
      </c>
      <c r="AI333" s="4" t="e">
        <f>IF(AG324=3,AH333,#REF!)</f>
        <v>#REF!</v>
      </c>
      <c r="AJ333" s="4">
        <f>IF(AC296=ZAVESY,Ceny!$E$962,0)</f>
        <v>0</v>
      </c>
      <c r="AK333" s="4"/>
      <c r="AL333" s="4"/>
      <c r="AM333" s="4"/>
      <c r="AN333" s="4"/>
      <c r="AO333" s="4"/>
      <c r="AP333" s="4"/>
      <c r="AQ333" s="4"/>
      <c r="AR333" s="4"/>
      <c r="AS333" s="4"/>
      <c r="AT333" s="4"/>
      <c r="AU333" s="4"/>
      <c r="AV333" s="4"/>
      <c r="AW333" s="4"/>
      <c r="AX333" s="4"/>
      <c r="AY333" s="4">
        <f t="shared" si="42"/>
        <v>0</v>
      </c>
      <c r="AZ333" s="256"/>
      <c r="BA333" s="256"/>
      <c r="BB333" s="4"/>
      <c r="BD333" s="62" t="e">
        <v>#REF!</v>
      </c>
      <c r="BE333" s="178" t="e">
        <f t="shared" si="37"/>
        <v>#REF!</v>
      </c>
    </row>
    <row r="334" spans="2:57" s="178" customFormat="1" ht="6" customHeight="1" x14ac:dyDescent="0.3">
      <c r="B334" s="1026"/>
      <c r="C334" s="1027"/>
      <c r="D334" s="1027"/>
      <c r="E334" s="1027"/>
      <c r="F334" s="1027"/>
      <c r="G334" s="1032"/>
      <c r="H334" s="1032"/>
      <c r="I334" s="1032"/>
      <c r="J334" s="1032"/>
      <c r="K334" s="1032"/>
      <c r="L334" s="1032"/>
      <c r="M334" s="1032"/>
      <c r="N334" s="1032"/>
      <c r="O334" s="1032"/>
      <c r="P334" s="1032"/>
      <c r="Q334" s="1032"/>
      <c r="R334" s="1032"/>
      <c r="S334" s="1032"/>
      <c r="T334" s="1032"/>
      <c r="U334" s="1032"/>
      <c r="V334" s="1032"/>
      <c r="W334" s="1032"/>
      <c r="X334" s="1032"/>
      <c r="Y334" s="1032"/>
      <c r="Z334" s="1032"/>
      <c r="AA334" s="1032"/>
      <c r="AB334" s="1032"/>
      <c r="AC334" s="1033"/>
      <c r="AD334" s="271"/>
      <c r="AE334" s="216"/>
      <c r="AF334" s="106"/>
      <c r="AG334" s="4"/>
      <c r="AH334" s="4">
        <f>IF(AA305=Ceny_n!$B$184,IF(AI296=1,Ceny!$F$934,IF(AI296=2,Ceny!$G$934,0)),0)</f>
        <v>0</v>
      </c>
      <c r="AI334" s="4" t="e">
        <f>IF(AG324=3,AH334,#REF!)</f>
        <v>#REF!</v>
      </c>
      <c r="AJ334" s="4"/>
      <c r="AK334" s="4"/>
      <c r="AL334" s="4"/>
      <c r="AM334" s="4"/>
      <c r="AN334" s="4"/>
      <c r="AO334" s="4"/>
      <c r="AP334" s="4"/>
      <c r="AQ334" s="4"/>
      <c r="AR334" s="4"/>
      <c r="AS334" s="4"/>
      <c r="AT334" s="4"/>
      <c r="AU334" s="4"/>
      <c r="AV334" s="4"/>
      <c r="AW334" s="4"/>
      <c r="AX334" s="4"/>
      <c r="AY334" s="4"/>
      <c r="AZ334" s="256"/>
      <c r="BA334" s="256"/>
      <c r="BB334" s="4"/>
      <c r="BD334" s="62" t="e">
        <v>#REF!</v>
      </c>
      <c r="BE334" s="178" t="e">
        <f t="shared" si="37"/>
        <v>#REF!</v>
      </c>
    </row>
    <row r="335" spans="2:57" s="178" customFormat="1" ht="6.9" customHeight="1" thickBot="1" x14ac:dyDescent="0.35">
      <c r="B335" s="1026"/>
      <c r="C335" s="1027"/>
      <c r="D335" s="1027"/>
      <c r="E335" s="1027"/>
      <c r="F335" s="1027"/>
      <c r="G335" s="1032"/>
      <c r="H335" s="1032"/>
      <c r="I335" s="1032"/>
      <c r="J335" s="1032"/>
      <c r="K335" s="1032"/>
      <c r="L335" s="1032"/>
      <c r="M335" s="1032"/>
      <c r="N335" s="1032"/>
      <c r="O335" s="1032"/>
      <c r="P335" s="1032"/>
      <c r="Q335" s="1032"/>
      <c r="R335" s="1032"/>
      <c r="S335" s="1032"/>
      <c r="T335" s="1032"/>
      <c r="U335" s="1032"/>
      <c r="V335" s="1032"/>
      <c r="W335" s="1032"/>
      <c r="X335" s="1032"/>
      <c r="Y335" s="1032"/>
      <c r="Z335" s="1032"/>
      <c r="AA335" s="1032"/>
      <c r="AB335" s="1032"/>
      <c r="AC335" s="1033"/>
      <c r="AD335" s="271"/>
      <c r="AE335" s="216"/>
      <c r="AF335" s="106"/>
      <c r="AG335" s="4"/>
      <c r="AH335" s="4">
        <f>IF(AA305=Ceny_n!$B$184,IF(AI296=1,Ceny!$F$935,IF(AI296=2,Ceny!$G$935,0)),0)</f>
        <v>0</v>
      </c>
      <c r="AI335" s="4" t="e">
        <f>IF(AG324=3,AH335,#REF!)</f>
        <v>#REF!</v>
      </c>
      <c r="AJ335" s="4"/>
      <c r="AK335" s="4"/>
      <c r="AL335" s="4"/>
      <c r="AM335" s="4"/>
      <c r="AN335" s="4"/>
      <c r="AO335" s="4"/>
      <c r="AP335" s="4"/>
      <c r="AQ335" s="4"/>
      <c r="AR335" s="4"/>
      <c r="AS335" s="4"/>
      <c r="AT335" s="4"/>
      <c r="AU335" s="4"/>
      <c r="AV335" s="4"/>
      <c r="AW335" s="4"/>
      <c r="AX335" s="4"/>
      <c r="AY335" s="4"/>
      <c r="AZ335" s="256"/>
      <c r="BA335" s="256"/>
      <c r="BD335" s="66" t="e">
        <v>#REF!</v>
      </c>
      <c r="BE335" s="178" t="e">
        <f t="shared" si="37"/>
        <v>#REF!</v>
      </c>
    </row>
    <row r="336" spans="2:57" s="178" customFormat="1" ht="6.9" customHeight="1" x14ac:dyDescent="0.3">
      <c r="B336" s="1026"/>
      <c r="C336" s="1027"/>
      <c r="D336" s="1027"/>
      <c r="E336" s="1027"/>
      <c r="F336" s="1027"/>
      <c r="G336" s="1032"/>
      <c r="H336" s="1032"/>
      <c r="I336" s="1032"/>
      <c r="J336" s="1032"/>
      <c r="K336" s="1032"/>
      <c r="L336" s="1032"/>
      <c r="M336" s="1032"/>
      <c r="N336" s="1032"/>
      <c r="O336" s="1032"/>
      <c r="P336" s="1032"/>
      <c r="Q336" s="1032"/>
      <c r="R336" s="1032"/>
      <c r="S336" s="1032"/>
      <c r="T336" s="1032"/>
      <c r="U336" s="1032"/>
      <c r="V336" s="1032"/>
      <c r="W336" s="1032"/>
      <c r="X336" s="1032"/>
      <c r="Y336" s="1032"/>
      <c r="Z336" s="1032"/>
      <c r="AA336" s="1032"/>
      <c r="AB336" s="1032"/>
      <c r="AC336" s="1033"/>
      <c r="AD336" s="271"/>
      <c r="AE336" s="216"/>
      <c r="AF336" s="106"/>
      <c r="AG336" s="4"/>
      <c r="AH336" s="4">
        <f>IF(AA305=Ceny_n!$B$184,IF(AI296=1,Ceny!$F$936,IF(AI296=2,Ceny!$G$936,0)),0)</f>
        <v>0</v>
      </c>
      <c r="AI336" s="4" t="e">
        <f>IF(AG324=3,AH336,#REF!)</f>
        <v>#REF!</v>
      </c>
      <c r="AJ336" s="4"/>
      <c r="AK336" s="4"/>
      <c r="AL336" s="4"/>
      <c r="AM336" s="4"/>
      <c r="AN336" s="4"/>
      <c r="AO336" s="4"/>
      <c r="AP336" s="4"/>
      <c r="AQ336" s="4"/>
      <c r="AR336" s="4"/>
      <c r="AS336" s="4"/>
      <c r="AT336" s="4"/>
      <c r="AU336" s="4"/>
      <c r="AV336" s="4"/>
      <c r="AW336" s="4"/>
      <c r="AX336" s="4"/>
      <c r="AY336" s="4"/>
      <c r="AZ336" s="256"/>
      <c r="BA336" s="256"/>
    </row>
    <row r="337" spans="2:53" s="178" customFormat="1" ht="6.9" customHeight="1" x14ac:dyDescent="0.3">
      <c r="B337" s="1026"/>
      <c r="C337" s="1027"/>
      <c r="D337" s="1027"/>
      <c r="E337" s="1027"/>
      <c r="F337" s="1027"/>
      <c r="G337" s="1032"/>
      <c r="H337" s="1032"/>
      <c r="I337" s="1032"/>
      <c r="J337" s="1032"/>
      <c r="K337" s="1032"/>
      <c r="L337" s="1032"/>
      <c r="M337" s="1032"/>
      <c r="N337" s="1032"/>
      <c r="O337" s="1032"/>
      <c r="P337" s="1032"/>
      <c r="Q337" s="1032"/>
      <c r="R337" s="1032"/>
      <c r="S337" s="1032"/>
      <c r="T337" s="1032"/>
      <c r="U337" s="1032"/>
      <c r="V337" s="1032"/>
      <c r="W337" s="1032"/>
      <c r="X337" s="1032"/>
      <c r="Y337" s="1032"/>
      <c r="Z337" s="1032"/>
      <c r="AA337" s="1032"/>
      <c r="AB337" s="1032"/>
      <c r="AC337" s="1033"/>
      <c r="AD337" s="271"/>
      <c r="AE337" s="216"/>
      <c r="AF337" s="106"/>
      <c r="AG337" s="4"/>
      <c r="AH337" s="4">
        <f>IF(AA305=Ceny_n!$B$184,IF(AI296=1,Ceny!$F$937,IF(AI296=2,Ceny!$G$937,0)),0)</f>
        <v>0</v>
      </c>
      <c r="AI337" s="4" t="e">
        <f>IF(AG324=3,AH337,#REF!)</f>
        <v>#REF!</v>
      </c>
      <c r="AJ337" s="4"/>
      <c r="AK337" s="4"/>
      <c r="AL337" s="4"/>
      <c r="AM337" s="4"/>
      <c r="AN337" s="4"/>
      <c r="AO337" s="4"/>
      <c r="AP337" s="4"/>
      <c r="AQ337" s="4"/>
      <c r="AR337" s="4"/>
      <c r="AS337" s="4"/>
      <c r="AT337" s="4"/>
      <c r="AU337" s="4"/>
      <c r="AV337" s="4"/>
      <c r="AW337" s="4"/>
      <c r="AX337" s="4"/>
      <c r="AY337" s="4"/>
      <c r="AZ337" s="256"/>
      <c r="BA337" s="256"/>
    </row>
    <row r="338" spans="2:53" s="178" customFormat="1" ht="20.25" customHeight="1" x14ac:dyDescent="0.3">
      <c r="B338" s="1026"/>
      <c r="C338" s="1027"/>
      <c r="D338" s="1027"/>
      <c r="E338" s="1027"/>
      <c r="F338" s="1027"/>
      <c r="G338" s="1032"/>
      <c r="H338" s="1032"/>
      <c r="I338" s="1032"/>
      <c r="J338" s="1032"/>
      <c r="K338" s="1032"/>
      <c r="L338" s="1032"/>
      <c r="M338" s="1032"/>
      <c r="N338" s="1032"/>
      <c r="O338" s="1032"/>
      <c r="P338" s="1032"/>
      <c r="Q338" s="1032"/>
      <c r="R338" s="1032"/>
      <c r="S338" s="1032"/>
      <c r="T338" s="1032"/>
      <c r="U338" s="1032"/>
      <c r="V338" s="1032"/>
      <c r="W338" s="1032"/>
      <c r="X338" s="1032"/>
      <c r="Y338" s="1032"/>
      <c r="Z338" s="1032"/>
      <c r="AA338" s="1032"/>
      <c r="AB338" s="1032"/>
      <c r="AC338" s="1033"/>
      <c r="AD338" s="271"/>
      <c r="AE338" s="216"/>
      <c r="AF338" s="106"/>
      <c r="AG338" s="4"/>
      <c r="AH338" s="4">
        <f>IF(AA305=Ceny_n!$B$184,IF(AI296=1,Ceny!$F$938,IF(AI296=2,Ceny!$G$938,0)),0)</f>
        <v>0</v>
      </c>
      <c r="AI338" s="4" t="e">
        <f>IF(AG324=3,AH338,#REF!)</f>
        <v>#REF!</v>
      </c>
      <c r="AJ338" s="4"/>
      <c r="AK338" s="4"/>
      <c r="AL338" s="4"/>
      <c r="AM338" s="4"/>
      <c r="AN338" s="4"/>
      <c r="AO338" s="4"/>
      <c r="AP338" s="4"/>
      <c r="AQ338" s="4"/>
      <c r="AR338" s="4"/>
      <c r="AS338" s="4"/>
      <c r="AT338" s="4"/>
      <c r="AU338" s="4"/>
      <c r="AV338" s="4"/>
      <c r="AW338" s="4"/>
      <c r="AX338" s="4"/>
      <c r="AY338" s="4"/>
      <c r="AZ338" s="256"/>
      <c r="BA338" s="256"/>
    </row>
    <row r="339" spans="2:53" s="178" customFormat="1" ht="6.9" customHeight="1" x14ac:dyDescent="0.3">
      <c r="B339" s="1026"/>
      <c r="C339" s="1027"/>
      <c r="D339" s="1027"/>
      <c r="E339" s="1027"/>
      <c r="F339" s="1027"/>
      <c r="G339" s="1032"/>
      <c r="H339" s="1032"/>
      <c r="I339" s="1032"/>
      <c r="J339" s="1032"/>
      <c r="K339" s="1032"/>
      <c r="L339" s="1032"/>
      <c r="M339" s="1032"/>
      <c r="N339" s="1032"/>
      <c r="O339" s="1032"/>
      <c r="P339" s="1032"/>
      <c r="Q339" s="1032"/>
      <c r="R339" s="1032"/>
      <c r="S339" s="1032"/>
      <c r="T339" s="1032"/>
      <c r="U339" s="1032"/>
      <c r="V339" s="1032"/>
      <c r="W339" s="1032"/>
      <c r="X339" s="1032"/>
      <c r="Y339" s="1032"/>
      <c r="Z339" s="1032"/>
      <c r="AA339" s="1032"/>
      <c r="AB339" s="1032"/>
      <c r="AC339" s="1033"/>
      <c r="AD339" s="271"/>
      <c r="AE339" s="216"/>
      <c r="AF339" s="106"/>
      <c r="AG339" s="4"/>
      <c r="AH339" s="4">
        <f>IF(AA305=Ceny_n!$B$184,IF(AI296=1,Ceny!$F$939,IF(AI296=2,Ceny!$G$939,0)),0)</f>
        <v>0</v>
      </c>
      <c r="AI339" s="4"/>
      <c r="AJ339" s="4"/>
      <c r="AK339" s="4"/>
      <c r="AL339" s="4"/>
      <c r="AM339" s="4"/>
      <c r="AN339" s="4"/>
      <c r="AO339" s="4"/>
      <c r="AP339" s="4"/>
      <c r="AQ339" s="4"/>
      <c r="AR339" s="4"/>
      <c r="AS339" s="4"/>
      <c r="AT339" s="4"/>
      <c r="AU339" s="4"/>
      <c r="AV339" s="4"/>
      <c r="AW339" s="4"/>
      <c r="AX339" s="4"/>
      <c r="AY339" s="4"/>
      <c r="AZ339" s="256"/>
      <c r="BA339" s="256"/>
    </row>
    <row r="340" spans="2:53" s="178" customFormat="1" ht="6.9" customHeight="1" x14ac:dyDescent="0.3">
      <c r="B340" s="1026"/>
      <c r="C340" s="1027"/>
      <c r="D340" s="1027"/>
      <c r="E340" s="1027"/>
      <c r="F340" s="1027"/>
      <c r="G340" s="1032"/>
      <c r="H340" s="1032"/>
      <c r="I340" s="1032"/>
      <c r="J340" s="1032"/>
      <c r="K340" s="1032"/>
      <c r="L340" s="1032"/>
      <c r="M340" s="1032"/>
      <c r="N340" s="1032"/>
      <c r="O340" s="1032"/>
      <c r="P340" s="1032"/>
      <c r="Q340" s="1032"/>
      <c r="R340" s="1032"/>
      <c r="S340" s="1032"/>
      <c r="T340" s="1032"/>
      <c r="U340" s="1032"/>
      <c r="V340" s="1032"/>
      <c r="W340" s="1032"/>
      <c r="X340" s="1032"/>
      <c r="Y340" s="1032"/>
      <c r="Z340" s="1032"/>
      <c r="AA340" s="1032"/>
      <c r="AB340" s="1032"/>
      <c r="AC340" s="1033"/>
      <c r="AD340" s="271"/>
      <c r="AE340" s="216"/>
      <c r="AF340" s="106"/>
      <c r="AG340" s="4"/>
      <c r="AH340" s="4">
        <f>IF(AA305=Ceny_n!$B$184,IF(AI296=1,Ceny!$F$940,IF(AI296=2,Ceny!$G$940,0)),0)</f>
        <v>0</v>
      </c>
      <c r="AI340" s="4"/>
      <c r="AJ340" s="4"/>
      <c r="AK340" s="4"/>
      <c r="AL340" s="4"/>
      <c r="AM340" s="4"/>
      <c r="AN340" s="4"/>
      <c r="AO340" s="4"/>
      <c r="AP340" s="4"/>
      <c r="AQ340" s="4"/>
      <c r="AR340" s="4"/>
      <c r="AS340" s="4"/>
      <c r="AT340" s="4"/>
      <c r="AU340" s="4"/>
      <c r="AV340" s="4"/>
      <c r="AW340" s="4"/>
      <c r="AX340" s="4"/>
      <c r="AY340" s="4"/>
      <c r="AZ340" s="256"/>
      <c r="BA340" s="256"/>
    </row>
    <row r="341" spans="2:53" s="178" customFormat="1" ht="6.9" customHeight="1" x14ac:dyDescent="0.3">
      <c r="B341" s="1026"/>
      <c r="C341" s="1027"/>
      <c r="D341" s="1027"/>
      <c r="E341" s="1027"/>
      <c r="F341" s="1027"/>
      <c r="G341" s="1032"/>
      <c r="H341" s="1032"/>
      <c r="I341" s="1032"/>
      <c r="J341" s="1032"/>
      <c r="K341" s="1032"/>
      <c r="L341" s="1032"/>
      <c r="M341" s="1032"/>
      <c r="N341" s="1032"/>
      <c r="O341" s="1032"/>
      <c r="P341" s="1032"/>
      <c r="Q341" s="1032"/>
      <c r="R341" s="1032"/>
      <c r="S341" s="1032"/>
      <c r="T341" s="1032"/>
      <c r="U341" s="1032"/>
      <c r="V341" s="1032"/>
      <c r="W341" s="1032"/>
      <c r="X341" s="1032"/>
      <c r="Y341" s="1032"/>
      <c r="Z341" s="1032"/>
      <c r="AA341" s="1032"/>
      <c r="AB341" s="1032"/>
      <c r="AC341" s="1033"/>
      <c r="AD341" s="271"/>
      <c r="AE341" s="216"/>
      <c r="AF341" s="106"/>
      <c r="AG341" s="4"/>
      <c r="AH341" s="4">
        <f>IF(AA305=Ceny_n!$B$184,IF(AI296=1,Ceny!$F$941,IF(AI296=2,Ceny!$G$941,0)),0)</f>
        <v>0</v>
      </c>
      <c r="AI341" s="4"/>
      <c r="AJ341" s="4"/>
      <c r="AK341" s="4"/>
      <c r="AL341" s="4"/>
      <c r="AM341" s="4"/>
      <c r="AN341" s="4"/>
      <c r="AO341" s="4"/>
      <c r="AP341" s="4"/>
      <c r="AQ341" s="4"/>
      <c r="AR341" s="4"/>
      <c r="AS341" s="4"/>
      <c r="AT341" s="4"/>
      <c r="AU341" s="4"/>
      <c r="AV341" s="4"/>
      <c r="AW341" s="4"/>
      <c r="AX341" s="4"/>
      <c r="AY341" s="4"/>
      <c r="AZ341" s="256"/>
      <c r="BA341" s="256"/>
    </row>
    <row r="342" spans="2:53" s="178" customFormat="1" ht="18" x14ac:dyDescent="0.3">
      <c r="B342" s="1028"/>
      <c r="C342" s="1029"/>
      <c r="D342" s="1029"/>
      <c r="E342" s="1029"/>
      <c r="F342" s="1029"/>
      <c r="G342" s="1034"/>
      <c r="H342" s="1034"/>
      <c r="I342" s="1034"/>
      <c r="J342" s="1034"/>
      <c r="K342" s="1034"/>
      <c r="L342" s="1034"/>
      <c r="M342" s="1034"/>
      <c r="N342" s="1034"/>
      <c r="O342" s="1034"/>
      <c r="P342" s="1034"/>
      <c r="Q342" s="1034"/>
      <c r="R342" s="1034"/>
      <c r="S342" s="1034"/>
      <c r="T342" s="1034"/>
      <c r="U342" s="1034"/>
      <c r="V342" s="1034"/>
      <c r="W342" s="1034"/>
      <c r="X342" s="1034"/>
      <c r="Y342" s="1034"/>
      <c r="Z342" s="1034"/>
      <c r="AA342" s="1034"/>
      <c r="AB342" s="1034"/>
      <c r="AC342" s="1035"/>
      <c r="AD342" s="271"/>
      <c r="AE342" s="216"/>
      <c r="AF342" s="106"/>
      <c r="AG342" s="4"/>
      <c r="AH342" s="4">
        <f>IF(AA305=Ceny_n!$B$184,IF(AI296=1,Ceny!$F$942,IF(AI296=2,Ceny!$G$942,0)),0)</f>
        <v>0</v>
      </c>
      <c r="AI342" s="4"/>
      <c r="AJ342" s="4"/>
      <c r="AK342" s="4"/>
      <c r="AL342" s="4"/>
      <c r="AM342" s="4"/>
      <c r="AN342" s="4"/>
      <c r="AO342" s="4"/>
      <c r="AP342" s="4"/>
      <c r="AQ342" s="4"/>
      <c r="AR342" s="4"/>
      <c r="AS342" s="4"/>
      <c r="AT342" s="4"/>
      <c r="AU342" s="4"/>
      <c r="AV342" s="4"/>
      <c r="AW342" s="4"/>
      <c r="AX342" s="4"/>
      <c r="AY342" s="4"/>
      <c r="AZ342" s="256"/>
      <c r="BA342" s="256"/>
    </row>
    <row r="343" spans="2:53" x14ac:dyDescent="0.3">
      <c r="AZ343" s="256"/>
      <c r="BA343" s="256"/>
    </row>
    <row r="346" spans="2:53" x14ac:dyDescent="0.3">
      <c r="B346" s="4" t="s">
        <v>38</v>
      </c>
      <c r="C346" s="4" t="s">
        <v>39</v>
      </c>
      <c r="D346" s="52" t="s">
        <v>40</v>
      </c>
      <c r="F346" s="52" t="s">
        <v>100</v>
      </c>
      <c r="G346" s="52" t="s">
        <v>101</v>
      </c>
      <c r="H346" s="52" t="s">
        <v>102</v>
      </c>
      <c r="J346" s="52" t="s">
        <v>96</v>
      </c>
    </row>
    <row r="347" spans="2:53" x14ac:dyDescent="0.3">
      <c r="B347" s="4" t="str">
        <f>Ceny_n!$B$199</f>
        <v>Vyberte ze seznamu</v>
      </c>
      <c r="J347" s="52" t="str">
        <f>Ceny_n!$B$199</f>
        <v>Vyberte ze seznamu</v>
      </c>
      <c r="Z347" s="52"/>
      <c r="AZ347" s="256"/>
      <c r="BA347" s="256"/>
    </row>
    <row r="348" spans="2:53" x14ac:dyDescent="0.3">
      <c r="B348" s="4" t="str">
        <f>Ceny_n!B6</f>
        <v>BRW (elox.)</v>
      </c>
      <c r="C348" s="4">
        <f>VLOOKUP(B:B,Ceny!$B:$D,2,FALSE)</f>
        <v>212.18</v>
      </c>
      <c r="D348" s="52">
        <f>VLOOKUP(B:B,Ceny!$B:$D,3,FALSE)</f>
        <v>92.7</v>
      </c>
      <c r="E348" s="178">
        <f>VLOOKUP(B348,Ceny!$B$6:$Q$47,16,0)</f>
        <v>1</v>
      </c>
      <c r="F348" s="52">
        <f>Ceny_n!$C$124</f>
        <v>30</v>
      </c>
      <c r="G348" s="52">
        <f>Ceny_n!$C$124</f>
        <v>30</v>
      </c>
      <c r="H348" s="52">
        <f>Ceny_n!$C$124</f>
        <v>30</v>
      </c>
      <c r="J348" s="52" t="str">
        <f>Ceny_n!$B$141</f>
        <v>Závěsy</v>
      </c>
      <c r="Z348" s="52"/>
      <c r="AZ348" s="256"/>
      <c r="BA348" s="256"/>
    </row>
    <row r="349" spans="2:53" s="178" customFormat="1" x14ac:dyDescent="0.3">
      <c r="B349" s="4" t="str">
        <f>Ceny_n!B7</f>
        <v>BRW antracit</v>
      </c>
      <c r="C349" s="4">
        <f>VLOOKUP(B:B,Ceny!$B:$D,2,FALSE)</f>
        <v>424.36</v>
      </c>
      <c r="D349" s="178">
        <f>VLOOKUP(B:B,Ceny!$B:$D,3,FALSE)</f>
        <v>112.27</v>
      </c>
      <c r="E349" s="178">
        <f>VLOOKUP(B349,Ceny!$B$6:$Q$47,16,0)</f>
        <v>1</v>
      </c>
      <c r="F349" s="178">
        <f>Ceny_n!$C$124</f>
        <v>30</v>
      </c>
      <c r="G349" s="178">
        <f>Ceny_n!$C$124</f>
        <v>30</v>
      </c>
      <c r="H349" s="178">
        <f>Ceny_n!$C$124</f>
        <v>30</v>
      </c>
      <c r="AA349" s="4"/>
      <c r="AB349" s="4"/>
      <c r="AC349" s="4"/>
      <c r="AD349" s="257"/>
      <c r="AE349" s="199"/>
      <c r="AF349" s="106"/>
      <c r="AG349" s="4"/>
      <c r="AH349" s="4"/>
      <c r="AI349" s="4"/>
      <c r="AJ349" s="4"/>
      <c r="AK349" s="4"/>
      <c r="AL349" s="4"/>
      <c r="AM349" s="4"/>
      <c r="AN349" s="4"/>
      <c r="AO349" s="4"/>
      <c r="AP349" s="4"/>
      <c r="AQ349" s="4"/>
      <c r="AR349" s="4"/>
      <c r="AS349" s="4"/>
      <c r="AT349" s="4"/>
      <c r="AU349" s="4"/>
      <c r="AV349" s="4"/>
      <c r="AW349" s="4"/>
      <c r="AX349" s="4"/>
      <c r="AY349" s="4"/>
      <c r="AZ349" s="256"/>
      <c r="BA349" s="256"/>
    </row>
    <row r="350" spans="2:53" x14ac:dyDescent="0.3">
      <c r="B350" s="4" t="str">
        <f>Ceny_n!B8</f>
        <v>BRW bílá mat</v>
      </c>
      <c r="C350" s="4">
        <f>VLOOKUP(B:B,Ceny!$B:$D,2,FALSE)</f>
        <v>424.36</v>
      </c>
      <c r="D350" s="178">
        <f>VLOOKUP(B:B,Ceny!$B:$D,3,FALSE)</f>
        <v>112.27</v>
      </c>
      <c r="E350" s="178">
        <f>VLOOKUP(B350,Ceny!$B$6:$Q$47,16,0)</f>
        <v>1</v>
      </c>
      <c r="F350" s="178">
        <f>Ceny_n!$C$124</f>
        <v>30</v>
      </c>
      <c r="G350" s="178">
        <f>Ceny_n!$C$124</f>
        <v>30</v>
      </c>
      <c r="H350" s="178">
        <f>Ceny_n!$C$124</f>
        <v>30</v>
      </c>
      <c r="J350" s="1" t="str">
        <f>Ceny_n!$B$216</f>
        <v>AVENTOS HF</v>
      </c>
      <c r="Z350" s="52"/>
      <c r="AZ350" s="256"/>
      <c r="BA350" s="256"/>
    </row>
    <row r="351" spans="2:53" x14ac:dyDescent="0.3">
      <c r="B351" s="4" t="str">
        <f>Ceny_n!B9</f>
        <v>BRW bílá lesk</v>
      </c>
      <c r="C351" s="4">
        <f>VLOOKUP(B:B,Ceny!$B:$D,2,FALSE)</f>
        <v>424.36</v>
      </c>
      <c r="D351" s="178">
        <f>VLOOKUP(B:B,Ceny!$B:$D,3,FALSE)</f>
        <v>112.27</v>
      </c>
      <c r="E351" s="178">
        <f>VLOOKUP(B351,Ceny!$B$6:$Q$47,16,0)</f>
        <v>1</v>
      </c>
      <c r="F351" s="178">
        <f>Ceny_n!$C$124</f>
        <v>30</v>
      </c>
      <c r="G351" s="178">
        <f>Ceny_n!$C$124</f>
        <v>30</v>
      </c>
      <c r="H351" s="178">
        <f>Ceny_n!$C$124</f>
        <v>30</v>
      </c>
      <c r="J351" s="1" t="str">
        <f>Ceny_n!$B$244</f>
        <v>AVENTOS HF Servo Drive</v>
      </c>
      <c r="Z351" s="52"/>
      <c r="AZ351" s="256"/>
      <c r="BA351" s="256"/>
    </row>
    <row r="352" spans="2:53" x14ac:dyDescent="0.3">
      <c r="B352" s="4" t="str">
        <f>Ceny_n!B10</f>
        <v>BRW hnědá</v>
      </c>
      <c r="C352" s="4">
        <f>VLOOKUP(B:B,Ceny!$B:$D,2,FALSE)</f>
        <v>340.93</v>
      </c>
      <c r="D352" s="178">
        <f>VLOOKUP(B:B,Ceny!$B:$D,3,FALSE)</f>
        <v>112.27</v>
      </c>
      <c r="E352" s="178">
        <f>VLOOKUP(B352,Ceny!$B$6:$Q$47,16,0)</f>
        <v>1</v>
      </c>
      <c r="F352" s="178">
        <f>Ceny_n!$C$124</f>
        <v>30</v>
      </c>
      <c r="G352" s="178">
        <f>Ceny_n!$C$124</f>
        <v>30</v>
      </c>
      <c r="H352" s="178">
        <f>Ceny_n!$C$124</f>
        <v>30</v>
      </c>
      <c r="J352" s="52" t="str">
        <f>Ceny_n!$B$142</f>
        <v>Aventos ostatní</v>
      </c>
      <c r="Z352" s="52"/>
      <c r="AZ352" s="256"/>
      <c r="BA352" s="256"/>
    </row>
    <row r="353" spans="2:53" x14ac:dyDescent="0.3">
      <c r="B353" s="4" t="str">
        <f>Ceny_n!B11</f>
        <v>BRW broušené</v>
      </c>
      <c r="C353" s="4">
        <f>VLOOKUP(B:B,Ceny!$B:$D,2,FALSE)</f>
        <v>391.40000000000003</v>
      </c>
      <c r="D353" s="178">
        <f>VLOOKUP(B:B,Ceny!$B:$D,3,FALSE)</f>
        <v>112.27</v>
      </c>
      <c r="E353" s="178">
        <f>VLOOKUP(B353,Ceny!$B$6:$Q$47,16,0)</f>
        <v>1</v>
      </c>
      <c r="F353" s="178">
        <f>Ceny_n!$C$124</f>
        <v>30</v>
      </c>
      <c r="G353" s="178">
        <f>Ceny_n!$C$124</f>
        <v>30</v>
      </c>
      <c r="H353" s="178">
        <f>Ceny_n!$C$124</f>
        <v>30</v>
      </c>
      <c r="J353" s="52" t="str">
        <f>Ceny_n!B144</f>
        <v>Závěsy se zvedacím pístem</v>
      </c>
      <c r="Z353" s="52"/>
      <c r="AZ353" s="256"/>
      <c r="BA353" s="256"/>
    </row>
    <row r="354" spans="2:53" x14ac:dyDescent="0.3">
      <c r="B354" s="4" t="str">
        <f>Ceny_n!B12</f>
        <v>BRW černá mat</v>
      </c>
      <c r="C354" s="4">
        <f>VLOOKUP(B:B,Ceny!$B:$D,2,FALSE)</f>
        <v>340.93</v>
      </c>
      <c r="D354" s="178">
        <f>VLOOKUP(B:B,Ceny!$B:$D,3,FALSE)</f>
        <v>112.27</v>
      </c>
      <c r="E354" s="178">
        <f>VLOOKUP(B354,Ceny!$B$6:$Q$47,16,0)</f>
        <v>1</v>
      </c>
      <c r="F354" s="178">
        <f>Ceny_n!$C$124</f>
        <v>30</v>
      </c>
      <c r="G354" s="178">
        <f>Ceny_n!$C$124</f>
        <v>30</v>
      </c>
      <c r="H354" s="178">
        <f>Ceny_n!$C$124</f>
        <v>30</v>
      </c>
      <c r="Z354" s="52"/>
      <c r="AZ354" s="256"/>
      <c r="BA354" s="256"/>
    </row>
    <row r="355" spans="2:53" x14ac:dyDescent="0.3">
      <c r="B355" s="4" t="str">
        <f>Ceny_n!B13</f>
        <v>BRW černá lesk</v>
      </c>
      <c r="C355" s="4">
        <f>VLOOKUP(B:B,Ceny!$B:$D,2,FALSE)</f>
        <v>496.46000000000004</v>
      </c>
      <c r="D355" s="178">
        <f>VLOOKUP(B:B,Ceny!$B:$D,3,FALSE)</f>
        <v>112.27</v>
      </c>
      <c r="E355" s="178">
        <f>VLOOKUP(B355,Ceny!$B$6:$Q$47,16,0)</f>
        <v>1</v>
      </c>
      <c r="F355" s="178">
        <f>Ceny_n!$C$124</f>
        <v>30</v>
      </c>
      <c r="G355" s="178">
        <f>Ceny_n!$C$124</f>
        <v>30</v>
      </c>
      <c r="H355" s="178">
        <f>Ceny_n!$C$124</f>
        <v>30</v>
      </c>
      <c r="J355" s="178" t="str">
        <f>Ceny_n!B145</f>
        <v>Horní dvířko</v>
      </c>
      <c r="K355" s="178"/>
      <c r="Z355" s="52"/>
      <c r="AZ355" s="256"/>
      <c r="BA355" s="256"/>
    </row>
    <row r="356" spans="2:53" x14ac:dyDescent="0.3">
      <c r="B356" s="4" t="str">
        <f>Ceny_n!B14</f>
        <v>BRW černá broušená</v>
      </c>
      <c r="C356" s="4">
        <f>VLOOKUP(B:B,Ceny!$B:$D,2,FALSE)</f>
        <v>355.35</v>
      </c>
      <c r="D356" s="178">
        <f>VLOOKUP(B:B,Ceny!$B:$D,3,FALSE)</f>
        <v>112.27</v>
      </c>
      <c r="E356" s="178">
        <f>VLOOKUP(B356,Ceny!$B$6:$Q$47,16,0)</f>
        <v>1</v>
      </c>
      <c r="F356" s="178">
        <f>Ceny_n!$C$124</f>
        <v>30</v>
      </c>
      <c r="G356" s="178">
        <f>Ceny_n!$C$124</f>
        <v>30</v>
      </c>
      <c r="H356" s="178">
        <f>Ceny_n!$C$124</f>
        <v>30</v>
      </c>
      <c r="J356" s="178" t="str">
        <f>Ceny_n!B146</f>
        <v>Spodní dvířko</v>
      </c>
      <c r="K356" s="178"/>
      <c r="Z356" s="52"/>
      <c r="AZ356" s="256"/>
      <c r="BA356" s="256"/>
    </row>
    <row r="357" spans="2:53" x14ac:dyDescent="0.3">
      <c r="B357" s="4" t="str">
        <f>Ceny_n!B15</f>
        <v>BRW světlá nerez (ACIER GRATA)</v>
      </c>
      <c r="C357" s="4">
        <f>VLOOKUP(B:B,Ceny!$B:$D,2,FALSE)</f>
        <v>352.26</v>
      </c>
      <c r="D357" s="178">
        <f>VLOOKUP(B:B,Ceny!$B:$D,3,FALSE)</f>
        <v>112.27</v>
      </c>
      <c r="E357" s="178">
        <f>VLOOKUP(B357,Ceny!$B$6:$Q$47,16,0)</f>
        <v>1</v>
      </c>
      <c r="F357" s="178">
        <f>Ceny_n!$C$124</f>
        <v>30</v>
      </c>
      <c r="G357" s="178">
        <f>Ceny_n!$C$124</f>
        <v>30</v>
      </c>
      <c r="H357" s="178">
        <f>Ceny_n!$C$124</f>
        <v>30</v>
      </c>
      <c r="J357" s="178" t="str">
        <f>Ceny_n!B217</f>
        <v>AVENTOS HK TOP</v>
      </c>
      <c r="K357" s="178"/>
      <c r="Z357" s="52"/>
      <c r="AZ357" s="256"/>
      <c r="BA357" s="256"/>
    </row>
    <row r="358" spans="2:53" x14ac:dyDescent="0.3">
      <c r="B358" s="4" t="str">
        <f>Ceny_n!B16</f>
        <v>BRW champagne</v>
      </c>
      <c r="C358" s="4">
        <f>VLOOKUP(B:B,Ceny!$B:$D,2,FALSE)</f>
        <v>340.93</v>
      </c>
      <c r="D358" s="178">
        <f>VLOOKUP(B:B,Ceny!$B:$D,3,FALSE)</f>
        <v>112.27</v>
      </c>
      <c r="E358" s="178">
        <f>VLOOKUP(B358,Ceny!$B$6:$Q$47,16,0)</f>
        <v>1</v>
      </c>
      <c r="F358" s="178">
        <f>Ceny_n!$C$124</f>
        <v>30</v>
      </c>
      <c r="G358" s="178">
        <f>Ceny_n!$C$124</f>
        <v>30</v>
      </c>
      <c r="H358" s="178">
        <f>Ceny_n!$C$124</f>
        <v>30</v>
      </c>
      <c r="J358" s="178" t="str">
        <f>Ceny_n!B218</f>
        <v>AVENTOS HKS</v>
      </c>
      <c r="K358" s="178"/>
      <c r="Z358" s="52"/>
      <c r="AZ358" s="256"/>
      <c r="BA358" s="256"/>
    </row>
    <row r="359" spans="2:53" x14ac:dyDescent="0.3">
      <c r="B359" s="4" t="str">
        <f>Ceny_n!B17</f>
        <v>BRW tmavá nerez br. (Inox lija)</v>
      </c>
      <c r="C359" s="4">
        <f>VLOOKUP(B:B,Ceny!$B:$D,2,FALSE)</f>
        <v>352.26</v>
      </c>
      <c r="D359" s="178">
        <f>VLOOKUP(B:B,Ceny!$B:$D,3,FALSE)</f>
        <v>112.27</v>
      </c>
      <c r="E359" s="178">
        <f>VLOOKUP(B359,Ceny!$B$6:$Q$47,16,0)</f>
        <v>1</v>
      </c>
      <c r="F359" s="178">
        <f>Ceny_n!$C$124</f>
        <v>30</v>
      </c>
      <c r="G359" s="178">
        <f>Ceny_n!$C$124</f>
        <v>30</v>
      </c>
      <c r="H359" s="178">
        <f>Ceny_n!$C$124</f>
        <v>30</v>
      </c>
      <c r="J359" s="178" t="str">
        <f>Ceny_n!B219</f>
        <v>AVENTOS HL</v>
      </c>
      <c r="K359" s="178"/>
      <c r="Z359" s="52"/>
      <c r="AZ359" s="256"/>
      <c r="BA359" s="256"/>
    </row>
    <row r="360" spans="2:53" x14ac:dyDescent="0.3">
      <c r="B360" s="4" t="str">
        <f>Ceny_n!B18</f>
        <v>Corleone (elox.)</v>
      </c>
      <c r="C360" s="4">
        <f>VLOOKUP(B:B,Ceny!$B:$D,2,FALSE)</f>
        <v>391.40000000000003</v>
      </c>
      <c r="D360" s="178">
        <f>VLOOKUP(B:B,Ceny!$B:$D,3,FALSE)</f>
        <v>161.71</v>
      </c>
      <c r="E360" s="178">
        <f>VLOOKUP(B360,Ceny!$B$6:$Q$47,16,0)</f>
        <v>2</v>
      </c>
      <c r="F360" s="178">
        <f>Ceny_n!$C$124</f>
        <v>30</v>
      </c>
      <c r="G360" s="178">
        <f>Ceny_n!$C$124</f>
        <v>30</v>
      </c>
      <c r="H360" s="178">
        <f>Ceny_n!$C$124</f>
        <v>30</v>
      </c>
      <c r="J360" s="178" t="str">
        <f>Ceny_n!B220</f>
        <v>AVENTOS HS</v>
      </c>
      <c r="K360" s="178"/>
      <c r="Z360" s="52"/>
      <c r="AZ360" s="256"/>
      <c r="BA360" s="256"/>
    </row>
    <row r="361" spans="2:53" x14ac:dyDescent="0.3">
      <c r="B361" s="4" t="str">
        <f>Ceny_n!B19</f>
        <v>Corleone černé mat</v>
      </c>
      <c r="C361" s="4">
        <f>VLOOKUP(B:B,Ceny!$B:$D,2,FALSE)</f>
        <v>504.7</v>
      </c>
      <c r="D361" s="178">
        <f>VLOOKUP(B:B,Ceny!$B:$D,3,FALSE)</f>
        <v>161.71</v>
      </c>
      <c r="E361" s="178">
        <f>VLOOKUP(B361,Ceny!$B$6:$Q$47,16,0)</f>
        <v>2</v>
      </c>
      <c r="F361" s="178">
        <f>Ceny_n!$C$124</f>
        <v>30</v>
      </c>
      <c r="G361" s="178">
        <f>Ceny_n!$C$124</f>
        <v>30</v>
      </c>
      <c r="H361" s="178">
        <f>Ceny_n!$C$124</f>
        <v>30</v>
      </c>
      <c r="J361" s="178" t="str">
        <f>Ceny_n!B221</f>
        <v>AVENTOS HK-XS</v>
      </c>
      <c r="K361" s="178"/>
      <c r="Z361" s="52"/>
      <c r="AZ361" s="256"/>
      <c r="BA361" s="256"/>
    </row>
    <row r="362" spans="2:53" x14ac:dyDescent="0.3">
      <c r="B362" s="4" t="str">
        <f>Ceny_n!B20</f>
        <v>Corleone champagne</v>
      </c>
      <c r="C362" s="4">
        <f>VLOOKUP(B:B,Ceny!$B:$D,2,FALSE)</f>
        <v>504.7</v>
      </c>
      <c r="D362" s="178">
        <f>VLOOKUP(B:B,Ceny!$B:$D,3,FALSE)</f>
        <v>161.71</v>
      </c>
      <c r="E362" s="178">
        <f>VLOOKUP(B362,Ceny!$B$6:$Q$47,16,0)</f>
        <v>2</v>
      </c>
      <c r="F362" s="178">
        <f>Ceny_n!$C$124</f>
        <v>30</v>
      </c>
      <c r="G362" s="178">
        <f>Ceny_n!$C$124</f>
        <v>30</v>
      </c>
      <c r="H362" s="178">
        <f>Ceny_n!$C$124</f>
        <v>30</v>
      </c>
      <c r="J362" s="178"/>
      <c r="K362" s="178"/>
      <c r="Z362" s="52"/>
      <c r="AZ362" s="256"/>
      <c r="BA362" s="256"/>
    </row>
    <row r="363" spans="2:53" x14ac:dyDescent="0.3">
      <c r="B363" s="4" t="str">
        <f>Ceny_n!B21</f>
        <v>Imola (elox.)</v>
      </c>
      <c r="C363" s="4">
        <f>VLOOKUP(B:B,Ceny!$B:$D,2,FALSE)</f>
        <v>385.22</v>
      </c>
      <c r="D363" s="178">
        <f>VLOOKUP(B:B,Ceny!$B:$D,3,FALSE)</f>
        <v>156.56</v>
      </c>
      <c r="E363" s="178">
        <f>VLOOKUP(B363,Ceny!$B$6:$Q$47,16,0)</f>
        <v>2</v>
      </c>
      <c r="F363" s="178">
        <f>Ceny_n!$C$124</f>
        <v>30</v>
      </c>
      <c r="G363" s="178">
        <f>Ceny_n!$C$124</f>
        <v>30</v>
      </c>
      <c r="H363" s="178">
        <f>Ceny_n!$C$124</f>
        <v>30</v>
      </c>
      <c r="J363" s="178" t="str">
        <f>Ceny_n!B224</f>
        <v>BLUM</v>
      </c>
      <c r="K363" s="178"/>
      <c r="Z363" s="52"/>
      <c r="AZ363" s="256"/>
      <c r="BA363" s="256"/>
    </row>
    <row r="364" spans="2:53" x14ac:dyDescent="0.3">
      <c r="B364" s="4" t="str">
        <f>Ceny_n!B22</f>
        <v>Imola černá mat</v>
      </c>
      <c r="C364" s="4">
        <f>VLOOKUP(B:B,Ceny!$B:$D,2,FALSE)</f>
        <v>504.7</v>
      </c>
      <c r="D364" s="178">
        <f>VLOOKUP(B:B,Ceny!$B:$D,3,FALSE)</f>
        <v>161.71</v>
      </c>
      <c r="E364" s="178">
        <f>VLOOKUP(B364,Ceny!$B$6:$Q$47,16,0)</f>
        <v>2</v>
      </c>
      <c r="F364" s="178">
        <f>Ceny_n!$C$124</f>
        <v>30</v>
      </c>
      <c r="G364" s="178">
        <f>Ceny_n!$C$124</f>
        <v>30</v>
      </c>
      <c r="H364" s="178">
        <f>Ceny_n!$C$124</f>
        <v>30</v>
      </c>
      <c r="J364" s="178" t="str">
        <f>Ceny_n!$B$143</f>
        <v>STRONG s tlumením</v>
      </c>
      <c r="K364" s="178"/>
      <c r="Z364" s="52"/>
      <c r="AZ364" s="256"/>
      <c r="BA364" s="256"/>
    </row>
    <row r="365" spans="2:53" x14ac:dyDescent="0.3">
      <c r="B365" s="4" t="str">
        <f>Ceny_n!B23</f>
        <v>Imola bílá mat</v>
      </c>
      <c r="C365" s="4">
        <f>VLOOKUP(B:B,Ceny!$B:$D,2,FALSE)</f>
        <v>780.74</v>
      </c>
      <c r="D365" s="178">
        <f>VLOOKUP(B:B,Ceny!$B:$D,3,FALSE)</f>
        <v>161.71</v>
      </c>
      <c r="E365" s="178">
        <f>VLOOKUP(B365,Ceny!$B$6:$Q$47,16,0)</f>
        <v>2</v>
      </c>
      <c r="F365" s="178">
        <f>Ceny_n!$C$124</f>
        <v>30</v>
      </c>
      <c r="G365" s="178">
        <f>Ceny_n!$C$124</f>
        <v>30</v>
      </c>
      <c r="H365" s="178">
        <f>Ceny_n!$C$124</f>
        <v>30</v>
      </c>
      <c r="J365" s="178" t="str">
        <f>Ceny_n!$B$225</f>
        <v>STRONG bez tlumení</v>
      </c>
      <c r="K365" s="178"/>
      <c r="Z365" s="52"/>
      <c r="AZ365" s="256"/>
      <c r="BA365" s="256"/>
    </row>
    <row r="366" spans="2:53" x14ac:dyDescent="0.3">
      <c r="B366" s="4" t="str">
        <f>Ceny_n!B24</f>
        <v>Modena (elox.)</v>
      </c>
      <c r="C366" s="4">
        <f>VLOOKUP(B:B,Ceny!$B:$D,2,FALSE)</f>
        <v>346.08</v>
      </c>
      <c r="D366" s="178">
        <f>VLOOKUP(B:B,Ceny!$B:$D,3,FALSE)</f>
        <v>150.38</v>
      </c>
      <c r="E366" s="178">
        <f>VLOOKUP(B366,Ceny!$B$6:$Q$47,16,0)</f>
        <v>2</v>
      </c>
      <c r="F366" s="178">
        <f>Ceny_n!$C$124</f>
        <v>30</v>
      </c>
      <c r="G366" s="178">
        <f>Ceny_n!$C$124</f>
        <v>30</v>
      </c>
      <c r="H366" s="178">
        <f>Ceny_n!$C$124</f>
        <v>30</v>
      </c>
      <c r="J366" s="178" t="str">
        <f>Ceny_n!$B$226</f>
        <v>HETTICH</v>
      </c>
      <c r="K366" s="178"/>
      <c r="Z366" s="52"/>
      <c r="AZ366" s="256"/>
      <c r="BA366" s="256"/>
    </row>
    <row r="367" spans="2:53" x14ac:dyDescent="0.3">
      <c r="B367" s="4" t="str">
        <f>Ceny_n!B25</f>
        <v>Modena černá mat</v>
      </c>
      <c r="C367" s="4">
        <f>VLOOKUP(B:B,Ceny!$B:$D,2,FALSE)</f>
        <v>402.73</v>
      </c>
      <c r="D367" s="178">
        <f>VLOOKUP(B:B,Ceny!$B:$D,3,FALSE)</f>
        <v>150.38</v>
      </c>
      <c r="E367" s="178">
        <f>VLOOKUP(B367,Ceny!$B$6:$Q$47,16,0)</f>
        <v>2</v>
      </c>
      <c r="F367" s="178">
        <f>Ceny_n!$C$124</f>
        <v>30</v>
      </c>
      <c r="G367" s="178">
        <f>Ceny_n!$C$124</f>
        <v>30</v>
      </c>
      <c r="H367" s="178">
        <f>Ceny_n!$C$124</f>
        <v>30</v>
      </c>
      <c r="J367" s="178" t="str">
        <f>Ceny_n!B484</f>
        <v>STRONG Plus</v>
      </c>
      <c r="K367" s="178"/>
      <c r="Z367" s="52"/>
      <c r="AZ367" s="256"/>
      <c r="BA367" s="256"/>
    </row>
    <row r="368" spans="2:53" x14ac:dyDescent="0.3">
      <c r="B368" s="4" t="str">
        <f>Ceny_n!B26</f>
        <v>Modena černá lesk</v>
      </c>
      <c r="C368" s="4">
        <f>VLOOKUP(B:B,Ceny!$B:$D,2,FALSE)</f>
        <v>709.67000000000007</v>
      </c>
      <c r="D368" s="178">
        <f>VLOOKUP(B:B,Ceny!$B:$D,3,FALSE)</f>
        <v>161.71</v>
      </c>
      <c r="E368" s="178">
        <f>VLOOKUP(B368,Ceny!$B$6:$Q$47,16,0)</f>
        <v>2</v>
      </c>
      <c r="F368" s="178">
        <f>Ceny_n!$C$124</f>
        <v>30</v>
      </c>
      <c r="G368" s="178">
        <f>Ceny_n!$C$124</f>
        <v>30</v>
      </c>
      <c r="H368" s="178">
        <f>Ceny_n!$C$124</f>
        <v>30</v>
      </c>
      <c r="J368" s="178" t="str">
        <f>Ceny_n!B186</f>
        <v>Umístění pístů</v>
      </c>
      <c r="K368" s="178"/>
      <c r="Z368" s="52"/>
      <c r="AZ368" s="256"/>
      <c r="BA368" s="256"/>
    </row>
    <row r="369" spans="2:54" x14ac:dyDescent="0.3">
      <c r="B369" s="4" t="str">
        <f>Ceny_n!B27</f>
        <v>Modena černá broušená</v>
      </c>
      <c r="C369" s="4">
        <f>VLOOKUP(B:B,Ceny!$B:$D,2,FALSE)</f>
        <v>504.7</v>
      </c>
      <c r="D369" s="178">
        <f>VLOOKUP(B:B,Ceny!$B:$D,3,FALSE)</f>
        <v>150.38</v>
      </c>
      <c r="E369" s="178">
        <f>VLOOKUP(B369,Ceny!$B$6:$Q$47,16,0)</f>
        <v>2</v>
      </c>
      <c r="F369" s="178">
        <f>Ceny_n!$C$124</f>
        <v>30</v>
      </c>
      <c r="G369" s="178">
        <f>Ceny_n!$C$124</f>
        <v>30</v>
      </c>
      <c r="H369" s="178">
        <f>Ceny_n!$C$124</f>
        <v>30</v>
      </c>
      <c r="J369" s="178" t="str">
        <f>Ceny_n!$B$187</f>
        <v xml:space="preserve">Vpravo </v>
      </c>
      <c r="K369" s="178"/>
      <c r="Z369" s="52"/>
      <c r="AZ369" s="256"/>
      <c r="BA369" s="256"/>
    </row>
    <row r="370" spans="2:54" x14ac:dyDescent="0.3">
      <c r="B370" s="4" t="str">
        <f>Ceny_n!B28</f>
        <v>Modena tmavá nerez br. (inox lija)</v>
      </c>
      <c r="C370" s="4">
        <f>VLOOKUP(B:B,Ceny!$B:$D,2,FALSE)</f>
        <v>508.82</v>
      </c>
      <c r="D370" s="178">
        <f>VLOOKUP(B:B,Ceny!$B:$D,3,FALSE)</f>
        <v>150.38</v>
      </c>
      <c r="E370" s="178">
        <f>VLOOKUP(B370,Ceny!$B$6:$Q$47,16,0)</f>
        <v>2</v>
      </c>
      <c r="F370" s="178">
        <f>Ceny_n!$C$124</f>
        <v>30</v>
      </c>
      <c r="G370" s="178">
        <f>Ceny_n!$C$124</f>
        <v>30</v>
      </c>
      <c r="H370" s="178">
        <f>Ceny_n!$C$124</f>
        <v>30</v>
      </c>
      <c r="J370" s="178" t="str">
        <f>Ceny_n!$B$188</f>
        <v>Vlevo</v>
      </c>
      <c r="K370" s="178"/>
      <c r="Z370" s="52"/>
      <c r="AZ370" s="256"/>
      <c r="BA370" s="256"/>
    </row>
    <row r="371" spans="2:54" x14ac:dyDescent="0.3">
      <c r="B371" s="4" t="str">
        <f>Ceny_n!B29</f>
        <v>Palio (elox.)</v>
      </c>
      <c r="C371" s="4">
        <f>VLOOKUP(B:B,Ceny!$B:$D,2,FALSE)</f>
        <v>380.07</v>
      </c>
      <c r="D371" s="178">
        <f>VLOOKUP(B:B,Ceny!$B:$D,3,FALSE)</f>
        <v>145.22999999999999</v>
      </c>
      <c r="E371" s="178">
        <f>VLOOKUP(B371,Ceny!$B$6:$Q$47,16,0)</f>
        <v>2</v>
      </c>
      <c r="F371" s="178">
        <f>Ceny_n!$C$124</f>
        <v>30</v>
      </c>
      <c r="G371" s="178">
        <f>Ceny_n!$C$124</f>
        <v>30</v>
      </c>
      <c r="H371" s="178">
        <f>Ceny_n!$C$124</f>
        <v>30</v>
      </c>
      <c r="J371" s="178" t="str">
        <f>Ceny_n!$B$189</f>
        <v>2 Kusy (obě strany)</v>
      </c>
      <c r="K371" s="178"/>
      <c r="Z371" s="52"/>
      <c r="AZ371" s="256"/>
      <c r="BA371" s="256"/>
    </row>
    <row r="372" spans="2:54" x14ac:dyDescent="0.3">
      <c r="B372" s="4" t="str">
        <f>Ceny_n!B30</f>
        <v>Pisa (elox.)</v>
      </c>
      <c r="C372" s="4">
        <f>VLOOKUP(B:B,Ceny!$B:$D,2,FALSE)</f>
        <v>370.8</v>
      </c>
      <c r="D372" s="178">
        <f>VLOOKUP(B:B,Ceny!$B:$D,3,FALSE)</f>
        <v>161.71</v>
      </c>
      <c r="E372" s="178">
        <f>VLOOKUP(B372,Ceny!$B$6:$Q$47,16,0)</f>
        <v>2</v>
      </c>
      <c r="F372" s="178">
        <f>Ceny_n!$C$124</f>
        <v>30</v>
      </c>
      <c r="G372" s="178">
        <f>Ceny_n!$C$124</f>
        <v>30</v>
      </c>
      <c r="H372" s="178">
        <f>Ceny_n!$C$124</f>
        <v>30</v>
      </c>
      <c r="J372" s="178" t="str">
        <f>Ceny_n!$B$247</f>
        <v>AVENTOS HK TOP Servo Drive</v>
      </c>
      <c r="K372" s="178"/>
      <c r="Z372" s="52"/>
      <c r="AZ372" s="256"/>
      <c r="BA372" s="256"/>
    </row>
    <row r="373" spans="2:54" x14ac:dyDescent="0.3">
      <c r="B373" s="4" t="str">
        <f>Ceny_n!B31</f>
        <v>Pisa černá mat</v>
      </c>
      <c r="C373" s="4">
        <f>VLOOKUP(B:B,Ceny!$B:$D,2,FALSE)</f>
        <v>469.68</v>
      </c>
      <c r="D373" s="178">
        <f>VLOOKUP(B:B,Ceny!$B:$D,3,FALSE)</f>
        <v>161.71</v>
      </c>
      <c r="E373" s="178">
        <f>VLOOKUP(B373,Ceny!$B$6:$Q$47,16,0)</f>
        <v>2</v>
      </c>
      <c r="F373" s="178">
        <f>Ceny_n!$C$124</f>
        <v>30</v>
      </c>
      <c r="G373" s="178">
        <f>Ceny_n!$C$124</f>
        <v>30</v>
      </c>
      <c r="H373" s="178">
        <f>Ceny_n!$C$124</f>
        <v>30</v>
      </c>
      <c r="J373" s="52" t="str">
        <f>Ceny_n!B242</f>
        <v>Hmotnost úchytky (g)</v>
      </c>
      <c r="Z373" s="52"/>
      <c r="AZ373" s="256"/>
      <c r="BA373" s="256"/>
    </row>
    <row r="374" spans="2:54" x14ac:dyDescent="0.3">
      <c r="B374" s="4" t="str">
        <f>Ceny_n!B32</f>
        <v>Pisa černá lesk</v>
      </c>
      <c r="C374" s="4">
        <f>VLOOKUP(B:B,Ceny!$B:$D,2,FALSE)</f>
        <v>709.67000000000007</v>
      </c>
      <c r="D374" s="178">
        <f>VLOOKUP(B:B,Ceny!$B:$D,3,FALSE)</f>
        <v>161.71</v>
      </c>
      <c r="E374" s="178">
        <f>VLOOKUP(B374,Ceny!$B$6:$Q$47,16,0)</f>
        <v>2</v>
      </c>
      <c r="F374" s="178">
        <f>Ceny_n!$C$124</f>
        <v>30</v>
      </c>
      <c r="G374" s="178">
        <f>Ceny_n!$C$124</f>
        <v>30</v>
      </c>
      <c r="H374" s="178">
        <f>Ceny_n!$C$124</f>
        <v>30</v>
      </c>
      <c r="J374" s="52" t="str">
        <f>Ceny_n!B241</f>
        <v>Typ ramene</v>
      </c>
      <c r="Z374" s="52"/>
      <c r="AZ374" s="256"/>
      <c r="BA374" s="256"/>
      <c r="BB374" s="178"/>
    </row>
    <row r="375" spans="2:54" x14ac:dyDescent="0.3">
      <c r="B375" s="4" t="str">
        <f>Ceny_n!B33</f>
        <v>Ravena (elox.)</v>
      </c>
      <c r="C375" s="4">
        <f>VLOOKUP(B:B,Ceny!$B:$D,2,FALSE)</f>
        <v>278.10000000000002</v>
      </c>
      <c r="D375" s="178">
        <f>VLOOKUP(B:B,Ceny!$B:$D,3,FALSE)</f>
        <v>112.27</v>
      </c>
      <c r="E375" s="178">
        <f>VLOOKUP(B375,Ceny!$B$6:$Q$47,16,0)</f>
        <v>1</v>
      </c>
      <c r="F375" s="178">
        <f>Ceny_n!$C$124</f>
        <v>30</v>
      </c>
      <c r="G375" s="178">
        <f>Ceny_n!$C$124</f>
        <v>30</v>
      </c>
      <c r="H375" s="178">
        <f>Ceny_n!$C$124</f>
        <v>30</v>
      </c>
      <c r="J375" s="52" t="str">
        <f>Ceny_n!$B$180</f>
        <v>Typ závěsů</v>
      </c>
      <c r="Z375" s="52"/>
      <c r="AZ375" s="256"/>
      <c r="BA375" s="256"/>
      <c r="BB375" s="178"/>
    </row>
    <row r="376" spans="2:54" x14ac:dyDescent="0.3">
      <c r="B376" s="4" t="str">
        <f>Ceny_n!B34</f>
        <v>Siena (elox.)</v>
      </c>
      <c r="C376" s="4">
        <f>VLOOKUP(B:B,Ceny!$B:$D,2,FALSE)</f>
        <v>380.07</v>
      </c>
      <c r="D376" s="178">
        <f>VLOOKUP(B:B,Ceny!$B:$D,3,FALSE)</f>
        <v>145.22999999999999</v>
      </c>
      <c r="E376" s="178">
        <f>VLOOKUP(B376,Ceny!$B$6:$Q$47,16,0)</f>
        <v>2</v>
      </c>
      <c r="F376" s="178">
        <f>Ceny_n!$C$124</f>
        <v>30</v>
      </c>
      <c r="G376" s="178">
        <f>Ceny_n!$C$124</f>
        <v>30</v>
      </c>
      <c r="H376" s="178">
        <f>Ceny_n!$C$124</f>
        <v>30</v>
      </c>
      <c r="J376" s="52" t="str">
        <f>Ceny_n!$B$190</f>
        <v>Provedení druhého dvířka</v>
      </c>
      <c r="BB376" s="178"/>
    </row>
    <row r="377" spans="2:54" x14ac:dyDescent="0.3">
      <c r="B377" s="4" t="str">
        <f>Ceny_n!B35</f>
        <v>Verona (elox.)</v>
      </c>
      <c r="C377" s="4">
        <f>VLOOKUP(B:B,Ceny!$B:$D,2,FALSE)</f>
        <v>257.5</v>
      </c>
      <c r="D377" s="178">
        <f>VLOOKUP(B:B,Ceny!$B:$D,3,FALSE)</f>
        <v>92.7</v>
      </c>
      <c r="E377" s="178">
        <f>VLOOKUP(B377,Ceny!$B$6:$Q$47,16,0)</f>
        <v>1</v>
      </c>
      <c r="F377" s="178">
        <f>Ceny_n!$C$124</f>
        <v>30</v>
      </c>
      <c r="G377" s="178">
        <f>Ceny_n!$C$124</f>
        <v>30</v>
      </c>
      <c r="H377" s="178">
        <f>Ceny_n!$C$124</f>
        <v>30</v>
      </c>
      <c r="J377" s="52" t="str">
        <f>Ceny_n!$B$178</f>
        <v>Výběr pozice rámečku</v>
      </c>
      <c r="BB377" s="178"/>
    </row>
    <row r="378" spans="2:54" x14ac:dyDescent="0.3">
      <c r="B378" s="4" t="str">
        <f>Ceny_n!B36</f>
        <v>Verona broušený hliník</v>
      </c>
      <c r="C378" s="4">
        <f>VLOOKUP(B:B,Ceny!$B:$D,2,FALSE)</f>
        <v>447.02000000000004</v>
      </c>
      <c r="D378" s="178">
        <f>VLOOKUP(B:B,Ceny!$B:$D,3,FALSE)</f>
        <v>112.27</v>
      </c>
      <c r="E378" s="178">
        <f>VLOOKUP(B378,Ceny!$B$6:$Q$47,16,0)</f>
        <v>1</v>
      </c>
      <c r="F378" s="178">
        <f>Ceny_n!$C$124</f>
        <v>30</v>
      </c>
      <c r="G378" s="178">
        <f>Ceny_n!$C$124</f>
        <v>30</v>
      </c>
      <c r="H378" s="178">
        <f>Ceny_n!$C$124</f>
        <v>30</v>
      </c>
      <c r="J378" s="52" t="str">
        <f>Ceny_n!$B$179</f>
        <v>Výrobce závěsů</v>
      </c>
      <c r="BB378" s="178"/>
    </row>
    <row r="379" spans="2:54" x14ac:dyDescent="0.3">
      <c r="B379" s="4" t="str">
        <f>Ceny_n!B37</f>
        <v>Verona černá lesk</v>
      </c>
      <c r="C379" s="4">
        <f>VLOOKUP(B:B,Ceny!$B:$D,2,FALSE)</f>
        <v>373.89</v>
      </c>
      <c r="D379" s="178">
        <f>VLOOKUP(B:B,Ceny!$B:$D,3,FALSE)</f>
        <v>112.27</v>
      </c>
      <c r="E379" s="178">
        <f>VLOOKUP(B379,Ceny!$B$6:$Q$47,16,0)</f>
        <v>1</v>
      </c>
      <c r="F379" s="178">
        <f>Ceny_n!$C$124</f>
        <v>30</v>
      </c>
      <c r="G379" s="178">
        <f>Ceny_n!$C$124</f>
        <v>30</v>
      </c>
      <c r="H379" s="178">
        <f>Ceny_n!$C$124</f>
        <v>30</v>
      </c>
      <c r="J379" s="52" t="str">
        <f>Ceny_n!$B$181</f>
        <v>Typ Aventosu</v>
      </c>
      <c r="BB379" s="178"/>
    </row>
    <row r="380" spans="2:54" x14ac:dyDescent="0.3">
      <c r="B380" s="4" t="str">
        <f>Ceny_n!B38</f>
        <v>Verona černá mat</v>
      </c>
      <c r="C380" s="4">
        <f>VLOOKUP(B:B,Ceny!$B:$D,2,FALSE)</f>
        <v>373.89</v>
      </c>
      <c r="D380" s="178">
        <f>VLOOKUP(B:B,Ceny!$B:$D,3,FALSE)</f>
        <v>112.27</v>
      </c>
      <c r="E380" s="178">
        <f>VLOOKUP(B380,Ceny!$B$6:$Q$47,16,0)</f>
        <v>1</v>
      </c>
      <c r="F380" s="178">
        <f>Ceny_n!$C$124</f>
        <v>30</v>
      </c>
      <c r="G380" s="178">
        <f>Ceny_n!$C$124</f>
        <v>30</v>
      </c>
      <c r="H380" s="178">
        <f>Ceny_n!$C$124</f>
        <v>30</v>
      </c>
      <c r="J380" s="52" t="str">
        <f>Ceny_n!$B$182</f>
        <v>Typ podložky</v>
      </c>
      <c r="BB380" s="178"/>
    </row>
    <row r="381" spans="2:54" x14ac:dyDescent="0.3">
      <c r="B381" s="4" t="str">
        <f>Ceny_n!B39</f>
        <v>Verona hnědá</v>
      </c>
      <c r="C381" s="4">
        <f>VLOOKUP(B:B,Ceny!$B:$D,2,FALSE)</f>
        <v>373.89</v>
      </c>
      <c r="D381" s="178">
        <f>VLOOKUP(B:B,Ceny!$B:$D,3,FALSE)</f>
        <v>112.27</v>
      </c>
      <c r="E381" s="178">
        <f>VLOOKUP(B381,Ceny!$B$6:$Q$47,16,0)</f>
        <v>1</v>
      </c>
      <c r="F381" s="178">
        <f>Ceny_n!$C$124</f>
        <v>30</v>
      </c>
      <c r="G381" s="178">
        <f>Ceny_n!$C$124</f>
        <v>30</v>
      </c>
      <c r="H381" s="178">
        <f>Ceny_n!$C$124</f>
        <v>30</v>
      </c>
      <c r="J381" s="52" t="str">
        <f>Ceny_n!$B$248</f>
        <v>AVENTOS HL Servo Drive</v>
      </c>
      <c r="BB381" s="178"/>
    </row>
    <row r="382" spans="2:54" x14ac:dyDescent="0.3">
      <c r="B382" s="4" t="str">
        <f>Ceny_n!B40</f>
        <v>Verona champagne</v>
      </c>
      <c r="C382" s="4">
        <f>VLOOKUP(B:B,Ceny!$B:$D,2,FALSE)</f>
        <v>346.08</v>
      </c>
      <c r="D382" s="178">
        <f>VLOOKUP(B:B,Ceny!$B:$D,3,FALSE)</f>
        <v>112.27</v>
      </c>
      <c r="E382" s="178">
        <f>VLOOKUP(B382,Ceny!$B$6:$Q$47,16,0)</f>
        <v>1</v>
      </c>
      <c r="F382" s="178">
        <f>Ceny_n!$C$124</f>
        <v>30</v>
      </c>
      <c r="G382" s="178">
        <f>Ceny_n!$C$124</f>
        <v>30</v>
      </c>
      <c r="H382" s="178">
        <f>Ceny_n!$C$124</f>
        <v>30</v>
      </c>
      <c r="J382" s="52" t="str">
        <f>Ceny_n!$B$183</f>
        <v>Počet závěsu na 1 rámeček</v>
      </c>
      <c r="BB382" s="178"/>
    </row>
    <row r="383" spans="2:54" x14ac:dyDescent="0.3">
      <c r="B383" s="4" t="str">
        <f>Ceny_n!B41</f>
        <v>Verona tmavá nerez broušená</v>
      </c>
      <c r="C383" s="4">
        <f>VLOOKUP(B:B,Ceny!$B:$D,2,FALSE)</f>
        <v>458.35</v>
      </c>
      <c r="D383" s="178">
        <f>VLOOKUP(B:B,Ceny!$B:$D,3,FALSE)</f>
        <v>112.27</v>
      </c>
      <c r="E383" s="178">
        <f>VLOOKUP(B383,Ceny!$B$6:$Q$47,16,0)</f>
        <v>1</v>
      </c>
      <c r="F383" s="178">
        <f>Ceny_n!$C$124</f>
        <v>30</v>
      </c>
      <c r="G383" s="178">
        <f>Ceny_n!$C$124</f>
        <v>30</v>
      </c>
      <c r="H383" s="178">
        <f>Ceny_n!$C$124</f>
        <v>30</v>
      </c>
      <c r="J383" s="52" t="str">
        <f>Ceny_n!$B$200</f>
        <v>Vzdálenost závěsu od kraje</v>
      </c>
      <c r="BB383" s="178"/>
    </row>
    <row r="384" spans="2:54" x14ac:dyDescent="0.3">
      <c r="B384" s="4" t="str">
        <f>Ceny_n!B42</f>
        <v>Verona světlá nerez (Acier grata)</v>
      </c>
      <c r="C384" s="4">
        <f>VLOOKUP(B:B,Ceny!$B:$D,2,FALSE)</f>
        <v>458.35</v>
      </c>
      <c r="D384" s="178">
        <f>VLOOKUP(B:B,Ceny!$B:$D,3,FALSE)</f>
        <v>112.27</v>
      </c>
      <c r="E384" s="178">
        <f>VLOOKUP(B384,Ceny!$B$6:$Q$47,16,0)</f>
        <v>1</v>
      </c>
      <c r="F384" s="178">
        <f>Ceny_n!$C$124</f>
        <v>30</v>
      </c>
      <c r="G384" s="178">
        <f>Ceny_n!$C$124</f>
        <v>30</v>
      </c>
      <c r="H384" s="178">
        <f>Ceny_n!$C$124</f>
        <v>30</v>
      </c>
      <c r="J384" s="52" t="str">
        <f>Ceny_n!$B$191</f>
        <v>Úzký ALU rámeček</v>
      </c>
      <c r="BB384" s="178"/>
    </row>
    <row r="385" spans="2:54" s="178" customFormat="1" x14ac:dyDescent="0.3">
      <c r="B385" s="4" t="str">
        <f>Ceny_n!B43</f>
        <v>Vivaro (elox.)</v>
      </c>
      <c r="C385" s="4">
        <f>VLOOKUP(B:B,Ceny!$B:$D,2,FALSE)</f>
        <v>373.89</v>
      </c>
      <c r="D385" s="178">
        <f>VLOOKUP(B:B,Ceny!$B:$D,3,FALSE)</f>
        <v>156.56</v>
      </c>
      <c r="E385" s="178">
        <f>VLOOKUP(B385,Ceny!$B$6:$Q$47,16,0)</f>
        <v>2</v>
      </c>
      <c r="F385" s="178">
        <f>Ceny_n!$C$124</f>
        <v>30</v>
      </c>
      <c r="G385" s="178">
        <f>Ceny_n!$C$124</f>
        <v>30</v>
      </c>
      <c r="H385" s="178">
        <f>Ceny_n!$C$124</f>
        <v>30</v>
      </c>
      <c r="J385" s="178" t="str">
        <f>Ceny_n!$B$178</f>
        <v>Výběr pozice rámečku</v>
      </c>
      <c r="Z385" s="4"/>
      <c r="AA385" s="4"/>
      <c r="AB385" s="4"/>
      <c r="AC385" s="4"/>
      <c r="AD385" s="257"/>
      <c r="AE385" s="199"/>
      <c r="AF385" s="106"/>
      <c r="AG385" s="4"/>
      <c r="AH385" s="4"/>
      <c r="AI385" s="4"/>
      <c r="AJ385" s="4"/>
      <c r="AK385" s="4"/>
      <c r="AL385" s="4"/>
      <c r="AM385" s="4"/>
      <c r="AN385" s="4"/>
      <c r="AO385" s="4"/>
      <c r="AP385" s="4"/>
      <c r="AQ385" s="4"/>
      <c r="AR385" s="4"/>
      <c r="AS385" s="4"/>
      <c r="AT385" s="4"/>
      <c r="AU385" s="4"/>
      <c r="AV385" s="4"/>
      <c r="AW385" s="4"/>
      <c r="AX385" s="4"/>
      <c r="AY385" s="4"/>
      <c r="AZ385" s="255"/>
      <c r="BA385" s="255"/>
    </row>
    <row r="386" spans="2:54" s="178" customFormat="1" x14ac:dyDescent="0.3">
      <c r="B386" s="4" t="str">
        <f>Ceny_n!B44</f>
        <v>Vivaro černá mat</v>
      </c>
      <c r="C386" s="4">
        <f>VLOOKUP(B:B,Ceny!$B:$D,2,FALSE)</f>
        <v>473.8</v>
      </c>
      <c r="D386" s="178">
        <f>VLOOKUP(B:B,Ceny!$B:$D,3,FALSE)</f>
        <v>156.56</v>
      </c>
      <c r="E386" s="178">
        <f>VLOOKUP(B386,Ceny!$B$6:$Q$47,16,0)</f>
        <v>2</v>
      </c>
      <c r="F386" s="178">
        <f>Ceny_n!$C$124</f>
        <v>30</v>
      </c>
      <c r="G386" s="178">
        <f>Ceny_n!$C$124</f>
        <v>30</v>
      </c>
      <c r="H386" s="178">
        <f>Ceny_n!$C$124</f>
        <v>30</v>
      </c>
      <c r="J386" s="178" t="str">
        <f>Ceny_n!B291</f>
        <v>Umístění ramene</v>
      </c>
      <c r="Z386" s="4"/>
      <c r="AA386" s="4"/>
      <c r="AB386" s="4"/>
      <c r="AC386" s="4"/>
      <c r="AD386" s="257"/>
      <c r="AE386" s="199"/>
      <c r="AF386" s="106"/>
      <c r="AG386" s="4"/>
      <c r="AH386" s="4"/>
      <c r="AI386" s="4"/>
      <c r="AJ386" s="4"/>
      <c r="AK386" s="4"/>
      <c r="AL386" s="4"/>
      <c r="AM386" s="4"/>
      <c r="AN386" s="4"/>
      <c r="AO386" s="4"/>
      <c r="AP386" s="4"/>
      <c r="AQ386" s="4"/>
      <c r="AR386" s="4"/>
      <c r="AS386" s="4"/>
      <c r="AT386" s="4"/>
      <c r="AU386" s="4"/>
      <c r="AV386" s="4"/>
      <c r="AW386" s="4"/>
      <c r="AX386" s="4"/>
      <c r="AY386" s="4"/>
      <c r="AZ386" s="255"/>
      <c r="BA386" s="255"/>
    </row>
    <row r="387" spans="2:54" s="178" customFormat="1" x14ac:dyDescent="0.3">
      <c r="B387" s="4" t="str">
        <f>Ceny_n!B45</f>
        <v>Vivaro tmavá nerez br. (inox lija)</v>
      </c>
      <c r="C387" s="4">
        <f>VLOOKUP(B:B,Ceny!$B:$D,2,FALSE)</f>
        <v>525.30000000000007</v>
      </c>
      <c r="D387" s="178">
        <f>VLOOKUP(B:B,Ceny!$B:$D,3,FALSE)</f>
        <v>156.56</v>
      </c>
      <c r="E387" s="178">
        <f>VLOOKUP(B387,Ceny!$B$6:$Q$47,16,0)</f>
        <v>2</v>
      </c>
      <c r="F387" s="178">
        <f>Ceny_n!$C$124</f>
        <v>30</v>
      </c>
      <c r="G387" s="178">
        <f>Ceny_n!$C$124</f>
        <v>30</v>
      </c>
      <c r="H387" s="178">
        <f>Ceny_n!$C$124</f>
        <v>30</v>
      </c>
      <c r="J387" s="178" t="str">
        <f>Ceny_n!$B$192</f>
        <v>Široký ALU rámeček</v>
      </c>
      <c r="Z387" s="4"/>
      <c r="AA387" s="4"/>
      <c r="AB387" s="4"/>
      <c r="AC387" s="4"/>
      <c r="AD387" s="257"/>
      <c r="AE387" s="199"/>
      <c r="AF387" s="106"/>
      <c r="AG387" s="4"/>
      <c r="AH387" s="4"/>
      <c r="AI387" s="4"/>
      <c r="AJ387" s="4"/>
      <c r="AK387" s="4"/>
      <c r="AL387" s="4"/>
      <c r="AM387" s="4"/>
      <c r="AN387" s="4"/>
      <c r="AO387" s="4"/>
      <c r="AP387" s="4"/>
      <c r="AQ387" s="4"/>
      <c r="AR387" s="4"/>
      <c r="AS387" s="4"/>
      <c r="AT387" s="4"/>
      <c r="AU387" s="4"/>
      <c r="AV387" s="4"/>
      <c r="AW387" s="4"/>
      <c r="AX387" s="4"/>
      <c r="AY387" s="4"/>
      <c r="AZ387" s="255"/>
      <c r="BA387" s="255"/>
    </row>
    <row r="388" spans="2:54" s="178" customFormat="1" x14ac:dyDescent="0.3">
      <c r="B388" s="4" t="str">
        <f>Ceny_n!B46</f>
        <v>Vivaro bílá mat</v>
      </c>
      <c r="C388" s="4">
        <f>VLOOKUP(B:B,Ceny!$B:$D,2,FALSE)</f>
        <v>473.8</v>
      </c>
      <c r="D388" s="178">
        <f>VLOOKUP(B:B,Ceny!$B:$D,3,FALSE)</f>
        <v>156.56</v>
      </c>
      <c r="E388" s="178">
        <f>VLOOKUP(B388,Ceny!$B$6:$Q$47,16,0)</f>
        <v>2</v>
      </c>
      <c r="F388" s="178">
        <f>Ceny_n!$C$124</f>
        <v>30</v>
      </c>
      <c r="G388" s="178">
        <f>Ceny_n!$C$124</f>
        <v>30</v>
      </c>
      <c r="H388" s="178">
        <f>Ceny_n!$C$124</f>
        <v>30</v>
      </c>
      <c r="J388" s="178" t="str">
        <f>Ceny_n!$B$193</f>
        <v>MDF tloušťky 16 mm</v>
      </c>
      <c r="Z388" s="4"/>
      <c r="AA388" s="4"/>
      <c r="AB388" s="4"/>
      <c r="AC388" s="4"/>
      <c r="AD388" s="257"/>
      <c r="AE388" s="199"/>
      <c r="AF388" s="106"/>
      <c r="AG388" s="4"/>
      <c r="AH388" s="4"/>
      <c r="AI388" s="4"/>
      <c r="AJ388" s="4"/>
      <c r="AK388" s="4"/>
      <c r="AL388" s="4"/>
      <c r="AM388" s="4"/>
      <c r="AN388" s="4"/>
      <c r="AO388" s="4"/>
      <c r="AP388" s="4"/>
      <c r="AQ388" s="4"/>
      <c r="AR388" s="4"/>
      <c r="AS388" s="4"/>
      <c r="AT388" s="4"/>
      <c r="AU388" s="4"/>
      <c r="AV388" s="4"/>
      <c r="AW388" s="4"/>
      <c r="AX388" s="4"/>
      <c r="AY388" s="4"/>
      <c r="AZ388" s="255"/>
      <c r="BA388" s="255"/>
    </row>
    <row r="389" spans="2:54" s="178" customFormat="1" x14ac:dyDescent="0.3">
      <c r="B389" s="4" t="str">
        <f>Ceny_n!B47</f>
        <v>Vivaro bílá lesk</v>
      </c>
      <c r="C389" s="4">
        <f>VLOOKUP(B:B,Ceny!$B:$D,2,FALSE)</f>
        <v>473.8</v>
      </c>
      <c r="D389" s="178">
        <f>VLOOKUP(B:B,Ceny!$B:$D,3,FALSE)</f>
        <v>156.56</v>
      </c>
      <c r="E389" s="178">
        <f>VLOOKUP(B389,Ceny!$B$6:$Q$47,16,0)</f>
        <v>2</v>
      </c>
      <c r="F389" s="178">
        <f>Ceny_n!$C$124</f>
        <v>30</v>
      </c>
      <c r="G389" s="178">
        <f>Ceny_n!$C$124</f>
        <v>30</v>
      </c>
      <c r="H389" s="178">
        <f>Ceny_n!$C$124</f>
        <v>30</v>
      </c>
      <c r="J389" s="178" t="str">
        <f>Ceny_n!$B$194</f>
        <v>MDF tloušťky 18 mm</v>
      </c>
      <c r="Z389" s="4"/>
      <c r="AA389" s="4"/>
      <c r="AB389" s="4"/>
      <c r="AC389" s="4"/>
      <c r="AD389" s="257"/>
      <c r="AE389" s="199"/>
      <c r="AF389" s="106"/>
      <c r="AG389" s="4"/>
      <c r="AH389" s="4"/>
      <c r="AI389" s="4"/>
      <c r="AJ389" s="4"/>
      <c r="AK389" s="4"/>
      <c r="AL389" s="4"/>
      <c r="AM389" s="4"/>
      <c r="AN389" s="4"/>
      <c r="AO389" s="4"/>
      <c r="AP389" s="4"/>
      <c r="AQ389" s="4"/>
      <c r="AR389" s="4"/>
      <c r="AS389" s="4"/>
      <c r="AT389" s="4"/>
      <c r="AU389" s="4"/>
      <c r="AV389" s="4"/>
      <c r="AW389" s="4"/>
      <c r="AX389" s="4"/>
      <c r="AY389" s="4"/>
      <c r="AZ389" s="255"/>
      <c r="BA389" s="255"/>
    </row>
    <row r="390" spans="2:54" s="178" customFormat="1" x14ac:dyDescent="0.3">
      <c r="B390" s="4">
        <f>Ceny_n!B49</f>
        <v>0</v>
      </c>
      <c r="C390" s="4">
        <f>VLOOKUP(B:B,Ceny!$B:$D,2,FALSE)</f>
        <v>0</v>
      </c>
      <c r="D390" s="178">
        <f>VLOOKUP(B:B,Ceny!$B:$D,3,FALSE)</f>
        <v>0</v>
      </c>
      <c r="E390" s="178" t="e">
        <f>VLOOKUP(B390,Ceny!$B$6:$Q$47,16,0)</f>
        <v>#N/A</v>
      </c>
      <c r="F390" s="178">
        <f>Ceny_n!$C$124</f>
        <v>30</v>
      </c>
      <c r="G390" s="178">
        <f>Ceny_n!$C$124</f>
        <v>30</v>
      </c>
      <c r="H390" s="178">
        <f>Ceny_n!$C$124</f>
        <v>30</v>
      </c>
      <c r="J390" s="178" t="str">
        <f>Ceny_n!$B$195</f>
        <v>DTDL tloušťky 18 mm</v>
      </c>
      <c r="Z390" s="4"/>
      <c r="AA390" s="4"/>
      <c r="AB390" s="4"/>
      <c r="AC390" s="4"/>
      <c r="AD390" s="257"/>
      <c r="AE390" s="199"/>
      <c r="AF390" s="106"/>
      <c r="AG390" s="4"/>
      <c r="AH390" s="4"/>
      <c r="AI390" s="4"/>
      <c r="AJ390" s="4"/>
      <c r="AK390" s="4"/>
      <c r="AL390" s="4"/>
      <c r="AM390" s="4"/>
      <c r="AN390" s="4"/>
      <c r="AO390" s="4"/>
      <c r="AP390" s="4"/>
      <c r="AQ390" s="4"/>
      <c r="AR390" s="4"/>
      <c r="AS390" s="4"/>
      <c r="AT390" s="4"/>
      <c r="AU390" s="4"/>
      <c r="AV390" s="4"/>
      <c r="AW390" s="4"/>
      <c r="AX390" s="4"/>
      <c r="AY390" s="4"/>
      <c r="AZ390" s="255"/>
      <c r="BA390" s="255"/>
    </row>
    <row r="391" spans="2:54" s="178" customFormat="1" x14ac:dyDescent="0.3">
      <c r="B391" s="4">
        <f>Ceny_n!B49</f>
        <v>0</v>
      </c>
      <c r="C391" s="4">
        <f>VLOOKUP(B:B,Ceny!$B:$D,2,FALSE)</f>
        <v>0</v>
      </c>
      <c r="D391" s="178">
        <f>VLOOKUP(B:B,Ceny!$B:$D,3,FALSE)</f>
        <v>0</v>
      </c>
      <c r="E391" s="178" t="e">
        <f>VLOOKUP(B391,Ceny!$B$6:$Q$47,16,0)</f>
        <v>#N/A</v>
      </c>
      <c r="F391" s="178">
        <f>Ceny_n!$C$124</f>
        <v>30</v>
      </c>
      <c r="G391" s="178">
        <f>Ceny_n!$C$124</f>
        <v>30</v>
      </c>
      <c r="H391" s="178">
        <f>Ceny_n!$C$124</f>
        <v>30</v>
      </c>
      <c r="J391" s="178" t="str">
        <f>Ceny_n!$B$222</f>
        <v>AVENTOS HK-XS TIP-ON</v>
      </c>
      <c r="Z391" s="4"/>
      <c r="AA391" s="4"/>
      <c r="AB391" s="4"/>
      <c r="AC391" s="4"/>
      <c r="AD391" s="257"/>
      <c r="AE391" s="199"/>
      <c r="AF391" s="106"/>
      <c r="AG391" s="4"/>
      <c r="AH391" s="4"/>
      <c r="AI391" s="4"/>
      <c r="AJ391" s="4"/>
      <c r="AK391" s="4"/>
      <c r="AL391" s="4"/>
      <c r="AM391" s="4"/>
      <c r="AN391" s="4"/>
      <c r="AO391" s="4"/>
      <c r="AP391" s="4"/>
      <c r="AQ391" s="4"/>
      <c r="AR391" s="4"/>
      <c r="AS391" s="4"/>
      <c r="AT391" s="4"/>
      <c r="AU391" s="4"/>
      <c r="AV391" s="4"/>
      <c r="AW391" s="4"/>
      <c r="AX391" s="4"/>
      <c r="AY391" s="4"/>
      <c r="AZ391" s="255"/>
      <c r="BA391" s="255"/>
    </row>
    <row r="392" spans="2:54" s="178" customFormat="1" x14ac:dyDescent="0.3">
      <c r="J392" s="178" t="str">
        <f>Ceny_n!$B$245</f>
        <v>AVENTOS HK TOP TIP ON</v>
      </c>
      <c r="Z392" s="4"/>
      <c r="AA392" s="4"/>
      <c r="AB392" s="4"/>
      <c r="AC392" s="4"/>
      <c r="AD392" s="257"/>
      <c r="AE392" s="199"/>
      <c r="AF392" s="106"/>
      <c r="AG392" s="4"/>
      <c r="AH392" s="4"/>
      <c r="AI392" s="4"/>
      <c r="AJ392" s="4"/>
      <c r="AK392" s="4"/>
      <c r="AL392" s="4"/>
      <c r="AM392" s="4"/>
      <c r="AN392" s="4"/>
      <c r="AO392" s="4"/>
      <c r="AP392" s="4"/>
      <c r="AQ392" s="4"/>
      <c r="AR392" s="4"/>
      <c r="AS392" s="4"/>
      <c r="AT392" s="4"/>
      <c r="AU392" s="4"/>
      <c r="AV392" s="4"/>
      <c r="AW392" s="4"/>
      <c r="AX392" s="4"/>
      <c r="AY392" s="4"/>
      <c r="AZ392" s="255"/>
      <c r="BA392" s="255"/>
      <c r="BB392" s="52"/>
    </row>
    <row r="393" spans="2:54" s="178" customFormat="1" x14ac:dyDescent="0.3">
      <c r="B393" s="4">
        <f>Ceny_n!B49</f>
        <v>0</v>
      </c>
      <c r="C393" s="4"/>
      <c r="J393" s="178" t="str">
        <f>Ceny_n!$B$249</f>
        <v>AVENTOS HS Servo Drive</v>
      </c>
      <c r="Z393" s="4"/>
      <c r="AA393" s="4"/>
      <c r="AB393" s="4"/>
      <c r="AC393" s="4"/>
      <c r="AD393" s="257"/>
      <c r="AE393" s="199"/>
      <c r="AF393" s="106"/>
      <c r="AG393" s="4"/>
      <c r="AH393" s="4"/>
      <c r="AI393" s="4"/>
      <c r="AJ393" s="4"/>
      <c r="AK393" s="4"/>
      <c r="AL393" s="4"/>
      <c r="AM393" s="4"/>
      <c r="AN393" s="4"/>
      <c r="AO393" s="4"/>
      <c r="AP393" s="4"/>
      <c r="AQ393" s="4"/>
      <c r="AR393" s="4"/>
      <c r="AS393" s="4"/>
      <c r="AT393" s="4"/>
      <c r="AU393" s="4"/>
      <c r="AV393" s="4"/>
      <c r="AW393" s="4"/>
      <c r="AX393" s="4"/>
      <c r="AY393" s="4"/>
      <c r="AZ393" s="255"/>
      <c r="BA393" s="255"/>
      <c r="BB393" s="52"/>
    </row>
    <row r="394" spans="2:54" s="178" customFormat="1" x14ac:dyDescent="0.3">
      <c r="B394" s="4">
        <f>Ceny_n!B50</f>
        <v>0</v>
      </c>
      <c r="C394" s="4"/>
      <c r="J394" s="178" t="str">
        <f>Ceny_n!$B$246</f>
        <v>AVENTOS HKS TIP ON</v>
      </c>
      <c r="Z394" s="4"/>
      <c r="AA394" s="4"/>
      <c r="AB394" s="4"/>
      <c r="AC394" s="4"/>
      <c r="AD394" s="257"/>
      <c r="AE394" s="199"/>
      <c r="AF394" s="106"/>
      <c r="AG394" s="4"/>
      <c r="AH394" s="4"/>
      <c r="AI394" s="4"/>
      <c r="AJ394" s="4"/>
      <c r="AK394" s="4"/>
      <c r="AL394" s="4"/>
      <c r="AM394" s="4"/>
      <c r="AN394" s="4"/>
      <c r="AO394" s="4"/>
      <c r="AP394" s="4"/>
      <c r="AQ394" s="4"/>
      <c r="AR394" s="4"/>
      <c r="AS394" s="4"/>
      <c r="AT394" s="4"/>
      <c r="AU394" s="4"/>
      <c r="AV394" s="4"/>
      <c r="AW394" s="4"/>
      <c r="AX394" s="4"/>
      <c r="AY394" s="4"/>
      <c r="AZ394" s="255"/>
      <c r="BA394" s="255"/>
      <c r="BB394" s="52"/>
    </row>
    <row r="395" spans="2:54" s="178" customFormat="1" x14ac:dyDescent="0.3">
      <c r="B395" s="4" t="str">
        <f>Ceny_n!B51</f>
        <v>Sklo</v>
      </c>
      <c r="C395" s="4"/>
      <c r="J395" s="178" t="str">
        <f>Ceny_n!$B$197</f>
        <v>Nahoře</v>
      </c>
      <c r="Z395" s="4"/>
      <c r="AA395" s="4"/>
      <c r="AB395" s="4"/>
      <c r="AC395" s="4"/>
      <c r="AD395" s="257"/>
      <c r="AE395" s="199"/>
      <c r="AF395" s="106"/>
      <c r="AG395" s="4"/>
      <c r="AH395" s="4"/>
      <c r="AI395" s="4"/>
      <c r="AJ395" s="4"/>
      <c r="AK395" s="4"/>
      <c r="AL395" s="4"/>
      <c r="AM395" s="4"/>
      <c r="AN395" s="4"/>
      <c r="AO395" s="4"/>
      <c r="AP395" s="4"/>
      <c r="AQ395" s="4"/>
      <c r="AR395" s="4"/>
      <c r="AS395" s="4"/>
      <c r="AT395" s="4"/>
      <c r="AU395" s="4"/>
      <c r="AV395" s="4"/>
      <c r="AW395" s="4"/>
      <c r="AX395" s="4"/>
      <c r="AY395" s="4"/>
      <c r="AZ395" s="255"/>
      <c r="BA395" s="255"/>
      <c r="BB395" s="52"/>
    </row>
    <row r="396" spans="2:54" s="178" customFormat="1" x14ac:dyDescent="0.3">
      <c r="B396" s="4" t="str">
        <f>Ceny_n!B52</f>
        <v>Čiré</v>
      </c>
      <c r="C396" s="4"/>
      <c r="J396" s="178" t="str">
        <f>Ceny_n!$B$198</f>
        <v>Dole</v>
      </c>
      <c r="Z396" s="4"/>
      <c r="AA396" s="4"/>
      <c r="AB396" s="4"/>
      <c r="AC396" s="4"/>
      <c r="AD396" s="257"/>
      <c r="AE396" s="199"/>
      <c r="AF396" s="106"/>
      <c r="AG396" s="4"/>
      <c r="AH396" s="4"/>
      <c r="AI396" s="4"/>
      <c r="AJ396" s="4"/>
      <c r="AK396" s="4"/>
      <c r="AL396" s="4"/>
      <c r="AM396" s="4"/>
      <c r="AN396" s="4"/>
      <c r="AO396" s="4"/>
      <c r="AP396" s="4"/>
      <c r="AQ396" s="4"/>
      <c r="AR396" s="4"/>
      <c r="AS396" s="4"/>
      <c r="AT396" s="4"/>
      <c r="AU396" s="4"/>
      <c r="AV396" s="4"/>
      <c r="AW396" s="4"/>
      <c r="AX396" s="4"/>
      <c r="AY396" s="4"/>
      <c r="AZ396" s="255"/>
      <c r="BA396" s="255"/>
      <c r="BB396" s="52"/>
    </row>
    <row r="397" spans="2:54" s="178" customFormat="1" x14ac:dyDescent="0.3">
      <c r="B397" s="4" t="str">
        <f>Ceny_n!B53</f>
        <v>Čiré kalené (dodání 3 týdny)</v>
      </c>
      <c r="C397" s="4"/>
      <c r="Z397" s="4"/>
      <c r="AA397" s="4"/>
      <c r="AB397" s="4"/>
      <c r="AC397" s="4"/>
      <c r="AD397" s="257"/>
      <c r="AE397" s="199"/>
      <c r="AF397" s="106"/>
      <c r="AG397" s="4"/>
      <c r="AH397" s="4"/>
      <c r="AI397" s="4"/>
      <c r="AJ397" s="4"/>
      <c r="AK397" s="4"/>
      <c r="AL397" s="4"/>
      <c r="AM397" s="4"/>
      <c r="AN397" s="4"/>
      <c r="AO397" s="4"/>
      <c r="AP397" s="4"/>
      <c r="AQ397" s="4"/>
      <c r="AR397" s="4"/>
      <c r="AS397" s="4"/>
      <c r="AT397" s="4"/>
      <c r="AU397" s="4"/>
      <c r="AV397" s="4"/>
      <c r="AW397" s="4"/>
      <c r="AX397" s="4"/>
      <c r="AY397" s="4"/>
      <c r="AZ397" s="255"/>
      <c r="BA397" s="255"/>
      <c r="BB397" s="52"/>
    </row>
    <row r="398" spans="2:54" s="178" customFormat="1" x14ac:dyDescent="0.3">
      <c r="B398" s="4" t="str">
        <f>Ceny_n!B54</f>
        <v>Satinato</v>
      </c>
      <c r="C398" s="4"/>
      <c r="Z398" s="4"/>
      <c r="AA398" s="4"/>
      <c r="AB398" s="4"/>
      <c r="AC398" s="4"/>
      <c r="AD398" s="257"/>
      <c r="AE398" s="199"/>
      <c r="AF398" s="106"/>
      <c r="AG398" s="4"/>
      <c r="AH398" s="4"/>
      <c r="AI398" s="4"/>
      <c r="AJ398" s="4"/>
      <c r="AK398" s="4"/>
      <c r="AL398" s="4"/>
      <c r="AM398" s="4"/>
      <c r="AN398" s="4"/>
      <c r="AO398" s="4"/>
      <c r="AP398" s="4"/>
      <c r="AQ398" s="4"/>
      <c r="AR398" s="4"/>
      <c r="AS398" s="4"/>
      <c r="AT398" s="4"/>
      <c r="AU398" s="4"/>
      <c r="AV398" s="4"/>
      <c r="AW398" s="4"/>
      <c r="AX398" s="4"/>
      <c r="AY398" s="4"/>
      <c r="AZ398" s="255"/>
      <c r="BA398" s="255"/>
      <c r="BB398" s="52"/>
    </row>
    <row r="399" spans="2:54" s="178" customFormat="1" x14ac:dyDescent="0.3">
      <c r="B399" s="4" t="str">
        <f>Ceny_n!B55</f>
        <v>Satinato kalené (dodání 3 týdny)</v>
      </c>
      <c r="C399" s="4"/>
      <c r="Z399" s="4"/>
      <c r="AA399" s="4"/>
      <c r="AB399" s="4"/>
      <c r="AC399" s="4"/>
      <c r="AD399" s="257"/>
      <c r="AE399" s="199"/>
      <c r="AF399" s="106"/>
      <c r="AG399" s="4"/>
      <c r="AH399" s="4"/>
      <c r="AI399" s="4"/>
      <c r="AJ399" s="4"/>
      <c r="AK399" s="4"/>
      <c r="AL399" s="4"/>
      <c r="AM399" s="4"/>
      <c r="AN399" s="4"/>
      <c r="AO399" s="4"/>
      <c r="AP399" s="4"/>
      <c r="AQ399" s="4"/>
      <c r="AR399" s="4"/>
      <c r="AS399" s="4"/>
      <c r="AT399" s="4"/>
      <c r="AU399" s="4"/>
      <c r="AV399" s="4"/>
      <c r="AW399" s="4"/>
      <c r="AX399" s="4"/>
      <c r="AY399" s="4"/>
      <c r="AZ399" s="255"/>
      <c r="BA399" s="255"/>
      <c r="BB399" s="52"/>
    </row>
    <row r="400" spans="2:54" s="178" customFormat="1" x14ac:dyDescent="0.3">
      <c r="B400" s="4" t="str">
        <f>Ceny_n!B56</f>
        <v>Satinato hnědé</v>
      </c>
      <c r="C400" s="4"/>
      <c r="Z400" s="4"/>
      <c r="AA400" s="4"/>
      <c r="AB400" s="4"/>
      <c r="AC400" s="4"/>
      <c r="AD400" s="257"/>
      <c r="AE400" s="199"/>
      <c r="AF400" s="106"/>
      <c r="AG400" s="4"/>
      <c r="AH400" s="4"/>
      <c r="AI400" s="4"/>
      <c r="AJ400" s="4"/>
      <c r="AK400" s="4"/>
      <c r="AL400" s="4"/>
      <c r="AM400" s="4"/>
      <c r="AN400" s="4"/>
      <c r="AO400" s="4"/>
      <c r="AP400" s="4"/>
      <c r="AQ400" s="4"/>
      <c r="AR400" s="4"/>
      <c r="AS400" s="4"/>
      <c r="AT400" s="4"/>
      <c r="AU400" s="4"/>
      <c r="AV400" s="4"/>
      <c r="AW400" s="4"/>
      <c r="AX400" s="4"/>
      <c r="AY400" s="4"/>
      <c r="AZ400" s="255"/>
      <c r="BA400" s="255"/>
      <c r="BB400" s="52"/>
    </row>
    <row r="401" spans="2:54" s="178" customFormat="1" x14ac:dyDescent="0.3">
      <c r="B401" s="4" t="str">
        <f>Ceny_n!B57</f>
        <v>Satinato grafit</v>
      </c>
      <c r="C401" s="4"/>
      <c r="Z401" s="4"/>
      <c r="AA401" s="4"/>
      <c r="AB401" s="4"/>
      <c r="AC401" s="4"/>
      <c r="AD401" s="257"/>
      <c r="AE401" s="199"/>
      <c r="AF401" s="106"/>
      <c r="AG401" s="4"/>
      <c r="AH401" s="4"/>
      <c r="AI401" s="4"/>
      <c r="AJ401" s="4"/>
      <c r="AK401" s="4"/>
      <c r="AL401" s="4"/>
      <c r="AM401" s="4"/>
      <c r="AN401" s="4"/>
      <c r="AO401" s="4"/>
      <c r="AP401" s="4"/>
      <c r="AQ401" s="4"/>
      <c r="AR401" s="4"/>
      <c r="AS401" s="4"/>
      <c r="AT401" s="4"/>
      <c r="AU401" s="4"/>
      <c r="AV401" s="4"/>
      <c r="AW401" s="4"/>
      <c r="AX401" s="4"/>
      <c r="AY401" s="4"/>
      <c r="AZ401" s="255"/>
      <c r="BA401" s="255"/>
      <c r="BB401" s="52"/>
    </row>
    <row r="402" spans="2:54" s="178" customFormat="1" x14ac:dyDescent="0.3">
      <c r="B402" s="4"/>
      <c r="C402" s="4"/>
      <c r="Z402" s="4"/>
      <c r="AA402" s="4"/>
      <c r="AB402" s="4"/>
      <c r="AC402" s="4"/>
      <c r="AD402" s="257"/>
      <c r="AE402" s="199"/>
      <c r="AF402" s="106"/>
      <c r="AG402" s="4"/>
      <c r="AH402" s="4"/>
      <c r="AI402" s="4"/>
      <c r="AJ402" s="4"/>
      <c r="AK402" s="4"/>
      <c r="AL402" s="4"/>
      <c r="AM402" s="4"/>
      <c r="AN402" s="4"/>
      <c r="AO402" s="4"/>
      <c r="AP402" s="4"/>
      <c r="AQ402" s="4"/>
      <c r="AR402" s="4"/>
      <c r="AS402" s="4"/>
      <c r="AT402" s="4"/>
      <c r="AU402" s="4"/>
      <c r="AV402" s="4"/>
      <c r="AW402" s="4"/>
      <c r="AX402" s="4"/>
      <c r="AY402" s="4"/>
      <c r="AZ402" s="255"/>
      <c r="BA402" s="255"/>
      <c r="BB402" s="52"/>
    </row>
    <row r="403" spans="2:54" x14ac:dyDescent="0.3">
      <c r="B403" s="4" t="e">
        <f>Ceny_n!#REF!</f>
        <v>#REF!</v>
      </c>
      <c r="C403" s="4" t="e">
        <f>VLOOKUP(B:B,Ceny!$B$51:$P$116,2,FALSE)</f>
        <v>#REF!</v>
      </c>
      <c r="D403" s="52" t="e">
        <f>Ceny_n!#REF!</f>
        <v>#REF!</v>
      </c>
    </row>
    <row r="404" spans="2:54" x14ac:dyDescent="0.3">
      <c r="B404" s="4" t="str">
        <f>Ceny_n!B51</f>
        <v>Sklo</v>
      </c>
      <c r="C404" s="4" t="str">
        <f>Ceny_n!C51</f>
        <v>ZC nová</v>
      </c>
      <c r="D404" s="52">
        <f>Ceny_n!D51</f>
        <v>0</v>
      </c>
      <c r="F404" s="1"/>
      <c r="G404" s="1"/>
    </row>
    <row r="405" spans="2:54" x14ac:dyDescent="0.3">
      <c r="B405" s="4" t="str">
        <f>Ceny_n!B52</f>
        <v>Čiré</v>
      </c>
      <c r="C405" s="4">
        <f>VLOOKUP(B:B,Ceny!$B$51:$P$116,2,FALSE)</f>
        <v>504.7</v>
      </c>
      <c r="D405" s="1" t="str">
        <f>Ceny_n!B60</f>
        <v>Stopsol bronz</v>
      </c>
      <c r="F405" s="1"/>
      <c r="G405" s="1"/>
    </row>
    <row r="406" spans="2:54" x14ac:dyDescent="0.3">
      <c r="B406" s="4" t="str">
        <f>Ceny_n!B53</f>
        <v>Čiré kalené (dodání 3 týdny)</v>
      </c>
      <c r="C406" s="4">
        <f>VLOOKUP(B:B,Ceny!$B$51:$P$116,2,FALSE)</f>
        <v>1019.7</v>
      </c>
      <c r="D406" s="1" t="str">
        <f>Ceny_n!B61</f>
        <v>Lakomat</v>
      </c>
      <c r="F406" s="1"/>
      <c r="G406" s="1"/>
    </row>
    <row r="407" spans="2:54" x14ac:dyDescent="0.3">
      <c r="B407" s="4" t="str">
        <f>Ceny_n!B54</f>
        <v>Satinato</v>
      </c>
      <c r="C407" s="4">
        <f>VLOOKUP(B:B,Ceny!$B$51:$P$116,2,FALSE)</f>
        <v>1442</v>
      </c>
      <c r="D407" s="1" t="str">
        <f>Ceny_n!B62</f>
        <v>Pisek</v>
      </c>
      <c r="F407" s="1"/>
      <c r="G407" s="1"/>
    </row>
    <row r="408" spans="2:54" x14ac:dyDescent="0.3">
      <c r="B408" s="4" t="str">
        <f>Ceny_n!B55</f>
        <v>Satinato kalené (dodání 3 týdny)</v>
      </c>
      <c r="C408" s="4">
        <f>VLOOKUP(B:B,Ceny!$B$51:$P$116,2,FALSE)</f>
        <v>2214.5</v>
      </c>
      <c r="D408" s="1" t="str">
        <f>Ceny_n!B63</f>
        <v>Antisol bronz</v>
      </c>
      <c r="F408" s="1"/>
      <c r="G408" s="1"/>
    </row>
    <row r="409" spans="2:54" x14ac:dyDescent="0.3">
      <c r="B409" s="4" t="str">
        <f>Ceny_n!B56</f>
        <v>Satinato hnědé</v>
      </c>
      <c r="C409" s="4">
        <f>VLOOKUP(B:B,Ceny!$B$51:$P$116,2,FALSE)</f>
        <v>1810.74</v>
      </c>
      <c r="D409" s="1" t="str">
        <f>Ceny_n!B64</f>
        <v>Antisol grafit</v>
      </c>
      <c r="F409" s="1"/>
      <c r="G409" s="1"/>
    </row>
    <row r="410" spans="2:54" x14ac:dyDescent="0.3">
      <c r="B410" s="4" t="str">
        <f>Ceny_n!B57</f>
        <v>Satinato grafit</v>
      </c>
      <c r="C410" s="4">
        <f>VLOOKUP(B:B,Ceny!$B$51:$P$116,2,FALSE)</f>
        <v>1810.74</v>
      </c>
      <c r="D410" s="1" t="str">
        <f>Ceny_n!B65</f>
        <v>Zrcadlo</v>
      </c>
      <c r="F410" s="1"/>
      <c r="G410" s="1"/>
    </row>
    <row r="411" spans="2:54" x14ac:dyDescent="0.3">
      <c r="B411" s="4" t="str">
        <f>Ceny_n!B58</f>
        <v>Screen</v>
      </c>
      <c r="C411" s="4">
        <f>VLOOKUP(B:B,Ceny!$B$51:$P$116,2,FALSE)</f>
        <v>1419.3400000000001</v>
      </c>
      <c r="D411" s="1" t="str">
        <f>Ceny_n!B66</f>
        <v>Zrcadlo hnědé</v>
      </c>
      <c r="F411" s="1"/>
      <c r="G411" s="1"/>
    </row>
    <row r="412" spans="2:54" x14ac:dyDescent="0.3">
      <c r="B412" s="4" t="str">
        <f>Ceny_n!B59</f>
        <v>Venus VG10</v>
      </c>
      <c r="C412" s="4">
        <f>VLOOKUP(B:B,Ceny!$B$51:$P$116,2,FALSE)</f>
        <v>2639.89</v>
      </c>
      <c r="D412" s="1" t="str">
        <f>Ceny_n!B67</f>
        <v>Zrcadlo grafit</v>
      </c>
      <c r="F412" s="1"/>
      <c r="G412" s="1"/>
      <c r="BB412" s="178"/>
    </row>
    <row r="413" spans="2:54" x14ac:dyDescent="0.3">
      <c r="B413" s="4" t="str">
        <f>Ceny_n!B60</f>
        <v>Stopsol bronz</v>
      </c>
      <c r="C413" s="4">
        <f>VLOOKUP(B:B,Ceny!$B$51:$P$116,2,FALSE)</f>
        <v>2414.3200000000002</v>
      </c>
      <c r="D413" s="1" t="str">
        <f>Ceny_n!B68</f>
        <v>Zrcadlo + bezpečnostní fólie</v>
      </c>
      <c r="F413" s="1"/>
      <c r="G413" s="1"/>
    </row>
    <row r="414" spans="2:54" x14ac:dyDescent="0.3">
      <c r="B414" s="4" t="str">
        <f>Ceny_n!B61</f>
        <v>Lakomat</v>
      </c>
      <c r="C414" s="4">
        <f>VLOOKUP(B:B,Ceny!$B$51:$P$116,2,FALSE)</f>
        <v>1341.06</v>
      </c>
      <c r="D414" s="1" t="str">
        <f>Ceny_n!B69</f>
        <v>Krizet</v>
      </c>
      <c r="F414" s="1"/>
      <c r="G414" s="1"/>
    </row>
    <row r="415" spans="2:54" x14ac:dyDescent="0.3">
      <c r="B415" s="4" t="str">
        <f>Ceny_n!B62</f>
        <v>Pisek</v>
      </c>
      <c r="C415" s="4">
        <f>VLOOKUP(B:B,Ceny!$B$51:$P$116,2,FALSE)</f>
        <v>1117.55</v>
      </c>
      <c r="D415" s="1" t="str">
        <f>Ceny_n!B70</f>
        <v>Master (Carre)</v>
      </c>
      <c r="F415" s="1"/>
      <c r="G415" s="1"/>
    </row>
    <row r="416" spans="2:54" x14ac:dyDescent="0.3">
      <c r="B416" s="4" t="str">
        <f>Ceny_n!B63</f>
        <v>Antisol bronz</v>
      </c>
      <c r="C416" s="4">
        <f>VLOOKUP(B:B,Ceny!$B$51:$P$116,2,FALSE)</f>
        <v>927</v>
      </c>
      <c r="D416" s="1" t="str">
        <f>Ceny_n!B71</f>
        <v xml:space="preserve">Master  Lens </v>
      </c>
      <c r="F416" s="1"/>
      <c r="G416" s="1"/>
    </row>
    <row r="417" spans="2:54" x14ac:dyDescent="0.3">
      <c r="B417" s="4" t="str">
        <f>Ceny_n!B64</f>
        <v>Antisol grafit</v>
      </c>
      <c r="C417" s="4">
        <f>VLOOKUP(B:B,Ceny!$B$51:$P$116,2,FALSE)</f>
        <v>927</v>
      </c>
      <c r="D417" s="1" t="str">
        <f>Ceny_n!B72</f>
        <v>Master  Ligne</v>
      </c>
      <c r="F417" s="1"/>
      <c r="G417" s="1"/>
    </row>
    <row r="418" spans="2:54" x14ac:dyDescent="0.3">
      <c r="B418" s="4" t="str">
        <f>Ceny_n!B65</f>
        <v>Zrcadlo</v>
      </c>
      <c r="C418" s="4">
        <f>VLOOKUP(B:B,Ceny!$B$51:$P$116,2,FALSE)</f>
        <v>844.6</v>
      </c>
      <c r="D418" s="1" t="str">
        <f>Ceny_n!B73</f>
        <v>Master  Point</v>
      </c>
      <c r="F418" s="1"/>
      <c r="G418" s="1"/>
    </row>
    <row r="419" spans="2:54" x14ac:dyDescent="0.3">
      <c r="B419" s="4" t="str">
        <f>Ceny_n!B66</f>
        <v>Zrcadlo hnědé</v>
      </c>
      <c r="C419" s="4">
        <f>VLOOKUP(B:B,Ceny!$B$51:$P$116,2,FALSE)</f>
        <v>1128.8800000000001</v>
      </c>
      <c r="D419" s="1" t="str">
        <f>Ceny_n!B74</f>
        <v xml:space="preserve">Master  Ray </v>
      </c>
      <c r="F419" s="1"/>
      <c r="G419" s="1"/>
    </row>
    <row r="420" spans="2:54" x14ac:dyDescent="0.3">
      <c r="B420" s="4" t="str">
        <f>Ceny_n!B67</f>
        <v>Zrcadlo grafit</v>
      </c>
      <c r="C420" s="4">
        <f>VLOOKUP(B:B,Ceny!$B$51:$P$116,2,FALSE)</f>
        <v>1128.8800000000001</v>
      </c>
      <c r="D420" s="1" t="str">
        <f>Ceny_n!B75</f>
        <v>Master  Shine</v>
      </c>
      <c r="F420" s="1"/>
      <c r="G420" s="1"/>
    </row>
    <row r="421" spans="2:54" x14ac:dyDescent="0.3">
      <c r="B421" s="4" t="str">
        <f>Ceny_n!B68</f>
        <v>Zrcadlo + bezpečnostní fólie</v>
      </c>
      <c r="C421" s="4">
        <f>VLOOKUP(B:B,Ceny!$B$51:$P$116,2,FALSE)</f>
        <v>952.75</v>
      </c>
      <c r="D421" s="1" t="str">
        <f>Ceny_n!B76</f>
        <v>Lacobel RAL 1013</v>
      </c>
      <c r="F421" s="1"/>
      <c r="G421" s="1"/>
    </row>
    <row r="422" spans="2:54" x14ac:dyDescent="0.3">
      <c r="B422" s="4" t="str">
        <f>Ceny_n!B69</f>
        <v>Krizet</v>
      </c>
      <c r="C422" s="4">
        <f>VLOOKUP(B:B,Ceny!$B$51:$P$116,2,FALSE)</f>
        <v>1419.3400000000001</v>
      </c>
      <c r="D422" s="1" t="str">
        <f>Ceny_n!B77</f>
        <v>Lacobel RAL 1014</v>
      </c>
      <c r="F422" s="1"/>
      <c r="G422" s="1"/>
    </row>
    <row r="423" spans="2:54" s="178" customFormat="1" x14ac:dyDescent="0.3">
      <c r="B423" s="4" t="str">
        <f>Ceny_n!B70</f>
        <v>Master (Carre)</v>
      </c>
      <c r="C423" s="4">
        <f>VLOOKUP(B:B,Ceny!$B$51:$P$116,2,FALSE)</f>
        <v>1419.3400000000001</v>
      </c>
      <c r="D423" s="1" t="str">
        <f>Ceny_n!B78</f>
        <v>Lacobel RAL 1015</v>
      </c>
      <c r="F423" s="1"/>
      <c r="G423" s="1"/>
      <c r="Z423" s="4"/>
      <c r="AA423" s="4"/>
      <c r="AB423" s="4"/>
      <c r="AC423" s="4"/>
      <c r="AD423" s="257"/>
      <c r="AE423" s="199"/>
      <c r="AF423" s="106"/>
      <c r="AG423" s="4"/>
      <c r="AH423" s="4"/>
      <c r="AI423" s="4"/>
      <c r="AJ423" s="4"/>
      <c r="AK423" s="4"/>
      <c r="AL423" s="4"/>
      <c r="AM423" s="4"/>
      <c r="AN423" s="4"/>
      <c r="AO423" s="4"/>
      <c r="AP423" s="4"/>
      <c r="AQ423" s="4"/>
      <c r="AR423" s="4"/>
      <c r="AS423" s="4"/>
      <c r="AT423" s="4"/>
      <c r="AU423" s="4"/>
      <c r="AV423" s="4"/>
      <c r="AW423" s="4"/>
      <c r="AX423" s="4"/>
      <c r="AY423" s="4"/>
      <c r="AZ423" s="255"/>
      <c r="BA423" s="255"/>
      <c r="BB423" s="52"/>
    </row>
    <row r="424" spans="2:54" x14ac:dyDescent="0.3">
      <c r="B424" s="4" t="str">
        <f>Ceny_n!B71</f>
        <v xml:space="preserve">Master  Lens </v>
      </c>
      <c r="C424" s="4">
        <f>VLOOKUP(B:B,Ceny!$B$51:$P$116,2,FALSE)</f>
        <v>1419.3400000000001</v>
      </c>
      <c r="D424" s="1" t="str">
        <f>Ceny_n!B79</f>
        <v>Lacobel RAL 2001</v>
      </c>
      <c r="F424" s="1"/>
      <c r="G424" s="1"/>
    </row>
    <row r="425" spans="2:54" x14ac:dyDescent="0.3">
      <c r="B425" s="4" t="str">
        <f>Ceny_n!B72</f>
        <v>Master  Ligne</v>
      </c>
      <c r="C425" s="4">
        <f>VLOOKUP(B:B,Ceny!$B$51:$P$116,2,FALSE)</f>
        <v>1419.3400000000001</v>
      </c>
      <c r="D425" s="1" t="str">
        <f>Ceny_n!B80</f>
        <v>Lacobel RAL 3004</v>
      </c>
      <c r="F425" s="1"/>
      <c r="G425" s="1"/>
    </row>
    <row r="426" spans="2:54" x14ac:dyDescent="0.3">
      <c r="B426" s="4" t="str">
        <f>Ceny_n!B73</f>
        <v>Master  Point</v>
      </c>
      <c r="C426" s="4">
        <f>VLOOKUP(B:B,Ceny!$B$51:$P$116,2,FALSE)</f>
        <v>1419.3400000000001</v>
      </c>
      <c r="D426" s="1" t="str">
        <f>Ceny_n!B81</f>
        <v>Lacobel RAL 4006</v>
      </c>
      <c r="F426" s="1"/>
      <c r="G426" s="1"/>
    </row>
    <row r="427" spans="2:54" x14ac:dyDescent="0.3">
      <c r="B427" s="4" t="str">
        <f>Ceny_n!B74</f>
        <v xml:space="preserve">Master  Ray </v>
      </c>
      <c r="C427" s="4">
        <f>VLOOKUP(B:B,Ceny!$B$51:$P$116,2,FALSE)</f>
        <v>1419.3400000000001</v>
      </c>
      <c r="D427" s="1" t="str">
        <f>Ceny_n!B82</f>
        <v>Lacobel RAL 5002</v>
      </c>
      <c r="F427" s="1"/>
      <c r="G427" s="1"/>
    </row>
    <row r="428" spans="2:54" x14ac:dyDescent="0.3">
      <c r="B428" s="4" t="str">
        <f>Ceny_n!B75</f>
        <v>Master  Shine</v>
      </c>
      <c r="C428" s="4">
        <f>VLOOKUP(B:B,Ceny!$B$51:$P$116,2,FALSE)</f>
        <v>1419.3400000000001</v>
      </c>
      <c r="D428" s="1" t="str">
        <f>Ceny_n!B83</f>
        <v>Lacobel RAL 7035</v>
      </c>
      <c r="F428" s="1"/>
      <c r="G428" s="1"/>
    </row>
    <row r="429" spans="2:54" x14ac:dyDescent="0.3">
      <c r="B429" s="4" t="str">
        <f>Ceny_n!B76</f>
        <v>Lacobel RAL 1013</v>
      </c>
      <c r="C429" s="4">
        <f>VLOOKUP(B:B,Ceny!$B$51:$P$116,2,FALSE)</f>
        <v>1812.8</v>
      </c>
      <c r="D429" s="1" t="str">
        <f>Ceny_n!B84</f>
        <v>Lacobel RAL 8017</v>
      </c>
      <c r="F429" s="1"/>
      <c r="G429" s="1"/>
    </row>
    <row r="430" spans="2:54" x14ac:dyDescent="0.3">
      <c r="B430" s="4" t="str">
        <f>Ceny_n!B77</f>
        <v>Lacobel RAL 1014</v>
      </c>
      <c r="C430" s="4">
        <f>VLOOKUP(B:B,Ceny!$B$51:$P$116,2,FALSE)</f>
        <v>1493.5</v>
      </c>
      <c r="D430" s="1" t="str">
        <f>Ceny_n!B85</f>
        <v>Lacobel RAL 9003</v>
      </c>
      <c r="F430" s="1"/>
      <c r="G430" s="1"/>
    </row>
    <row r="431" spans="2:54" x14ac:dyDescent="0.3">
      <c r="B431" s="4" t="str">
        <f>Ceny_n!B78</f>
        <v>Lacobel RAL 1015</v>
      </c>
      <c r="C431" s="4">
        <f>VLOOKUP(B:B,Ceny!$B$51:$P$116,2,FALSE)</f>
        <v>1493.5</v>
      </c>
      <c r="D431" s="1" t="str">
        <f>Ceny_n!B86</f>
        <v>Lacobel RAL 9005</v>
      </c>
      <c r="F431" s="1"/>
      <c r="G431" s="1"/>
    </row>
    <row r="432" spans="2:54" x14ac:dyDescent="0.3">
      <c r="B432" s="4" t="str">
        <f>Ceny_n!B79</f>
        <v>Lacobel RAL 2001</v>
      </c>
      <c r="C432" s="4">
        <f>VLOOKUP(B:B,Ceny!$B$51:$P$116,2,FALSE)</f>
        <v>1493.5</v>
      </c>
      <c r="D432" s="1" t="str">
        <f>Ceny_n!B87</f>
        <v>Lacobel RAL 9006</v>
      </c>
      <c r="F432" s="1"/>
      <c r="G432" s="1"/>
    </row>
    <row r="433" spans="2:7" x14ac:dyDescent="0.3">
      <c r="B433" s="4" t="str">
        <f>Ceny_n!B80</f>
        <v>Lacobel RAL 3004</v>
      </c>
      <c r="C433" s="4">
        <f>VLOOKUP(B:B,Ceny!$B$51:$P$116,2,FALSE)</f>
        <v>1493.5</v>
      </c>
      <c r="D433" s="1" t="str">
        <f>Ceny_n!B88</f>
        <v>Lacobel RAL 9007</v>
      </c>
      <c r="F433" s="1"/>
      <c r="G433" s="1"/>
    </row>
    <row r="434" spans="2:7" x14ac:dyDescent="0.3">
      <c r="B434" s="4" t="str">
        <f>Ceny_n!B81</f>
        <v>Lacobel RAL 4006</v>
      </c>
      <c r="C434" s="4">
        <f>VLOOKUP(B:B,Ceny!$B$51:$P$116,2,FALSE)</f>
        <v>1493.5</v>
      </c>
      <c r="D434" s="1" t="str">
        <f>Ceny_n!B89</f>
        <v>Lacobel RAL 9010</v>
      </c>
      <c r="F434" s="1"/>
      <c r="G434" s="1"/>
    </row>
    <row r="435" spans="2:7" x14ac:dyDescent="0.3">
      <c r="B435" s="4" t="str">
        <f>Ceny_n!B82</f>
        <v>Lacobel RAL 5002</v>
      </c>
      <c r="C435" s="4">
        <f>VLOOKUP(B:B,Ceny!$B$51:$P$116,2,FALSE)</f>
        <v>1493.5</v>
      </c>
      <c r="D435" s="1" t="str">
        <f>Ceny_n!B90</f>
        <v>Lacobel REF 0128</v>
      </c>
      <c r="F435" s="1"/>
      <c r="G435" s="1"/>
    </row>
    <row r="436" spans="2:7" x14ac:dyDescent="0.3">
      <c r="B436" s="4" t="str">
        <f>Ceny_n!B83</f>
        <v>Lacobel RAL 7035</v>
      </c>
      <c r="C436" s="4">
        <f>VLOOKUP(B:B,Ceny!$B$51:$P$116,2,FALSE)</f>
        <v>1493.5</v>
      </c>
      <c r="D436" s="1" t="str">
        <f>Ceny_n!B91</f>
        <v>Lacobel REF 0327</v>
      </c>
      <c r="F436" s="1"/>
      <c r="G436" s="1"/>
    </row>
    <row r="437" spans="2:7" x14ac:dyDescent="0.3">
      <c r="B437" s="4" t="str">
        <f>Ceny_n!B84</f>
        <v>Lacobel RAL 8017</v>
      </c>
      <c r="C437" s="4">
        <f>VLOOKUP(B:B,Ceny!$B$51:$P$116,2,FALSE)</f>
        <v>1493.5</v>
      </c>
      <c r="D437" s="1" t="str">
        <f>Ceny_n!B92</f>
        <v>Lacobel REF 0337</v>
      </c>
      <c r="F437" s="1"/>
      <c r="G437" s="1"/>
    </row>
    <row r="438" spans="2:7" x14ac:dyDescent="0.3">
      <c r="B438" s="4" t="str">
        <f>Ceny_n!B85</f>
        <v>Lacobel RAL 9003</v>
      </c>
      <c r="C438" s="4">
        <f>VLOOKUP(B:B,Ceny!$B$51:$P$116,2,FALSE)</f>
        <v>1812.8</v>
      </c>
      <c r="D438" s="1" t="str">
        <f>Ceny_n!B93</f>
        <v>Lacobel REF 0627</v>
      </c>
      <c r="F438" s="1"/>
      <c r="G438" s="1"/>
    </row>
    <row r="439" spans="2:7" x14ac:dyDescent="0.3">
      <c r="B439" s="4" t="str">
        <f>Ceny_n!B86</f>
        <v>Lacobel RAL 9005</v>
      </c>
      <c r="C439" s="4">
        <f>VLOOKUP(B:B,Ceny!$B$51:$P$116,2,FALSE)</f>
        <v>1493.5</v>
      </c>
      <c r="D439" s="1" t="str">
        <f>Ceny_n!B94</f>
        <v>Lacobel REF 0667</v>
      </c>
      <c r="F439" s="1"/>
      <c r="G439" s="1"/>
    </row>
    <row r="440" spans="2:7" x14ac:dyDescent="0.3">
      <c r="B440" s="4" t="str">
        <f>Ceny_n!B87</f>
        <v>Lacobel RAL 9006</v>
      </c>
      <c r="C440" s="4">
        <f>VLOOKUP(B:B,Ceny!$B$51:$P$116,2,FALSE)</f>
        <v>1493.5</v>
      </c>
      <c r="D440" s="1" t="str">
        <f>Ceny_n!B95</f>
        <v>Lacobel REF 1164</v>
      </c>
      <c r="F440" s="1"/>
      <c r="G440" s="1"/>
    </row>
    <row r="441" spans="2:7" x14ac:dyDescent="0.3">
      <c r="B441" s="4" t="str">
        <f>Ceny_n!B88</f>
        <v>Lacobel RAL 9007</v>
      </c>
      <c r="C441" s="4">
        <f>VLOOKUP(B:B,Ceny!$B$51:$P$116,2,FALSE)</f>
        <v>1812.8</v>
      </c>
      <c r="D441" s="1" t="str">
        <f>Ceny_n!B96</f>
        <v>Lacobel REF 1236</v>
      </c>
      <c r="F441" s="1"/>
      <c r="G441" s="1"/>
    </row>
    <row r="442" spans="2:7" x14ac:dyDescent="0.3">
      <c r="B442" s="4" t="str">
        <f>Ceny_n!B89</f>
        <v>Lacobel RAL 9010</v>
      </c>
      <c r="C442" s="4">
        <f>VLOOKUP(B:B,Ceny!$B$51:$P$116,2,FALSE)</f>
        <v>1493.5</v>
      </c>
      <c r="D442" s="1" t="str">
        <f>Ceny_n!B97</f>
        <v>Lacobel REF 1435</v>
      </c>
      <c r="F442" s="1"/>
      <c r="G442" s="1"/>
    </row>
    <row r="443" spans="2:7" x14ac:dyDescent="0.3">
      <c r="B443" s="4" t="str">
        <f>Ceny_n!B90</f>
        <v>Lacobel REF 0128</v>
      </c>
      <c r="C443" s="4">
        <f>VLOOKUP(B:B,Ceny!$B$51:$P$116,2,FALSE)</f>
        <v>1812.8</v>
      </c>
      <c r="D443" s="1" t="str">
        <f>Ceny_n!B98</f>
        <v>Lacobel REF 1586</v>
      </c>
      <c r="F443" s="1"/>
      <c r="G443" s="1"/>
    </row>
    <row r="444" spans="2:7" x14ac:dyDescent="0.3">
      <c r="B444" s="4" t="str">
        <f>Ceny_n!B91</f>
        <v>Lacobel REF 0327</v>
      </c>
      <c r="C444" s="4">
        <f>VLOOKUP(B:B,Ceny!$B$51:$P$116,2,FALSE)</f>
        <v>1812.8</v>
      </c>
      <c r="D444" s="1" t="str">
        <f>Ceny_n!B99</f>
        <v>Lacobel REF 1603</v>
      </c>
      <c r="F444" s="1"/>
      <c r="G444" s="1"/>
    </row>
    <row r="445" spans="2:7" x14ac:dyDescent="0.3">
      <c r="B445" s="4" t="str">
        <f>Ceny_n!B92</f>
        <v>Lacobel REF 0337</v>
      </c>
      <c r="C445" s="4">
        <f>VLOOKUP(B:B,Ceny!$B$51:$P$116,2,FALSE)</f>
        <v>1812.8</v>
      </c>
      <c r="D445" s="1" t="str">
        <f>Ceny_n!B100</f>
        <v>Lacobel REF 1604</v>
      </c>
      <c r="F445" s="1"/>
      <c r="G445" s="1"/>
    </row>
    <row r="446" spans="2:7" x14ac:dyDescent="0.3">
      <c r="B446" s="4" t="str">
        <f>Ceny_n!B93</f>
        <v>Lacobel REF 0627</v>
      </c>
      <c r="C446" s="4">
        <f>VLOOKUP(B:B,Ceny!$B$51:$P$116,2,FALSE)</f>
        <v>1812.8</v>
      </c>
      <c r="D446" s="1" t="str">
        <f>Ceny_n!B101</f>
        <v>Matelac RAL 2001</v>
      </c>
      <c r="F446" s="1"/>
      <c r="G446" s="1"/>
    </row>
    <row r="447" spans="2:7" x14ac:dyDescent="0.3">
      <c r="B447" s="4" t="str">
        <f>Ceny_n!B94</f>
        <v>Lacobel REF 0667</v>
      </c>
      <c r="C447" s="4">
        <f>VLOOKUP(B:B,Ceny!$B$51:$P$116,2,FALSE)</f>
        <v>1493.5</v>
      </c>
      <c r="D447" s="1" t="str">
        <f>Ceny_n!B102</f>
        <v>Matelac RAL 3004</v>
      </c>
      <c r="F447" s="1"/>
      <c r="G447" s="1"/>
    </row>
    <row r="448" spans="2:7" x14ac:dyDescent="0.3">
      <c r="B448" s="4" t="str">
        <f>Ceny_n!B95</f>
        <v>Lacobel REF 1164</v>
      </c>
      <c r="C448" s="4">
        <f>VLOOKUP(B:B,Ceny!$B$51:$P$116,2,FALSE)</f>
        <v>1493.5</v>
      </c>
      <c r="D448" s="1" t="str">
        <f>Ceny_n!B103</f>
        <v>Matelac RAL 7021</v>
      </c>
      <c r="F448" s="1"/>
      <c r="G448" s="1"/>
    </row>
    <row r="449" spans="2:53" x14ac:dyDescent="0.3">
      <c r="B449" s="4" t="str">
        <f>Ceny_n!B96</f>
        <v>Lacobel REF 1236</v>
      </c>
      <c r="C449" s="4">
        <f>VLOOKUP(B:B,Ceny!$B$51:$P$116,2,FALSE)</f>
        <v>1493.5</v>
      </c>
      <c r="D449" s="1" t="str">
        <f>Ceny_n!B104</f>
        <v>Matelac RAL 9003</v>
      </c>
      <c r="F449" s="1"/>
      <c r="G449" s="1"/>
    </row>
    <row r="450" spans="2:53" x14ac:dyDescent="0.3">
      <c r="B450" s="4" t="str">
        <f>Ceny_n!B97</f>
        <v>Lacobel REF 1435</v>
      </c>
      <c r="C450" s="4">
        <f>VLOOKUP(B:B,Ceny!$B$51:$P$116,2,FALSE)</f>
        <v>1493.5</v>
      </c>
      <c r="D450" s="1" t="str">
        <f>Ceny_n!B105</f>
        <v>Matelac RAL 9005</v>
      </c>
      <c r="F450" s="1"/>
      <c r="G450" s="1"/>
    </row>
    <row r="451" spans="2:53" x14ac:dyDescent="0.3">
      <c r="B451" s="4" t="str">
        <f>Ceny_n!B98</f>
        <v>Lacobel REF 1586</v>
      </c>
      <c r="C451" s="4">
        <f>VLOOKUP(B:B,Ceny!$B$51:$P$116,2,FALSE)</f>
        <v>1493.5</v>
      </c>
      <c r="D451" s="1" t="str">
        <f>Ceny_n!B106</f>
        <v>Matelac RAL 9006</v>
      </c>
      <c r="F451" s="1"/>
      <c r="G451" s="1"/>
    </row>
    <row r="452" spans="2:53" x14ac:dyDescent="0.3">
      <c r="B452" s="4" t="str">
        <f>Ceny_n!B99</f>
        <v>Lacobel REF 1603</v>
      </c>
      <c r="C452" s="4">
        <f>VLOOKUP(B:B,Ceny!$B$51:$P$116,2,FALSE)</f>
        <v>1493.5</v>
      </c>
      <c r="D452" s="1" t="str">
        <f>Ceny_n!B107</f>
        <v>Matelac RAL 9010</v>
      </c>
      <c r="F452" s="1"/>
      <c r="G452" s="1"/>
    </row>
    <row r="453" spans="2:53" x14ac:dyDescent="0.3">
      <c r="B453" s="4" t="str">
        <f>Ceny_n!B100</f>
        <v>Lacobel REF 1604</v>
      </c>
      <c r="C453" s="4">
        <f>VLOOKUP(B:B,Ceny!$B$51:$P$116,2,FALSE)</f>
        <v>1493.5</v>
      </c>
      <c r="D453" s="1" t="str">
        <f>Ceny_n!B108</f>
        <v>Matelac REF 1435</v>
      </c>
      <c r="F453" s="1"/>
      <c r="G453" s="1"/>
    </row>
    <row r="454" spans="2:53" x14ac:dyDescent="0.3">
      <c r="B454" s="4" t="str">
        <f>Ceny_n!B101</f>
        <v>Matelac RAL 2001</v>
      </c>
      <c r="C454" s="4">
        <f>VLOOKUP(B:B,Ceny!$B$51:$P$116,2,FALSE)</f>
        <v>2502.9</v>
      </c>
      <c r="D454" s="1" t="str">
        <f>Ceny_n!B109</f>
        <v>Matelac REF 1586</v>
      </c>
      <c r="F454" s="1"/>
      <c r="G454" s="1"/>
    </row>
    <row r="455" spans="2:53" x14ac:dyDescent="0.3">
      <c r="B455" s="4" t="str">
        <f>Ceny_n!B102</f>
        <v>Matelac RAL 3004</v>
      </c>
      <c r="C455" s="4">
        <f>VLOOKUP(B:B,Ceny!$B$51:$P$116,2,FALSE)</f>
        <v>2502.9</v>
      </c>
      <c r="D455" s="1" t="str">
        <f>Ceny_n!B110</f>
        <v>Matelac zrcadlo bronz</v>
      </c>
      <c r="F455" s="1"/>
      <c r="G455" s="1"/>
    </row>
    <row r="456" spans="2:53" x14ac:dyDescent="0.3">
      <c r="B456" s="4" t="str">
        <f>Ceny_n!B103</f>
        <v>Matelac RAL 7021</v>
      </c>
      <c r="C456" s="4">
        <f>VLOOKUP(B:B,Ceny!$B$51:$P$116,2,FALSE)</f>
        <v>2502.9</v>
      </c>
      <c r="D456" s="1" t="str">
        <f>Ceny_n!B111</f>
        <v>Matelac zrcadlo grafit</v>
      </c>
      <c r="F456" s="1"/>
      <c r="G456" s="1"/>
    </row>
    <row r="457" spans="2:53" x14ac:dyDescent="0.3">
      <c r="B457" s="4" t="str">
        <f>Ceny_n!B104</f>
        <v>Matelac RAL 9003</v>
      </c>
      <c r="C457" s="4">
        <f>VLOOKUP(B:B,Ceny!$B$51:$P$116,2,FALSE)</f>
        <v>2914.9</v>
      </c>
      <c r="D457" s="1" t="str">
        <f>Ceny_n!B112</f>
        <v>Matelac zrcadlo stříbr.</v>
      </c>
      <c r="F457" s="1"/>
      <c r="G457" s="1"/>
    </row>
    <row r="458" spans="2:53" s="178" customFormat="1" x14ac:dyDescent="0.3">
      <c r="B458" s="4" t="str">
        <f>Ceny_n!B105</f>
        <v>Matelac RAL 9005</v>
      </c>
      <c r="C458" s="4">
        <f>VLOOKUP(B:B,Ceny!$B$51:$P$116,2,FALSE)</f>
        <v>2502.9</v>
      </c>
      <c r="D458" s="1">
        <f>Ceny_n!B113</f>
        <v>0</v>
      </c>
      <c r="F458" s="1"/>
      <c r="G458" s="1"/>
      <c r="Z458" s="4"/>
      <c r="AA458" s="4"/>
      <c r="AB458" s="4"/>
      <c r="AC458" s="4"/>
      <c r="AD458" s="257"/>
      <c r="AE458" s="199"/>
      <c r="AF458" s="106"/>
      <c r="AG458" s="4"/>
      <c r="AH458" s="4"/>
      <c r="AI458" s="4"/>
      <c r="AJ458" s="4"/>
      <c r="AK458" s="4"/>
      <c r="AL458" s="4"/>
      <c r="AM458" s="4"/>
      <c r="AN458" s="4"/>
      <c r="AO458" s="4"/>
      <c r="AP458" s="4"/>
      <c r="AQ458" s="4"/>
      <c r="AR458" s="4"/>
      <c r="AS458" s="4"/>
      <c r="AT458" s="4"/>
      <c r="AU458" s="4"/>
      <c r="AV458" s="4"/>
      <c r="AW458" s="4"/>
      <c r="AX458" s="4"/>
      <c r="AY458" s="4"/>
      <c r="AZ458" s="255"/>
      <c r="BA458" s="255"/>
    </row>
    <row r="459" spans="2:53" s="178" customFormat="1" x14ac:dyDescent="0.3">
      <c r="B459" s="4" t="str">
        <f>Ceny_n!B106</f>
        <v>Matelac RAL 9006</v>
      </c>
      <c r="C459" s="4">
        <f>VLOOKUP(B:B,Ceny!$B$51:$P$116,2,FALSE)</f>
        <v>2502.9</v>
      </c>
      <c r="D459" s="1">
        <f>Ceny_n!B114</f>
        <v>0</v>
      </c>
      <c r="F459" s="1"/>
      <c r="G459" s="1"/>
      <c r="Z459" s="4"/>
      <c r="AA459" s="4"/>
      <c r="AB459" s="4"/>
      <c r="AC459" s="4"/>
      <c r="AD459" s="257"/>
      <c r="AE459" s="199"/>
      <c r="AF459" s="106"/>
      <c r="AG459" s="4"/>
      <c r="AH459" s="4"/>
      <c r="AI459" s="4"/>
      <c r="AJ459" s="4"/>
      <c r="AK459" s="4"/>
      <c r="AL459" s="4"/>
      <c r="AM459" s="4"/>
      <c r="AN459" s="4"/>
      <c r="AO459" s="4"/>
      <c r="AP459" s="4"/>
      <c r="AQ459" s="4"/>
      <c r="AR459" s="4"/>
      <c r="AS459" s="4"/>
      <c r="AT459" s="4"/>
      <c r="AU459" s="4"/>
      <c r="AV459" s="4"/>
      <c r="AW459" s="4"/>
      <c r="AX459" s="4"/>
      <c r="AY459" s="4"/>
      <c r="AZ459" s="255"/>
      <c r="BA459" s="255"/>
    </row>
    <row r="460" spans="2:53" s="178" customFormat="1" x14ac:dyDescent="0.3">
      <c r="B460" s="4" t="str">
        <f>Ceny_n!B107</f>
        <v>Matelac RAL 9010</v>
      </c>
      <c r="C460" s="4">
        <f>VLOOKUP(B:B,Ceny!$B$51:$P$116,2,FALSE)</f>
        <v>2502.9</v>
      </c>
      <c r="D460" s="1">
        <f>Ceny_n!B115</f>
        <v>0</v>
      </c>
      <c r="F460" s="1"/>
      <c r="G460" s="1"/>
      <c r="Z460" s="4"/>
      <c r="AA460" s="4"/>
      <c r="AB460" s="4"/>
      <c r="AC460" s="4"/>
      <c r="AD460" s="257"/>
      <c r="AE460" s="199"/>
      <c r="AF460" s="106"/>
      <c r="AG460" s="4"/>
      <c r="AH460" s="4"/>
      <c r="AI460" s="4"/>
      <c r="AJ460" s="4"/>
      <c r="AK460" s="4"/>
      <c r="AL460" s="4"/>
      <c r="AM460" s="4"/>
      <c r="AN460" s="4"/>
      <c r="AO460" s="4"/>
      <c r="AP460" s="4"/>
      <c r="AQ460" s="4"/>
      <c r="AR460" s="4"/>
      <c r="AS460" s="4"/>
      <c r="AT460" s="4"/>
      <c r="AU460" s="4"/>
      <c r="AV460" s="4"/>
      <c r="AW460" s="4"/>
      <c r="AX460" s="4"/>
      <c r="AY460" s="4"/>
      <c r="AZ460" s="255"/>
      <c r="BA460" s="255"/>
    </row>
    <row r="461" spans="2:53" s="178" customFormat="1" x14ac:dyDescent="0.3">
      <c r="B461" s="4" t="str">
        <f>Ceny_n!B108</f>
        <v>Matelac REF 1435</v>
      </c>
      <c r="C461" s="4">
        <f>VLOOKUP(B:B,Ceny!$B$51:$P$116,2,FALSE)</f>
        <v>2502.9</v>
      </c>
      <c r="D461" s="1">
        <f>Ceny_n!B116</f>
        <v>0</v>
      </c>
      <c r="F461" s="1"/>
      <c r="G461" s="1"/>
      <c r="Z461" s="4"/>
      <c r="AA461" s="4"/>
      <c r="AB461" s="4"/>
      <c r="AC461" s="4"/>
      <c r="AD461" s="257"/>
      <c r="AE461" s="199"/>
      <c r="AF461" s="106"/>
      <c r="AG461" s="4"/>
      <c r="AH461" s="4"/>
      <c r="AI461" s="4"/>
      <c r="AJ461" s="4"/>
      <c r="AK461" s="4"/>
      <c r="AL461" s="4"/>
      <c r="AM461" s="4"/>
      <c r="AN461" s="4"/>
      <c r="AO461" s="4"/>
      <c r="AP461" s="4"/>
      <c r="AQ461" s="4"/>
      <c r="AR461" s="4"/>
      <c r="AS461" s="4"/>
      <c r="AT461" s="4"/>
      <c r="AU461" s="4"/>
      <c r="AV461" s="4"/>
      <c r="AW461" s="4"/>
      <c r="AX461" s="4"/>
      <c r="AY461" s="4"/>
      <c r="AZ461" s="255"/>
      <c r="BA461" s="255"/>
    </row>
    <row r="462" spans="2:53" s="178" customFormat="1" x14ac:dyDescent="0.3">
      <c r="B462" s="4" t="str">
        <f>Ceny_n!B109</f>
        <v>Matelac REF 1586</v>
      </c>
      <c r="C462" s="4">
        <f>VLOOKUP(B:B,Ceny!$B$51:$P$116,2,FALSE)</f>
        <v>2502.9</v>
      </c>
      <c r="F462" s="1"/>
      <c r="G462" s="1"/>
      <c r="Z462" s="4"/>
      <c r="AA462" s="4"/>
      <c r="AB462" s="4"/>
      <c r="AC462" s="4"/>
      <c r="AD462" s="257"/>
      <c r="AE462" s="199"/>
      <c r="AF462" s="106"/>
      <c r="AG462" s="4"/>
      <c r="AH462" s="4"/>
      <c r="AI462" s="4"/>
      <c r="AJ462" s="4"/>
      <c r="AK462" s="4"/>
      <c r="AL462" s="4"/>
      <c r="AM462" s="4"/>
      <c r="AN462" s="4"/>
      <c r="AO462" s="4"/>
      <c r="AP462" s="4"/>
      <c r="AQ462" s="4"/>
      <c r="AR462" s="4"/>
      <c r="AS462" s="4"/>
      <c r="AT462" s="4"/>
      <c r="AU462" s="4"/>
      <c r="AV462" s="4"/>
      <c r="AW462" s="4"/>
      <c r="AX462" s="4"/>
      <c r="AY462" s="4"/>
      <c r="AZ462" s="255"/>
      <c r="BA462" s="255"/>
    </row>
    <row r="463" spans="2:53" s="178" customFormat="1" x14ac:dyDescent="0.3">
      <c r="B463" s="4" t="str">
        <f>Ceny_n!B110</f>
        <v>Matelac zrcadlo bronz</v>
      </c>
      <c r="C463" s="4">
        <f>VLOOKUP(B:B,Ceny!$B$51:$P$116,2,FALSE)</f>
        <v>2708.9</v>
      </c>
      <c r="F463" s="1"/>
      <c r="G463" s="1"/>
      <c r="Z463" s="4"/>
      <c r="AA463" s="4"/>
      <c r="AB463" s="4"/>
      <c r="AC463" s="4"/>
      <c r="AD463" s="257"/>
      <c r="AE463" s="199"/>
      <c r="AF463" s="106"/>
      <c r="AG463" s="4"/>
      <c r="AH463" s="4"/>
      <c r="AI463" s="4"/>
      <c r="AJ463" s="4"/>
      <c r="AK463" s="4"/>
      <c r="AL463" s="4"/>
      <c r="AM463" s="4"/>
      <c r="AN463" s="4"/>
      <c r="AO463" s="4"/>
      <c r="AP463" s="4"/>
      <c r="AQ463" s="4"/>
      <c r="AR463" s="4"/>
      <c r="AS463" s="4"/>
      <c r="AT463" s="4"/>
      <c r="AU463" s="4"/>
      <c r="AV463" s="4"/>
      <c r="AW463" s="4"/>
      <c r="AX463" s="4"/>
      <c r="AY463" s="4"/>
      <c r="AZ463" s="255"/>
      <c r="BA463" s="255"/>
    </row>
    <row r="464" spans="2:53" s="178" customFormat="1" x14ac:dyDescent="0.3">
      <c r="B464" s="4" t="str">
        <f>Ceny_n!B111</f>
        <v>Matelac zrcadlo grafit</v>
      </c>
      <c r="C464" s="4">
        <f>VLOOKUP(B:B,Ceny!$B$51:$P$116,2,FALSE)</f>
        <v>3038.5</v>
      </c>
      <c r="F464" s="1"/>
      <c r="G464" s="1"/>
      <c r="Z464" s="4"/>
      <c r="AA464" s="4"/>
      <c r="AB464" s="4"/>
      <c r="AC464" s="4"/>
      <c r="AD464" s="257"/>
      <c r="AE464" s="199"/>
      <c r="AF464" s="106"/>
      <c r="AG464" s="4"/>
      <c r="AH464" s="4"/>
      <c r="AI464" s="4"/>
      <c r="AJ464" s="4"/>
      <c r="AK464" s="4"/>
      <c r="AL464" s="4"/>
      <c r="AM464" s="4"/>
      <c r="AN464" s="4"/>
      <c r="AO464" s="4"/>
      <c r="AP464" s="4"/>
      <c r="AQ464" s="4"/>
      <c r="AR464" s="4"/>
      <c r="AS464" s="4"/>
      <c r="AT464" s="4"/>
      <c r="AU464" s="4"/>
      <c r="AV464" s="4"/>
      <c r="AW464" s="4"/>
      <c r="AX464" s="4"/>
      <c r="AY464" s="4"/>
      <c r="AZ464" s="255"/>
      <c r="BA464" s="255"/>
    </row>
    <row r="465" spans="1:53" s="178" customFormat="1" x14ac:dyDescent="0.3">
      <c r="B465" s="4" t="str">
        <f>Ceny_n!B112</f>
        <v>Matelac zrcadlo stříbr.</v>
      </c>
      <c r="C465" s="4">
        <f>VLOOKUP(B:B,Ceny!$B$51:$P$116,2,FALSE)</f>
        <v>2708.9</v>
      </c>
      <c r="F465" s="1"/>
      <c r="G465" s="1"/>
      <c r="Z465" s="4"/>
      <c r="AA465" s="4"/>
      <c r="AB465" s="4"/>
      <c r="AC465" s="4"/>
      <c r="AD465" s="257"/>
      <c r="AE465" s="199"/>
      <c r="AF465" s="106"/>
      <c r="AG465" s="4"/>
      <c r="AH465" s="4"/>
      <c r="AI465" s="4"/>
      <c r="AJ465" s="4"/>
      <c r="AK465" s="4"/>
      <c r="AL465" s="4"/>
      <c r="AM465" s="4"/>
      <c r="AN465" s="4"/>
      <c r="AO465" s="4"/>
      <c r="AP465" s="4"/>
      <c r="AQ465" s="4"/>
      <c r="AR465" s="4"/>
      <c r="AS465" s="4"/>
      <c r="AT465" s="4"/>
      <c r="AU465" s="4"/>
      <c r="AV465" s="4"/>
      <c r="AW465" s="4"/>
      <c r="AX465" s="4"/>
      <c r="AY465" s="4"/>
      <c r="AZ465" s="255"/>
      <c r="BA465" s="255"/>
    </row>
    <row r="466" spans="1:53" s="178" customFormat="1" x14ac:dyDescent="0.3">
      <c r="B466" s="4"/>
      <c r="C466" s="4"/>
      <c r="F466" s="1"/>
      <c r="G466" s="1"/>
      <c r="Z466" s="4"/>
      <c r="AA466" s="4"/>
      <c r="AB466" s="4"/>
      <c r="AC466" s="4"/>
      <c r="AD466" s="257"/>
      <c r="AE466" s="199"/>
      <c r="AF466" s="106"/>
      <c r="AG466" s="4"/>
      <c r="AH466" s="4"/>
      <c r="AI466" s="4"/>
      <c r="AJ466" s="4"/>
      <c r="AK466" s="4"/>
      <c r="AL466" s="4"/>
      <c r="AM466" s="4"/>
      <c r="AN466" s="4"/>
      <c r="AO466" s="4"/>
      <c r="AP466" s="4"/>
      <c r="AQ466" s="4"/>
      <c r="AR466" s="4"/>
      <c r="AS466" s="4"/>
      <c r="AT466" s="4"/>
      <c r="AU466" s="4"/>
      <c r="AV466" s="4"/>
      <c r="AW466" s="4"/>
      <c r="AX466" s="4"/>
      <c r="AY466" s="4"/>
      <c r="AZ466" s="255"/>
      <c r="BA466" s="255"/>
    </row>
    <row r="467" spans="1:53" s="178" customFormat="1" x14ac:dyDescent="0.3">
      <c r="B467" s="4"/>
      <c r="C467" s="4"/>
      <c r="F467" s="1"/>
      <c r="G467" s="1"/>
      <c r="Z467" s="4"/>
      <c r="AA467" s="4"/>
      <c r="AB467" s="4"/>
      <c r="AC467" s="4"/>
      <c r="AD467" s="257"/>
      <c r="AE467" s="199"/>
      <c r="AF467" s="106"/>
      <c r="AG467" s="4"/>
      <c r="AH467" s="4"/>
      <c r="AI467" s="4"/>
      <c r="AJ467" s="4"/>
      <c r="AK467" s="4"/>
      <c r="AL467" s="4"/>
      <c r="AM467" s="4"/>
      <c r="AN467" s="4"/>
      <c r="AO467" s="4"/>
      <c r="AP467" s="4"/>
      <c r="AQ467" s="4"/>
      <c r="AR467" s="4"/>
      <c r="AS467" s="4"/>
      <c r="AT467" s="4"/>
      <c r="AU467" s="4"/>
      <c r="AV467" s="4"/>
      <c r="AW467" s="4"/>
      <c r="AX467" s="4"/>
      <c r="AY467" s="4"/>
      <c r="AZ467" s="255"/>
      <c r="BA467" s="255"/>
    </row>
    <row r="468" spans="1:53" x14ac:dyDescent="0.3">
      <c r="B468" s="4">
        <f>Ceny_n!B118</f>
        <v>0</v>
      </c>
      <c r="C468" s="4">
        <f>Ceny_n!C118</f>
        <v>0</v>
      </c>
      <c r="D468" s="52" t="s">
        <v>684</v>
      </c>
      <c r="F468" s="1"/>
      <c r="G468" s="1"/>
    </row>
    <row r="469" spans="1:53" x14ac:dyDescent="0.3">
      <c r="B469" s="4">
        <f>Ceny_n!B119</f>
        <v>0</v>
      </c>
      <c r="D469" s="52" t="s">
        <v>684</v>
      </c>
      <c r="F469" s="1"/>
      <c r="G469" s="1"/>
    </row>
    <row r="470" spans="1:53" x14ac:dyDescent="0.3">
      <c r="B470" s="4" t="str">
        <f>Ceny_n!B120</f>
        <v>Příplatky úzký</v>
      </c>
      <c r="D470" s="52" t="s">
        <v>684</v>
      </c>
      <c r="F470" s="1"/>
      <c r="G470" s="1"/>
      <c r="Y470" s="4"/>
      <c r="AY470" s="52"/>
    </row>
    <row r="471" spans="1:53" x14ac:dyDescent="0.3">
      <c r="B471" s="4" t="str">
        <f>Ceny_n!B121</f>
        <v>HF</v>
      </c>
      <c r="D471" s="52" t="s">
        <v>684</v>
      </c>
      <c r="F471" s="1"/>
      <c r="G471" s="1"/>
      <c r="Y471" s="4"/>
      <c r="AB471" s="84"/>
      <c r="AY471" s="52"/>
    </row>
    <row r="472" spans="1:53" x14ac:dyDescent="0.3">
      <c r="B472" s="4" t="str">
        <f>Ceny_n!B122</f>
        <v>HK, HS,HL</v>
      </c>
      <c r="D472" s="52" t="s">
        <v>684</v>
      </c>
      <c r="F472" s="1"/>
      <c r="G472" s="1"/>
      <c r="Y472" s="4"/>
      <c r="AB472" s="84"/>
      <c r="AY472" s="52"/>
    </row>
    <row r="473" spans="1:53" x14ac:dyDescent="0.3">
      <c r="B473" s="4" t="str">
        <f>Ceny_n!B123</f>
        <v>HKS</v>
      </c>
      <c r="D473" s="52" t="s">
        <v>684</v>
      </c>
      <c r="F473" s="1"/>
      <c r="G473" s="1"/>
      <c r="Y473" s="4"/>
      <c r="AB473" s="84"/>
      <c r="AY473" s="52"/>
    </row>
    <row r="474" spans="1:53" x14ac:dyDescent="0.3">
      <c r="B474" s="4" t="str">
        <f>Ceny_n!B124</f>
        <v>Příplatek široký</v>
      </c>
      <c r="D474" s="52" t="s">
        <v>684</v>
      </c>
      <c r="F474" s="1"/>
      <c r="G474" s="1"/>
      <c r="Y474" s="4"/>
      <c r="AB474" s="84"/>
      <c r="AY474" s="52"/>
    </row>
    <row r="475" spans="1:53" ht="18" x14ac:dyDescent="0.35">
      <c r="A475" s="114" t="s">
        <v>7</v>
      </c>
      <c r="B475" s="4">
        <f>Ceny_n!B125</f>
        <v>0</v>
      </c>
      <c r="D475" s="52" t="s">
        <v>684</v>
      </c>
      <c r="F475" s="1"/>
      <c r="G475" s="1"/>
      <c r="Y475" s="4"/>
      <c r="AB475" s="84"/>
      <c r="AY475" s="52"/>
    </row>
    <row r="476" spans="1:53" x14ac:dyDescent="0.3">
      <c r="A476" s="1122" t="s">
        <v>85</v>
      </c>
      <c r="B476" s="4">
        <f>Ceny_n!B126</f>
        <v>0</v>
      </c>
      <c r="D476" s="52" t="s">
        <v>684</v>
      </c>
      <c r="F476" s="1"/>
      <c r="G476" s="1"/>
      <c r="Y476" s="4"/>
      <c r="AB476" s="84"/>
      <c r="AY476" s="52"/>
    </row>
    <row r="477" spans="1:53" x14ac:dyDescent="0.3">
      <c r="A477" s="1122"/>
      <c r="B477" s="4">
        <f>Ceny_n!B127</f>
        <v>0</v>
      </c>
      <c r="D477" s="52" t="s">
        <v>684</v>
      </c>
      <c r="Y477" s="4"/>
      <c r="AB477" s="84"/>
      <c r="AY477" s="52"/>
    </row>
    <row r="478" spans="1:53" x14ac:dyDescent="0.3">
      <c r="A478" s="1122"/>
      <c r="B478" s="4">
        <f>Ceny_n!B128</f>
        <v>0</v>
      </c>
      <c r="Y478" s="4"/>
      <c r="AB478" s="84"/>
      <c r="AY478" s="52"/>
    </row>
    <row r="479" spans="1:53" ht="43.8" x14ac:dyDescent="0.35">
      <c r="A479" s="1122"/>
      <c r="B479" s="4" t="str">
        <f>Ceny_n!B129</f>
        <v>Rámeček</v>
      </c>
      <c r="C479" s="114"/>
      <c r="D479" s="42" t="s">
        <v>8</v>
      </c>
      <c r="Y479" s="4"/>
      <c r="AB479" s="84"/>
      <c r="AY479" s="52"/>
    </row>
    <row r="480" spans="1:53" x14ac:dyDescent="0.3">
      <c r="A480" s="1122" t="s">
        <v>86</v>
      </c>
      <c r="B480" s="4" t="str">
        <f>Ceny_n!B130</f>
        <v xml:space="preserve">Standardní vrtání otvoru pro misku závěsu je 3 mm od hrany. </v>
      </c>
      <c r="C480" s="83" t="str">
        <f>Ceny_n!$B$147</f>
        <v>Naložený clip</v>
      </c>
      <c r="D480" s="151">
        <v>92960</v>
      </c>
      <c r="E480" s="151">
        <v>92962</v>
      </c>
      <c r="Y480" s="4"/>
      <c r="AB480" s="84"/>
      <c r="AY480" s="52"/>
    </row>
    <row r="481" spans="1:51" x14ac:dyDescent="0.3">
      <c r="A481" s="1122"/>
      <c r="B481" s="4" t="str">
        <f>Ceny_n!B131</f>
        <v>Uvedené ceny jsou bez DPH a nezahrnují cenu požadovaného kování!</v>
      </c>
      <c r="C481" s="83" t="str">
        <f>Ceny_n!$B$148</f>
        <v>Polonaložený clip</v>
      </c>
      <c r="D481" s="151">
        <v>92960</v>
      </c>
      <c r="E481" s="151">
        <v>92962</v>
      </c>
      <c r="Y481" s="4"/>
      <c r="AB481" s="84"/>
      <c r="AY481" s="52"/>
    </row>
    <row r="482" spans="1:51" x14ac:dyDescent="0.3">
      <c r="A482" s="1122"/>
      <c r="B482" s="4" t="str">
        <f>Ceny_n!B132</f>
        <v>Typ profilu</v>
      </c>
      <c r="C482" s="83" t="str">
        <f>Ceny_n!$B$149</f>
        <v>Vložený clip</v>
      </c>
      <c r="D482" s="82">
        <v>92974</v>
      </c>
      <c r="E482" s="82">
        <v>92969</v>
      </c>
      <c r="Y482" s="4"/>
      <c r="AB482" s="84"/>
      <c r="AY482" s="52"/>
    </row>
    <row r="483" spans="1:51" x14ac:dyDescent="0.3">
      <c r="A483" s="1122"/>
      <c r="B483" s="4" t="str">
        <f>Ceny_n!B133</f>
        <v>Typ skla</v>
      </c>
      <c r="C483" s="83" t="str">
        <f>Ceny_n!$B$150</f>
        <v>Úhel 45°</v>
      </c>
      <c r="D483" s="82">
        <v>92960</v>
      </c>
      <c r="E483" s="82">
        <v>92962</v>
      </c>
      <c r="Y483" s="4"/>
      <c r="AB483" s="84"/>
      <c r="AY483" s="52"/>
    </row>
    <row r="484" spans="1:51" x14ac:dyDescent="0.3">
      <c r="A484" s="1122"/>
      <c r="B484" s="4" t="str">
        <f>Ceny_n!B134</f>
        <v>Počet kusů</v>
      </c>
      <c r="C484" s="41" t="str">
        <f>Ceny_n!$B$151</f>
        <v>Naložený</v>
      </c>
      <c r="D484" s="82">
        <v>92960</v>
      </c>
      <c r="E484" s="82">
        <v>92962</v>
      </c>
      <c r="Y484" s="4"/>
      <c r="AB484" s="84"/>
      <c r="AY484" s="52"/>
    </row>
    <row r="485" spans="1:51" x14ac:dyDescent="0.3">
      <c r="A485" s="1122"/>
      <c r="B485" s="4" t="str">
        <f>Ceny_n!B135</f>
        <v xml:space="preserve">Šířka </v>
      </c>
      <c r="C485" s="41" t="str">
        <f>Ceny_n!$B$152</f>
        <v>Polonaložený</v>
      </c>
      <c r="D485" s="82">
        <v>92960</v>
      </c>
      <c r="E485" s="82">
        <v>92962</v>
      </c>
      <c r="Y485" s="4"/>
      <c r="AB485" s="84"/>
      <c r="AY485" s="52"/>
    </row>
    <row r="486" spans="1:51" x14ac:dyDescent="0.3">
      <c r="A486" s="1118"/>
      <c r="B486" s="4" t="str">
        <f>Ceny_n!B136</f>
        <v>Výška</v>
      </c>
      <c r="C486" s="41" t="str">
        <f>Ceny_n!$B$153</f>
        <v>Vložený</v>
      </c>
      <c r="D486" s="82">
        <v>92961</v>
      </c>
      <c r="E486" s="82">
        <v>92963</v>
      </c>
      <c r="Y486" s="4"/>
      <c r="AB486" s="84"/>
      <c r="AY486" s="52"/>
    </row>
    <row r="487" spans="1:51" x14ac:dyDescent="0.3">
      <c r="A487" s="1118"/>
      <c r="B487" s="4" t="str">
        <f>Ceny_n!B137</f>
        <v>Poznámky</v>
      </c>
      <c r="C487" s="41" t="str">
        <f>Ceny_n!$B$154</f>
        <v>Úhel 45°</v>
      </c>
      <c r="D487" s="82">
        <v>92960</v>
      </c>
      <c r="E487" s="82">
        <v>92962</v>
      </c>
      <c r="Y487" s="4"/>
      <c r="AB487" s="84"/>
      <c r="AY487" s="52"/>
    </row>
    <row r="488" spans="1:51" x14ac:dyDescent="0.3">
      <c r="A488" s="1118"/>
      <c r="B488" s="4" t="str">
        <f>Ceny_n!B138</f>
        <v>Cena rámečků celkem</v>
      </c>
      <c r="C488" s="41" t="str">
        <f>Ceny_n!$B$155</f>
        <v>Naložený s opačnou pružinou</v>
      </c>
      <c r="D488" s="82">
        <v>92960</v>
      </c>
      <c r="E488" s="82">
        <v>92962</v>
      </c>
      <c r="Y488" s="4"/>
      <c r="AB488" s="84"/>
      <c r="AY488" s="52"/>
    </row>
    <row r="489" spans="1:51" x14ac:dyDescent="0.3">
      <c r="A489" s="1118"/>
      <c r="B489" s="4" t="str">
        <f>Ceny_n!B139</f>
        <v>Cena kování celkem</v>
      </c>
      <c r="C489" s="41" t="str">
        <f>Ceny_n!$B$156</f>
        <v>Vložený s opačnou pružinou</v>
      </c>
      <c r="D489" s="82">
        <v>92960</v>
      </c>
      <c r="E489" s="82">
        <v>92962</v>
      </c>
      <c r="Y489" s="4"/>
      <c r="AB489" s="84"/>
      <c r="AY489" s="52"/>
    </row>
    <row r="490" spans="1:51" x14ac:dyDescent="0.3">
      <c r="A490" s="1118"/>
      <c r="B490" s="4" t="str">
        <f>Ceny_n!B140</f>
        <v>Cena za kompletní objednávku</v>
      </c>
      <c r="C490" s="41" t="str">
        <f>Ceny_n!$B$157</f>
        <v>Clip na vrut H2</v>
      </c>
      <c r="D490" s="1118"/>
      <c r="Y490" s="4"/>
      <c r="AB490" s="84"/>
      <c r="AY490" s="52"/>
    </row>
    <row r="491" spans="1:51" x14ac:dyDescent="0.3">
      <c r="A491" s="1118"/>
      <c r="B491" s="4" t="str">
        <f>Ceny_n!B141</f>
        <v>Závěsy</v>
      </c>
      <c r="C491" s="41" t="str">
        <f>Ceny_n!$B$158</f>
        <v>Clip na vrut H4</v>
      </c>
      <c r="D491" s="1118"/>
      <c r="Y491" s="4"/>
      <c r="AB491" s="84"/>
      <c r="AY491" s="52"/>
    </row>
    <row r="492" spans="1:51" x14ac:dyDescent="0.3">
      <c r="A492" s="1118"/>
      <c r="B492" s="4" t="str">
        <f>Ceny_n!B142</f>
        <v>Aventos ostatní</v>
      </c>
      <c r="C492" s="41" t="str">
        <f>Ceny_n!$B$159</f>
        <v>Clip na eurošroub H2</v>
      </c>
      <c r="D492" s="1118"/>
      <c r="Y492" s="4"/>
      <c r="AY492" s="52"/>
    </row>
    <row r="493" spans="1:51" x14ac:dyDescent="0.3">
      <c r="A493" s="1118"/>
      <c r="B493" s="4" t="str">
        <f>Ceny_n!B143</f>
        <v>STRONG s tlumením</v>
      </c>
      <c r="C493" s="41" t="str">
        <f>Ceny_n!$B$160</f>
        <v>Clip na eurošroub H4</v>
      </c>
      <c r="D493" s="1118"/>
      <c r="Y493" s="4"/>
      <c r="AY493" s="52"/>
    </row>
    <row r="494" spans="1:51" ht="18" x14ac:dyDescent="0.35">
      <c r="A494" s="86" t="s">
        <v>9</v>
      </c>
      <c r="B494" s="4" t="str">
        <f>Ceny_n!B144</f>
        <v>Závěsy se zvedacím pístem</v>
      </c>
      <c r="C494" s="41" t="str">
        <f>Ceny_n!$B$161</f>
        <v>Slide on na vrut H2</v>
      </c>
      <c r="D494" s="1118"/>
      <c r="Y494" s="4"/>
      <c r="AY494" s="52"/>
    </row>
    <row r="495" spans="1:51" x14ac:dyDescent="0.3">
      <c r="A495" s="1123" t="s">
        <v>11</v>
      </c>
      <c r="B495" s="4" t="str">
        <f>Ceny_n!B145</f>
        <v>Horní dvířko</v>
      </c>
      <c r="C495" s="41" t="str">
        <f>Ceny_n!$B$162</f>
        <v>Slide on na vrut H4</v>
      </c>
      <c r="D495" s="1118"/>
      <c r="Y495" s="4"/>
      <c r="AY495" s="52"/>
    </row>
    <row r="496" spans="1:51" x14ac:dyDescent="0.3">
      <c r="A496" s="1124"/>
      <c r="B496" s="4" t="str">
        <f>Ceny_n!B146</f>
        <v>Spodní dvířko</v>
      </c>
      <c r="C496" s="41" t="str">
        <f>Ceny_n!$B$163</f>
        <v>Slide on na eurošroub H2</v>
      </c>
      <c r="D496" s="1118"/>
      <c r="Y496" s="4"/>
      <c r="AY496" s="52"/>
    </row>
    <row r="497" spans="1:51" x14ac:dyDescent="0.3">
      <c r="A497" s="1124"/>
      <c r="B497" s="4" t="str">
        <f>Ceny_n!B147</f>
        <v>Naložený clip</v>
      </c>
      <c r="C497" s="41" t="str">
        <f>Ceny_n!$B$164</f>
        <v>Slide on na eurošroub H4</v>
      </c>
      <c r="D497" s="1118"/>
      <c r="Y497" s="4"/>
      <c r="AY497" s="52"/>
    </row>
    <row r="498" spans="1:51" ht="43.8" x14ac:dyDescent="0.35">
      <c r="A498" s="1124"/>
      <c r="B498" s="87"/>
      <c r="C498" s="88"/>
      <c r="D498" s="42" t="s">
        <v>8</v>
      </c>
      <c r="Y498" s="4"/>
      <c r="AY498" s="52"/>
    </row>
    <row r="499" spans="1:51" x14ac:dyDescent="0.3">
      <c r="A499" s="1124"/>
      <c r="B499" s="82"/>
      <c r="C499" s="83"/>
      <c r="D499" s="82"/>
      <c r="E499" s="82"/>
      <c r="Y499" s="4"/>
      <c r="AY499" s="52"/>
    </row>
    <row r="500" spans="1:51" x14ac:dyDescent="0.3">
      <c r="A500" s="1124"/>
      <c r="B500" s="82"/>
      <c r="C500" s="83"/>
      <c r="D500" s="82"/>
      <c r="E500" s="82"/>
      <c r="Y500" s="4"/>
      <c r="AY500" s="52"/>
    </row>
    <row r="501" spans="1:51" x14ac:dyDescent="0.3">
      <c r="A501" s="1124"/>
      <c r="B501" s="82"/>
      <c r="C501" s="83"/>
      <c r="D501" s="82"/>
      <c r="E501" s="82"/>
      <c r="Y501" s="4"/>
      <c r="AY501" s="52"/>
    </row>
    <row r="502" spans="1:51" x14ac:dyDescent="0.3">
      <c r="A502" s="1125"/>
      <c r="B502" s="82"/>
      <c r="C502" s="83"/>
      <c r="D502" s="82"/>
      <c r="E502" s="82"/>
      <c r="Y502" s="4"/>
      <c r="AY502" s="52"/>
    </row>
    <row r="503" spans="1:51" x14ac:dyDescent="0.3">
      <c r="A503" s="1119" t="s">
        <v>12</v>
      </c>
      <c r="B503" s="82"/>
      <c r="C503" s="41"/>
      <c r="D503" s="151"/>
      <c r="E503" s="151"/>
      <c r="Y503" s="4"/>
      <c r="AY503" s="52"/>
    </row>
    <row r="504" spans="1:51" x14ac:dyDescent="0.3">
      <c r="A504" s="1120"/>
      <c r="B504" s="85"/>
      <c r="C504" s="41"/>
      <c r="D504" s="152"/>
      <c r="E504" s="151"/>
      <c r="Y504" s="4"/>
      <c r="AY504" s="52"/>
    </row>
    <row r="505" spans="1:51" x14ac:dyDescent="0.3">
      <c r="A505" s="1120"/>
      <c r="B505" s="85"/>
      <c r="C505" s="153"/>
      <c r="D505" s="152"/>
      <c r="E505" s="151"/>
      <c r="Y505" s="4"/>
      <c r="AY505" s="52"/>
    </row>
    <row r="506" spans="1:51" x14ac:dyDescent="0.3">
      <c r="A506" s="1120"/>
      <c r="B506" s="85"/>
      <c r="C506" s="41"/>
      <c r="D506" s="85"/>
      <c r="E506" s="82"/>
      <c r="Y506" s="4"/>
      <c r="AY506" s="52"/>
    </row>
    <row r="507" spans="1:51" x14ac:dyDescent="0.3">
      <c r="A507" s="1120"/>
      <c r="B507" s="82"/>
      <c r="C507" s="83"/>
      <c r="D507" s="82"/>
      <c r="E507" s="82"/>
      <c r="Y507" s="4"/>
      <c r="AY507" s="52"/>
    </row>
    <row r="508" spans="1:51" x14ac:dyDescent="0.3">
      <c r="A508" s="1120"/>
      <c r="B508" s="82"/>
      <c r="C508" s="83"/>
      <c r="D508" s="82"/>
      <c r="E508" s="82"/>
      <c r="Y508" s="4"/>
      <c r="AY508" s="52"/>
    </row>
    <row r="509" spans="1:51" x14ac:dyDescent="0.3">
      <c r="A509" s="1121"/>
      <c r="B509" s="82"/>
      <c r="C509" s="83"/>
      <c r="D509" s="82"/>
      <c r="E509" s="82"/>
      <c r="Y509" s="4"/>
      <c r="AY509" s="52"/>
    </row>
    <row r="510" spans="1:51" x14ac:dyDescent="0.3">
      <c r="A510" s="1118"/>
      <c r="B510" s="82"/>
      <c r="C510" s="41"/>
      <c r="D510" s="82"/>
      <c r="Y510" s="4"/>
      <c r="AY510" s="52"/>
    </row>
    <row r="511" spans="1:51" x14ac:dyDescent="0.3">
      <c r="A511" s="1118"/>
      <c r="B511" s="82"/>
      <c r="C511" s="41"/>
      <c r="D511" s="82"/>
      <c r="E511" s="82"/>
      <c r="Y511" s="4"/>
      <c r="AY511" s="52"/>
    </row>
    <row r="512" spans="1:51" x14ac:dyDescent="0.3">
      <c r="A512" s="89"/>
      <c r="B512" s="85"/>
      <c r="C512" s="41"/>
      <c r="D512" s="85"/>
      <c r="Y512" s="4"/>
      <c r="AY512" s="52"/>
    </row>
    <row r="513" spans="1:51" x14ac:dyDescent="0.3">
      <c r="A513" s="89"/>
      <c r="B513" s="85"/>
      <c r="C513" s="41"/>
      <c r="D513" s="82"/>
      <c r="E513" s="82"/>
      <c r="Y513" s="4"/>
      <c r="AY513" s="52"/>
    </row>
    <row r="514" spans="1:51" ht="18" x14ac:dyDescent="0.35">
      <c r="A514" s="86" t="s">
        <v>111</v>
      </c>
      <c r="B514" s="82"/>
      <c r="C514" s="41"/>
      <c r="D514" s="1118"/>
      <c r="Y514" s="4"/>
      <c r="AY514" s="52"/>
    </row>
    <row r="515" spans="1:51" x14ac:dyDescent="0.3">
      <c r="A515" s="23" t="s">
        <v>11</v>
      </c>
      <c r="B515" s="82"/>
      <c r="C515" s="41"/>
      <c r="D515" s="1118"/>
      <c r="Y515" s="4"/>
      <c r="AY515" s="52"/>
    </row>
    <row r="516" spans="1:51" x14ac:dyDescent="0.3">
      <c r="A516" s="1122" t="s">
        <v>12</v>
      </c>
      <c r="B516" s="85"/>
      <c r="C516" s="22"/>
      <c r="D516" s="89"/>
      <c r="Y516" s="4"/>
      <c r="AY516" s="52"/>
    </row>
    <row r="517" spans="1:51" x14ac:dyDescent="0.3">
      <c r="A517" s="1122"/>
      <c r="B517" s="89"/>
      <c r="C517" s="89"/>
      <c r="D517" s="89"/>
      <c r="Y517" s="4"/>
      <c r="AY517" s="52"/>
    </row>
    <row r="518" spans="1:51" ht="18" x14ac:dyDescent="0.35">
      <c r="A518" s="1122"/>
      <c r="B518" s="87"/>
      <c r="C518" s="88"/>
      <c r="D518" s="42"/>
      <c r="Y518" s="4"/>
      <c r="AY518" s="52"/>
    </row>
    <row r="519" spans="1:51" x14ac:dyDescent="0.3">
      <c r="A519" s="1122"/>
      <c r="B519" s="90"/>
      <c r="C519" s="91"/>
      <c r="D519" s="92"/>
      <c r="Y519" s="4"/>
      <c r="AY519" s="52"/>
    </row>
    <row r="520" spans="1:51" x14ac:dyDescent="0.3">
      <c r="A520" s="1118"/>
      <c r="B520" s="82">
        <v>92584</v>
      </c>
      <c r="C520" s="83" t="str">
        <f>Ceny_n!$B$147</f>
        <v>Naložený clip</v>
      </c>
      <c r="D520" s="82">
        <v>92596</v>
      </c>
      <c r="E520" s="82">
        <v>92597</v>
      </c>
      <c r="Y520" s="4"/>
      <c r="AY520" s="52"/>
    </row>
    <row r="521" spans="1:51" x14ac:dyDescent="0.3">
      <c r="A521" s="1118"/>
      <c r="B521" s="82">
        <v>92585</v>
      </c>
      <c r="C521" s="83" t="str">
        <f>Ceny_n!$B$148</f>
        <v>Polonaložený clip</v>
      </c>
      <c r="D521" s="82">
        <v>92596</v>
      </c>
      <c r="E521" s="82">
        <v>92597</v>
      </c>
      <c r="Y521" s="4"/>
      <c r="AY521" s="52"/>
    </row>
    <row r="522" spans="1:51" x14ac:dyDescent="0.3">
      <c r="A522" s="89"/>
      <c r="B522" s="82">
        <v>92586</v>
      </c>
      <c r="C522" s="83" t="str">
        <f>Ceny_n!$B$149</f>
        <v>Vložený clip</v>
      </c>
      <c r="D522" s="82">
        <v>92598</v>
      </c>
      <c r="E522" s="85">
        <v>92599</v>
      </c>
      <c r="Y522" s="4"/>
      <c r="AY522" s="52"/>
    </row>
    <row r="523" spans="1:51" x14ac:dyDescent="0.3">
      <c r="A523" s="89"/>
      <c r="B523" s="82">
        <v>92588</v>
      </c>
      <c r="C523" s="41" t="str">
        <f>Ceny_n!$B$175</f>
        <v>45° clip</v>
      </c>
      <c r="D523" s="82">
        <v>92598</v>
      </c>
      <c r="E523" s="85">
        <v>92599</v>
      </c>
      <c r="Y523" s="4"/>
      <c r="AY523" s="52"/>
    </row>
    <row r="524" spans="1:51" x14ac:dyDescent="0.3">
      <c r="A524" s="80"/>
      <c r="B524" s="82">
        <v>92597</v>
      </c>
      <c r="C524" s="41" t="str">
        <f>Ceny_n!$B$176</f>
        <v xml:space="preserve">Clip na eurošroub H0 </v>
      </c>
      <c r="D524" s="1118"/>
      <c r="Y524" s="4"/>
      <c r="AY524" s="52"/>
    </row>
    <row r="525" spans="1:51" ht="18" x14ac:dyDescent="0.35">
      <c r="A525" s="86" t="s">
        <v>112</v>
      </c>
      <c r="B525" s="82">
        <v>92596</v>
      </c>
      <c r="C525" s="41" t="str">
        <f>Ceny_n!$B$177</f>
        <v>Clip na vrut H0</v>
      </c>
      <c r="D525" s="1118"/>
      <c r="Y525" s="4"/>
      <c r="AY525" s="52"/>
    </row>
    <row r="526" spans="1:51" x14ac:dyDescent="0.3">
      <c r="A526" s="23" t="s">
        <v>11</v>
      </c>
      <c r="B526" s="85">
        <v>92599</v>
      </c>
      <c r="C526" s="41" t="str">
        <f>Ceny_n!$B$159</f>
        <v>Clip na eurošroub H2</v>
      </c>
      <c r="D526" s="89"/>
      <c r="Y526" s="4"/>
      <c r="AY526" s="52"/>
    </row>
    <row r="527" spans="1:51" x14ac:dyDescent="0.3">
      <c r="A527" s="1122" t="s">
        <v>12</v>
      </c>
      <c r="B527" s="85">
        <v>92598</v>
      </c>
      <c r="C527" s="41" t="str">
        <f>Ceny_n!$B$157</f>
        <v>Clip na vrut H2</v>
      </c>
      <c r="D527" s="89"/>
      <c r="Y527" s="4"/>
      <c r="AY527" s="52"/>
    </row>
    <row r="528" spans="1:51" x14ac:dyDescent="0.3">
      <c r="A528" s="1122"/>
      <c r="B528" s="80"/>
      <c r="C528" s="80"/>
      <c r="D528" s="80"/>
      <c r="Y528" s="4"/>
      <c r="AY528" s="52"/>
    </row>
    <row r="529" spans="1:51" ht="43.8" x14ac:dyDescent="0.35">
      <c r="A529" s="1122"/>
      <c r="B529" s="87"/>
      <c r="C529" s="88"/>
      <c r="D529" s="42" t="s">
        <v>8</v>
      </c>
      <c r="Y529" s="4"/>
      <c r="AY529" s="52"/>
    </row>
    <row r="530" spans="1:51" x14ac:dyDescent="0.3">
      <c r="A530" s="1122"/>
      <c r="B530" s="82" t="s">
        <v>810</v>
      </c>
      <c r="C530" s="83" t="str">
        <f>Ceny_n!$B$147</f>
        <v>Naložený clip</v>
      </c>
      <c r="D530" s="82" t="s">
        <v>113</v>
      </c>
      <c r="E530" s="82" t="s">
        <v>119</v>
      </c>
    </row>
    <row r="531" spans="1:51" x14ac:dyDescent="0.3">
      <c r="A531" s="1118"/>
      <c r="B531" s="82" t="s">
        <v>114</v>
      </c>
      <c r="C531" s="83" t="str">
        <f>Ceny_n!$B$147</f>
        <v>Naložený clip</v>
      </c>
      <c r="D531" s="82" t="s">
        <v>113</v>
      </c>
      <c r="E531" s="82" t="s">
        <v>119</v>
      </c>
    </row>
    <row r="532" spans="1:51" x14ac:dyDescent="0.3">
      <c r="A532" s="1118"/>
      <c r="B532" s="82" t="s">
        <v>115</v>
      </c>
      <c r="C532" s="83" t="str">
        <f>Ceny_n!$B$148</f>
        <v>Polonaložený clip</v>
      </c>
      <c r="D532" s="82" t="s">
        <v>113</v>
      </c>
      <c r="E532" s="82" t="s">
        <v>119</v>
      </c>
    </row>
    <row r="533" spans="1:51" x14ac:dyDescent="0.3">
      <c r="A533" s="89"/>
      <c r="B533" s="82" t="s">
        <v>116</v>
      </c>
      <c r="C533" s="83" t="str">
        <f>Ceny_n!$B$149</f>
        <v>Vložený clip</v>
      </c>
      <c r="D533" s="82" t="s">
        <v>117</v>
      </c>
      <c r="E533" s="85" t="s">
        <v>146</v>
      </c>
    </row>
    <row r="534" spans="1:51" x14ac:dyDescent="0.3">
      <c r="A534" s="89"/>
      <c r="B534" s="82" t="s">
        <v>118</v>
      </c>
      <c r="C534" s="41" t="str">
        <f>Ceny_n!$B$175</f>
        <v>45° clip</v>
      </c>
      <c r="D534" s="82" t="s">
        <v>117</v>
      </c>
      <c r="E534" s="85" t="s">
        <v>146</v>
      </c>
    </row>
    <row r="535" spans="1:51" x14ac:dyDescent="0.3">
      <c r="B535" s="82" t="s">
        <v>119</v>
      </c>
      <c r="C535" s="41" t="str">
        <f>Ceny_n!$B$176</f>
        <v xml:space="preserve">Clip na eurošroub H0 </v>
      </c>
      <c r="D535" s="1118"/>
    </row>
    <row r="536" spans="1:51" x14ac:dyDescent="0.3">
      <c r="B536" s="82" t="s">
        <v>113</v>
      </c>
      <c r="C536" s="41" t="str">
        <f>Ceny_n!$B$177</f>
        <v>Clip na vrut H0</v>
      </c>
      <c r="D536" s="1118"/>
    </row>
    <row r="537" spans="1:51" x14ac:dyDescent="0.3">
      <c r="B537" s="85" t="s">
        <v>146</v>
      </c>
      <c r="C537" s="41" t="str">
        <f>Ceny_n!$B$159</f>
        <v>Clip na eurošroub H2</v>
      </c>
      <c r="D537" s="89"/>
    </row>
    <row r="538" spans="1:51" x14ac:dyDescent="0.3">
      <c r="B538" s="85" t="s">
        <v>117</v>
      </c>
      <c r="C538" s="41" t="str">
        <f>Ceny_n!$B$157</f>
        <v>Clip na vrut H2</v>
      </c>
      <c r="D538" s="89"/>
    </row>
    <row r="539" spans="1:51" x14ac:dyDescent="0.3">
      <c r="A539" s="1108" t="s">
        <v>1056</v>
      </c>
    </row>
    <row r="540" spans="1:51" x14ac:dyDescent="0.3">
      <c r="A540" s="1108"/>
      <c r="B540" s="4">
        <v>104717</v>
      </c>
      <c r="C540" s="4" t="s">
        <v>1035</v>
      </c>
      <c r="D540" s="52">
        <v>106403</v>
      </c>
      <c r="E540" s="52">
        <v>119240</v>
      </c>
      <c r="F540" s="52">
        <v>136276</v>
      </c>
    </row>
    <row r="541" spans="1:51" x14ac:dyDescent="0.3">
      <c r="A541" s="1108"/>
      <c r="B541" s="4">
        <v>104718</v>
      </c>
      <c r="C541" s="4" t="s">
        <v>1036</v>
      </c>
      <c r="D541" s="178">
        <v>106403</v>
      </c>
      <c r="E541" s="178">
        <v>119240</v>
      </c>
      <c r="F541" s="178">
        <v>136276</v>
      </c>
    </row>
    <row r="542" spans="1:51" x14ac:dyDescent="0.3">
      <c r="A542" s="1108"/>
      <c r="B542" s="4">
        <v>104719</v>
      </c>
      <c r="C542" s="4" t="s">
        <v>1037</v>
      </c>
      <c r="D542" s="178">
        <v>106403</v>
      </c>
      <c r="E542" s="178">
        <v>119240</v>
      </c>
      <c r="F542" s="178">
        <v>136276</v>
      </c>
    </row>
    <row r="543" spans="1:51" x14ac:dyDescent="0.3">
      <c r="A543" s="1108"/>
      <c r="B543" s="4">
        <v>104802</v>
      </c>
      <c r="C543" s="4" t="s">
        <v>1039</v>
      </c>
      <c r="D543" s="178">
        <v>106403</v>
      </c>
      <c r="E543" s="178">
        <v>119240</v>
      </c>
      <c r="F543" s="178">
        <v>136276</v>
      </c>
    </row>
    <row r="544" spans="1:51" x14ac:dyDescent="0.3">
      <c r="A544" s="1108"/>
      <c r="B544" s="4">
        <v>232346</v>
      </c>
      <c r="C544" s="4" t="s">
        <v>1041</v>
      </c>
      <c r="D544" s="178">
        <v>106403</v>
      </c>
      <c r="E544" s="178">
        <v>119240</v>
      </c>
      <c r="F544" s="178">
        <v>136276</v>
      </c>
    </row>
    <row r="545" spans="1:6" x14ac:dyDescent="0.3">
      <c r="A545" s="1108"/>
      <c r="B545" s="4">
        <v>104189</v>
      </c>
      <c r="C545" s="4" t="s">
        <v>1044</v>
      </c>
      <c r="D545" s="178">
        <v>106403</v>
      </c>
      <c r="E545" s="178">
        <v>119240</v>
      </c>
      <c r="F545" s="178">
        <v>136276</v>
      </c>
    </row>
    <row r="546" spans="1:6" x14ac:dyDescent="0.3">
      <c r="A546" s="1108"/>
      <c r="B546" s="4">
        <v>104257</v>
      </c>
      <c r="C546" s="4" t="s">
        <v>1045</v>
      </c>
      <c r="D546" s="178">
        <v>106403</v>
      </c>
      <c r="E546" s="178">
        <v>119240</v>
      </c>
      <c r="F546" s="178">
        <v>136276</v>
      </c>
    </row>
    <row r="547" spans="1:6" x14ac:dyDescent="0.3">
      <c r="A547" s="1108"/>
      <c r="B547" s="4">
        <v>104190</v>
      </c>
      <c r="C547" s="4" t="s">
        <v>1046</v>
      </c>
      <c r="D547" s="178">
        <v>106403</v>
      </c>
      <c r="E547" s="178">
        <v>119240</v>
      </c>
      <c r="F547" s="178">
        <v>136276</v>
      </c>
    </row>
    <row r="548" spans="1:6" x14ac:dyDescent="0.3">
      <c r="A548" s="1108"/>
      <c r="B548" s="4">
        <v>104191</v>
      </c>
      <c r="C548" s="4" t="s">
        <v>1047</v>
      </c>
      <c r="D548" s="178">
        <v>106403</v>
      </c>
      <c r="E548" s="178">
        <v>119240</v>
      </c>
      <c r="F548" s="178">
        <v>136276</v>
      </c>
    </row>
    <row r="549" spans="1:6" x14ac:dyDescent="0.3">
      <c r="A549" s="1108"/>
      <c r="B549" s="4">
        <v>104574</v>
      </c>
      <c r="C549" s="4" t="s">
        <v>1053</v>
      </c>
      <c r="D549" s="178">
        <v>106403</v>
      </c>
      <c r="E549" s="178">
        <v>119240</v>
      </c>
      <c r="F549" s="178">
        <v>136276</v>
      </c>
    </row>
    <row r="550" spans="1:6" x14ac:dyDescent="0.3">
      <c r="A550" s="1108"/>
      <c r="B550" s="221">
        <v>104801</v>
      </c>
      <c r="C550" s="4" t="s">
        <v>1038</v>
      </c>
      <c r="D550" s="178">
        <v>106403</v>
      </c>
      <c r="E550" s="178">
        <v>119240</v>
      </c>
      <c r="F550" s="178">
        <v>136276</v>
      </c>
    </row>
    <row r="551" spans="1:6" x14ac:dyDescent="0.3">
      <c r="A551" s="1108"/>
      <c r="B551" s="221">
        <v>264246</v>
      </c>
      <c r="C551" s="4" t="s">
        <v>1040</v>
      </c>
      <c r="D551" s="178">
        <v>106403</v>
      </c>
      <c r="E551" s="178">
        <v>119240</v>
      </c>
      <c r="F551" s="178">
        <v>136276</v>
      </c>
    </row>
    <row r="552" spans="1:6" x14ac:dyDescent="0.3">
      <c r="A552" s="1108"/>
      <c r="B552" s="221">
        <v>264266</v>
      </c>
      <c r="C552" s="4" t="s">
        <v>1042</v>
      </c>
      <c r="D552" s="178">
        <v>106403</v>
      </c>
      <c r="E552" s="178">
        <v>119240</v>
      </c>
      <c r="F552" s="178">
        <v>136276</v>
      </c>
    </row>
    <row r="553" spans="1:6" x14ac:dyDescent="0.3">
      <c r="A553" s="1108"/>
      <c r="B553" s="221">
        <v>208857</v>
      </c>
      <c r="C553" s="4" t="s">
        <v>1043</v>
      </c>
      <c r="D553" s="178">
        <v>106403</v>
      </c>
      <c r="E553" s="178">
        <v>119240</v>
      </c>
      <c r="F553" s="178">
        <v>136276</v>
      </c>
    </row>
    <row r="554" spans="1:6" x14ac:dyDescent="0.3">
      <c r="A554" s="1108"/>
      <c r="B554" s="221">
        <v>104570</v>
      </c>
      <c r="C554" s="4" t="s">
        <v>1048</v>
      </c>
      <c r="D554" s="178">
        <v>106403</v>
      </c>
      <c r="E554" s="178">
        <v>119240</v>
      </c>
      <c r="F554" s="178">
        <v>136276</v>
      </c>
    </row>
    <row r="555" spans="1:6" x14ac:dyDescent="0.3">
      <c r="A555" s="1108"/>
      <c r="B555" s="221">
        <v>104572</v>
      </c>
      <c r="C555" s="4" t="s">
        <v>1049</v>
      </c>
      <c r="D555" s="178">
        <v>106403</v>
      </c>
      <c r="E555" s="178">
        <v>119240</v>
      </c>
      <c r="F555" s="178">
        <v>136276</v>
      </c>
    </row>
    <row r="556" spans="1:6" x14ac:dyDescent="0.3">
      <c r="A556" s="1108"/>
      <c r="B556" s="221">
        <v>104199</v>
      </c>
      <c r="C556" s="4" t="s">
        <v>1050</v>
      </c>
      <c r="D556" s="178">
        <v>106403</v>
      </c>
      <c r="E556" s="178">
        <v>119240</v>
      </c>
      <c r="F556" s="178">
        <v>136276</v>
      </c>
    </row>
    <row r="557" spans="1:6" x14ac:dyDescent="0.3">
      <c r="A557" s="1108"/>
      <c r="B557" s="221">
        <v>104537</v>
      </c>
      <c r="C557" s="4" t="s">
        <v>1051</v>
      </c>
      <c r="D557" s="178">
        <v>106403</v>
      </c>
      <c r="E557" s="178">
        <v>119240</v>
      </c>
      <c r="F557" s="178">
        <v>136276</v>
      </c>
    </row>
    <row r="558" spans="1:6" x14ac:dyDescent="0.3">
      <c r="A558" s="1108"/>
      <c r="B558" s="221">
        <v>104569</v>
      </c>
      <c r="C558" s="4" t="s">
        <v>1052</v>
      </c>
      <c r="D558" s="178">
        <v>106403</v>
      </c>
      <c r="E558" s="178">
        <v>119240</v>
      </c>
      <c r="F558" s="178">
        <v>136276</v>
      </c>
    </row>
    <row r="559" spans="1:6" x14ac:dyDescent="0.3">
      <c r="A559" s="1108"/>
      <c r="B559" s="221">
        <v>288352</v>
      </c>
      <c r="C559" s="4" t="s">
        <v>1054</v>
      </c>
      <c r="D559" s="178">
        <v>106403</v>
      </c>
      <c r="E559" s="178">
        <v>119240</v>
      </c>
      <c r="F559" s="178">
        <v>136276</v>
      </c>
    </row>
    <row r="560" spans="1:6" x14ac:dyDescent="0.3">
      <c r="A560" s="1108"/>
      <c r="B560" s="221">
        <v>104076</v>
      </c>
      <c r="C560" s="4" t="s">
        <v>1055</v>
      </c>
      <c r="D560" s="178">
        <v>106403</v>
      </c>
      <c r="E560" s="178">
        <v>119240</v>
      </c>
      <c r="F560" s="178">
        <v>136276</v>
      </c>
    </row>
    <row r="561" spans="1:53" x14ac:dyDescent="0.3">
      <c r="A561" s="52" t="s">
        <v>1057</v>
      </c>
      <c r="B561" s="4">
        <v>300282</v>
      </c>
      <c r="C561" s="4" t="s">
        <v>1080</v>
      </c>
      <c r="D561" s="52">
        <v>106403</v>
      </c>
      <c r="E561" s="52">
        <v>119240</v>
      </c>
      <c r="F561" s="52">
        <v>136276</v>
      </c>
    </row>
    <row r="562" spans="1:53" x14ac:dyDescent="0.3">
      <c r="B562" s="4">
        <v>300284</v>
      </c>
      <c r="C562" s="4" t="s">
        <v>1081</v>
      </c>
      <c r="D562" s="178">
        <v>106403</v>
      </c>
      <c r="E562" s="178">
        <v>119240</v>
      </c>
      <c r="F562" s="178">
        <v>136276</v>
      </c>
    </row>
    <row r="563" spans="1:53" s="178" customFormat="1" x14ac:dyDescent="0.3">
      <c r="B563" s="4">
        <v>300279</v>
      </c>
      <c r="C563" s="4" t="s">
        <v>1035</v>
      </c>
      <c r="D563" s="178">
        <v>106403</v>
      </c>
      <c r="E563" s="178">
        <v>119240</v>
      </c>
      <c r="F563" s="178">
        <v>136276</v>
      </c>
      <c r="Z563" s="4"/>
      <c r="AA563" s="4"/>
      <c r="AB563" s="4"/>
      <c r="AC563" s="4"/>
      <c r="AD563" s="257"/>
      <c r="AE563" s="199"/>
      <c r="AF563" s="106"/>
      <c r="AG563" s="4"/>
      <c r="AH563" s="4"/>
      <c r="AI563" s="4"/>
      <c r="AJ563" s="4"/>
      <c r="AK563" s="4"/>
      <c r="AL563" s="4"/>
      <c r="AM563" s="4"/>
      <c r="AN563" s="4"/>
      <c r="AO563" s="4"/>
      <c r="AP563" s="4"/>
      <c r="AQ563" s="4"/>
      <c r="AR563" s="4"/>
      <c r="AS563" s="4"/>
      <c r="AT563" s="4"/>
      <c r="AU563" s="4"/>
      <c r="AV563" s="4"/>
      <c r="AW563" s="4"/>
      <c r="AX563" s="4"/>
      <c r="AY563" s="4"/>
      <c r="AZ563" s="255"/>
      <c r="BA563" s="255"/>
    </row>
    <row r="564" spans="1:53" s="178" customFormat="1" x14ac:dyDescent="0.3">
      <c r="B564" s="4">
        <v>300281</v>
      </c>
      <c r="C564" s="4" t="s">
        <v>1037</v>
      </c>
      <c r="D564" s="178">
        <v>106403</v>
      </c>
      <c r="E564" s="178">
        <v>119240</v>
      </c>
      <c r="F564" s="178">
        <v>136276</v>
      </c>
      <c r="Z564" s="4"/>
      <c r="AA564" s="4"/>
      <c r="AB564" s="4"/>
      <c r="AC564" s="4"/>
      <c r="AD564" s="257"/>
      <c r="AE564" s="199"/>
      <c r="AF564" s="106"/>
      <c r="AG564" s="4"/>
      <c r="AH564" s="4"/>
      <c r="AI564" s="4"/>
      <c r="AJ564" s="4"/>
      <c r="AK564" s="4"/>
      <c r="AL564" s="4"/>
      <c r="AM564" s="4"/>
      <c r="AN564" s="4"/>
      <c r="AO564" s="4"/>
      <c r="AP564" s="4"/>
      <c r="AQ564" s="4"/>
      <c r="AR564" s="4"/>
      <c r="AS564" s="4"/>
      <c r="AT564" s="4"/>
      <c r="AU564" s="4"/>
      <c r="AV564" s="4"/>
      <c r="AW564" s="4"/>
      <c r="AX564" s="4"/>
      <c r="AY564" s="4"/>
      <c r="AZ564" s="255"/>
      <c r="BA564" s="255"/>
    </row>
    <row r="565" spans="1:53" x14ac:dyDescent="0.3">
      <c r="B565" s="4">
        <v>300801</v>
      </c>
      <c r="C565" s="4" t="s">
        <v>1044</v>
      </c>
      <c r="D565" s="178">
        <v>106403</v>
      </c>
      <c r="E565" s="178">
        <v>119240</v>
      </c>
      <c r="F565" s="178">
        <v>136276</v>
      </c>
    </row>
    <row r="566" spans="1:53" x14ac:dyDescent="0.3">
      <c r="B566" s="4">
        <v>300803</v>
      </c>
      <c r="C566" s="4" t="s">
        <v>1047</v>
      </c>
      <c r="D566" s="178">
        <v>106403</v>
      </c>
      <c r="E566" s="178">
        <v>119240</v>
      </c>
      <c r="F566" s="178">
        <v>136276</v>
      </c>
    </row>
    <row r="567" spans="1:53" x14ac:dyDescent="0.3">
      <c r="B567" s="178">
        <v>106403</v>
      </c>
      <c r="C567" s="4" t="s">
        <v>1059</v>
      </c>
      <c r="D567" s="178"/>
      <c r="E567" s="178"/>
      <c r="F567" s="178"/>
    </row>
    <row r="568" spans="1:53" x14ac:dyDescent="0.3">
      <c r="B568" s="178">
        <v>119240</v>
      </c>
      <c r="C568" s="4" t="s">
        <v>1060</v>
      </c>
    </row>
    <row r="569" spans="1:53" x14ac:dyDescent="0.3">
      <c r="B569" s="178">
        <v>136276</v>
      </c>
      <c r="C569" s="4" t="s">
        <v>1061</v>
      </c>
    </row>
    <row r="570" spans="1:53" x14ac:dyDescent="0.3">
      <c r="A570" s="52" t="s">
        <v>1082</v>
      </c>
      <c r="B570" s="4">
        <v>12002</v>
      </c>
      <c r="C570" s="4" t="s">
        <v>121</v>
      </c>
      <c r="D570" s="52">
        <v>12306</v>
      </c>
      <c r="E570" s="52">
        <v>12318</v>
      </c>
    </row>
    <row r="571" spans="1:53" x14ac:dyDescent="0.3">
      <c r="B571" s="4">
        <v>12005</v>
      </c>
      <c r="C571" s="4" t="s">
        <v>122</v>
      </c>
      <c r="D571" s="178">
        <v>12306</v>
      </c>
      <c r="E571" s="178">
        <v>12318</v>
      </c>
    </row>
    <row r="572" spans="1:53" x14ac:dyDescent="0.3">
      <c r="B572" s="4">
        <v>12008</v>
      </c>
      <c r="C572" s="4" t="s">
        <v>1074</v>
      </c>
      <c r="D572" s="178">
        <v>12306</v>
      </c>
      <c r="E572" s="178">
        <v>12318</v>
      </c>
    </row>
    <row r="573" spans="1:53" x14ac:dyDescent="0.3">
      <c r="B573" s="4">
        <v>12047</v>
      </c>
      <c r="C573" s="4" t="s">
        <v>1065</v>
      </c>
      <c r="D573" s="178">
        <v>12306</v>
      </c>
      <c r="E573" s="178">
        <v>12318</v>
      </c>
    </row>
    <row r="574" spans="1:53" x14ac:dyDescent="0.3">
      <c r="B574" s="4">
        <v>12048</v>
      </c>
      <c r="C574" s="4" t="s">
        <v>1066</v>
      </c>
      <c r="D574" s="178">
        <v>12306</v>
      </c>
      <c r="E574" s="178">
        <v>12318</v>
      </c>
    </row>
    <row r="575" spans="1:53" x14ac:dyDescent="0.3">
      <c r="B575" s="4">
        <v>12049</v>
      </c>
      <c r="C575" s="4" t="s">
        <v>1067</v>
      </c>
      <c r="D575" s="178">
        <v>12306</v>
      </c>
      <c r="E575" s="178">
        <v>12318</v>
      </c>
    </row>
    <row r="576" spans="1:53" x14ac:dyDescent="0.3">
      <c r="B576" s="4">
        <v>12052</v>
      </c>
      <c r="C576" s="4" t="s">
        <v>1068</v>
      </c>
      <c r="D576" s="178">
        <v>12306</v>
      </c>
      <c r="E576" s="178">
        <v>12318</v>
      </c>
    </row>
    <row r="577" spans="1:5" x14ac:dyDescent="0.3">
      <c r="B577" s="4">
        <v>12053</v>
      </c>
      <c r="C577" s="4" t="s">
        <v>1069</v>
      </c>
      <c r="D577" s="178">
        <v>12306</v>
      </c>
      <c r="E577" s="178">
        <v>12318</v>
      </c>
    </row>
    <row r="578" spans="1:5" x14ac:dyDescent="0.3">
      <c r="B578" s="4">
        <v>12059</v>
      </c>
      <c r="C578" s="4" t="s">
        <v>1070</v>
      </c>
      <c r="D578" s="178">
        <v>12306</v>
      </c>
      <c r="E578" s="178">
        <v>12318</v>
      </c>
    </row>
    <row r="579" spans="1:5" x14ac:dyDescent="0.3">
      <c r="B579" s="4">
        <v>226668</v>
      </c>
      <c r="C579" s="4" t="s">
        <v>1071</v>
      </c>
      <c r="D579" s="178">
        <v>12306</v>
      </c>
      <c r="E579" s="178">
        <v>12318</v>
      </c>
    </row>
    <row r="580" spans="1:5" x14ac:dyDescent="0.3">
      <c r="B580" s="4">
        <v>226670</v>
      </c>
      <c r="C580" s="4" t="s">
        <v>1072</v>
      </c>
      <c r="D580" s="178">
        <v>12306</v>
      </c>
      <c r="E580" s="178">
        <v>12318</v>
      </c>
    </row>
    <row r="581" spans="1:5" x14ac:dyDescent="0.3">
      <c r="B581" s="4">
        <v>226671</v>
      </c>
      <c r="C581" s="4" t="s">
        <v>1073</v>
      </c>
      <c r="D581" s="178">
        <v>12306</v>
      </c>
      <c r="E581" s="178">
        <v>12318</v>
      </c>
    </row>
    <row r="582" spans="1:5" x14ac:dyDescent="0.3">
      <c r="A582" s="52" t="s">
        <v>1083</v>
      </c>
      <c r="B582" s="4">
        <v>12106</v>
      </c>
      <c r="C582" s="4" t="s">
        <v>121</v>
      </c>
      <c r="D582" s="178">
        <v>12306</v>
      </c>
      <c r="E582" s="178">
        <v>12318</v>
      </c>
    </row>
    <row r="583" spans="1:5" x14ac:dyDescent="0.3">
      <c r="B583" s="4">
        <v>12107</v>
      </c>
      <c r="C583" s="4" t="s">
        <v>122</v>
      </c>
      <c r="D583" s="178">
        <v>12306</v>
      </c>
      <c r="E583" s="178">
        <v>12318</v>
      </c>
    </row>
    <row r="584" spans="1:5" x14ac:dyDescent="0.3">
      <c r="B584" s="4">
        <v>12108</v>
      </c>
      <c r="C584" s="4" t="s">
        <v>123</v>
      </c>
      <c r="D584" s="178">
        <v>12306</v>
      </c>
      <c r="E584" s="178">
        <v>12318</v>
      </c>
    </row>
    <row r="585" spans="1:5" x14ac:dyDescent="0.3">
      <c r="B585" s="4">
        <v>118033</v>
      </c>
      <c r="C585" s="4" t="s">
        <v>1075</v>
      </c>
      <c r="D585" s="178">
        <v>12306</v>
      </c>
      <c r="E585" s="178">
        <v>12318</v>
      </c>
    </row>
    <row r="586" spans="1:5" x14ac:dyDescent="0.3">
      <c r="B586" s="4">
        <v>118120</v>
      </c>
      <c r="C586" s="4" t="s">
        <v>1076</v>
      </c>
      <c r="D586" s="178">
        <v>12306</v>
      </c>
      <c r="E586" s="178">
        <v>12318</v>
      </c>
    </row>
    <row r="587" spans="1:5" x14ac:dyDescent="0.3">
      <c r="B587" s="4">
        <v>118121</v>
      </c>
      <c r="C587" s="4" t="s">
        <v>1077</v>
      </c>
      <c r="D587" s="178">
        <v>12306</v>
      </c>
      <c r="E587" s="178">
        <v>12318</v>
      </c>
    </row>
    <row r="588" spans="1:5" x14ac:dyDescent="0.3">
      <c r="B588" s="4">
        <v>12109</v>
      </c>
      <c r="C588" s="4" t="s">
        <v>1078</v>
      </c>
      <c r="D588" s="178">
        <v>12306</v>
      </c>
      <c r="E588" s="178">
        <v>12318</v>
      </c>
    </row>
    <row r="589" spans="1:5" x14ac:dyDescent="0.3">
      <c r="B589" s="4">
        <v>13764</v>
      </c>
      <c r="C589" s="4" t="s">
        <v>1079</v>
      </c>
      <c r="D589" s="178">
        <v>12306</v>
      </c>
      <c r="E589" s="178">
        <v>12318</v>
      </c>
    </row>
    <row r="590" spans="1:5" x14ac:dyDescent="0.3">
      <c r="A590" s="52" t="s">
        <v>1084</v>
      </c>
      <c r="B590" s="4">
        <v>12318</v>
      </c>
      <c r="C590" s="4" t="s">
        <v>208</v>
      </c>
    </row>
    <row r="591" spans="1:5" x14ac:dyDescent="0.3">
      <c r="B591" s="4">
        <v>12306</v>
      </c>
      <c r="C591" s="4" t="s">
        <v>207</v>
      </c>
    </row>
    <row r="592" spans="1:5" x14ac:dyDescent="0.3">
      <c r="B592" s="4">
        <v>12319</v>
      </c>
      <c r="C592" s="4" t="s">
        <v>209</v>
      </c>
    </row>
  </sheetData>
  <dataConsolidate/>
  <mergeCells count="339">
    <mergeCell ref="AA260:AC262"/>
    <mergeCell ref="AA263:AC263"/>
    <mergeCell ref="AA314:AC316"/>
    <mergeCell ref="AA317:AC317"/>
    <mergeCell ref="AA44:AC46"/>
    <mergeCell ref="Z28:Z42"/>
    <mergeCell ref="AA47:AC47"/>
    <mergeCell ref="AA98:AC100"/>
    <mergeCell ref="AA101:AC101"/>
    <mergeCell ref="AA152:AC154"/>
    <mergeCell ref="AA155:AC155"/>
    <mergeCell ref="C74:AC74"/>
    <mergeCell ref="AA81:AB81"/>
    <mergeCell ref="Y82:Y89"/>
    <mergeCell ref="AA82:AB82"/>
    <mergeCell ref="AA83:AB83"/>
    <mergeCell ref="AA84:AB84"/>
    <mergeCell ref="S85:S89"/>
    <mergeCell ref="AA85:AB85"/>
    <mergeCell ref="D104:G104"/>
    <mergeCell ref="S104:W104"/>
    <mergeCell ref="I106:K106"/>
    <mergeCell ref="L106:Q106"/>
    <mergeCell ref="Z107:AB108"/>
    <mergeCell ref="BB23:BG23"/>
    <mergeCell ref="AP25:AQ25"/>
    <mergeCell ref="AJ21:AK21"/>
    <mergeCell ref="U39:U40"/>
    <mergeCell ref="D50:G50"/>
    <mergeCell ref="A486:A493"/>
    <mergeCell ref="D490:D497"/>
    <mergeCell ref="I52:K52"/>
    <mergeCell ref="L52:Q52"/>
    <mergeCell ref="Y36:Y42"/>
    <mergeCell ref="W45:W49"/>
    <mergeCell ref="D43:D44"/>
    <mergeCell ref="J47:J48"/>
    <mergeCell ref="W43:W44"/>
    <mergeCell ref="AL26:AN26"/>
    <mergeCell ref="AS26:AT26"/>
    <mergeCell ref="AA35:AB35"/>
    <mergeCell ref="AA27:AB27"/>
    <mergeCell ref="AA37:AA40"/>
    <mergeCell ref="AB37:AC40"/>
    <mergeCell ref="AA36:AB36"/>
    <mergeCell ref="AF31:AF33"/>
    <mergeCell ref="AA28:AB28"/>
    <mergeCell ref="AA29:AB29"/>
    <mergeCell ref="B2:AC2"/>
    <mergeCell ref="G59:AC72"/>
    <mergeCell ref="B3:X7"/>
    <mergeCell ref="S50:W50"/>
    <mergeCell ref="Y3:AC7"/>
    <mergeCell ref="S22:W22"/>
    <mergeCell ref="C20:AC20"/>
    <mergeCell ref="W23:W26"/>
    <mergeCell ref="B10:AC10"/>
    <mergeCell ref="B11:AC11"/>
    <mergeCell ref="AA23:AB23"/>
    <mergeCell ref="S31:S35"/>
    <mergeCell ref="AA31:AB31"/>
    <mergeCell ref="AA30:AB30"/>
    <mergeCell ref="AA26:AB26"/>
    <mergeCell ref="AA34:AB34"/>
    <mergeCell ref="AA24:AB24"/>
    <mergeCell ref="Y28:Y35"/>
    <mergeCell ref="AA25:AB25"/>
    <mergeCell ref="B59:F72"/>
    <mergeCell ref="D22:G22"/>
    <mergeCell ref="B18:F18"/>
    <mergeCell ref="D23:D26"/>
    <mergeCell ref="D45:D49"/>
    <mergeCell ref="B9:AC9"/>
    <mergeCell ref="B16:F16"/>
    <mergeCell ref="AB14:AB17"/>
    <mergeCell ref="AC14:AC17"/>
    <mergeCell ref="G14:Z14"/>
    <mergeCell ref="G15:Z15"/>
    <mergeCell ref="G16:Z16"/>
    <mergeCell ref="B13:F13"/>
    <mergeCell ref="G13:Z13"/>
    <mergeCell ref="B15:F15"/>
    <mergeCell ref="B14:F14"/>
    <mergeCell ref="A539:A560"/>
    <mergeCell ref="B17:F17"/>
    <mergeCell ref="G18:Z18"/>
    <mergeCell ref="G17:Z17"/>
    <mergeCell ref="AA22:AB22"/>
    <mergeCell ref="L44:N44"/>
    <mergeCell ref="S44:S46"/>
    <mergeCell ref="AC55:AC56"/>
    <mergeCell ref="Z55:AB56"/>
    <mergeCell ref="A531:A532"/>
    <mergeCell ref="D535:D536"/>
    <mergeCell ref="A510:A511"/>
    <mergeCell ref="D514:D515"/>
    <mergeCell ref="A503:A509"/>
    <mergeCell ref="A476:A479"/>
    <mergeCell ref="A480:A485"/>
    <mergeCell ref="A516:A519"/>
    <mergeCell ref="A520:A521"/>
    <mergeCell ref="D524:D525"/>
    <mergeCell ref="AC53:AC54"/>
    <mergeCell ref="Z53:AB54"/>
    <mergeCell ref="Z57:AC58"/>
    <mergeCell ref="A527:A530"/>
    <mergeCell ref="A495:A502"/>
    <mergeCell ref="AJ75:AK75"/>
    <mergeCell ref="D76:G76"/>
    <mergeCell ref="S76:W76"/>
    <mergeCell ref="AA76:AB76"/>
    <mergeCell ref="D77:D80"/>
    <mergeCell ref="W77:W80"/>
    <mergeCell ref="AA77:AB77"/>
    <mergeCell ref="BB77:BG77"/>
    <mergeCell ref="AA78:AB78"/>
    <mergeCell ref="AA79:AB79"/>
    <mergeCell ref="AP79:AQ79"/>
    <mergeCell ref="AA80:AB80"/>
    <mergeCell ref="AL80:AN80"/>
    <mergeCell ref="AS80:AT80"/>
    <mergeCell ref="AF85:AF87"/>
    <mergeCell ref="AA88:AB88"/>
    <mergeCell ref="AA89:AB89"/>
    <mergeCell ref="Y90:Y96"/>
    <mergeCell ref="AA90:AB90"/>
    <mergeCell ref="AA91:AA94"/>
    <mergeCell ref="AB91:AC94"/>
    <mergeCell ref="U93:U94"/>
    <mergeCell ref="D97:D98"/>
    <mergeCell ref="W97:W98"/>
    <mergeCell ref="L98:N98"/>
    <mergeCell ref="S98:S100"/>
    <mergeCell ref="D99:D103"/>
    <mergeCell ref="W99:W103"/>
    <mergeCell ref="J101:J102"/>
    <mergeCell ref="Z82:Z96"/>
    <mergeCell ref="AC107:AC108"/>
    <mergeCell ref="Z109:AB110"/>
    <mergeCell ref="AC109:AC110"/>
    <mergeCell ref="Z111:AC112"/>
    <mergeCell ref="B113:F126"/>
    <mergeCell ref="G113:AC126"/>
    <mergeCell ref="C128:AC128"/>
    <mergeCell ref="AJ129:AK129"/>
    <mergeCell ref="D130:G130"/>
    <mergeCell ref="S130:W130"/>
    <mergeCell ref="AA130:AB130"/>
    <mergeCell ref="D131:D134"/>
    <mergeCell ref="W131:W134"/>
    <mergeCell ref="AA131:AB131"/>
    <mergeCell ref="BB131:BG131"/>
    <mergeCell ref="AA132:AB132"/>
    <mergeCell ref="AA133:AB133"/>
    <mergeCell ref="AP133:AQ133"/>
    <mergeCell ref="AA134:AB134"/>
    <mergeCell ref="AL134:AN134"/>
    <mergeCell ref="AS134:AT134"/>
    <mergeCell ref="AA135:AB135"/>
    <mergeCell ref="Y136:Y143"/>
    <mergeCell ref="AA136:AB136"/>
    <mergeCell ref="AA137:AB137"/>
    <mergeCell ref="AA138:AB138"/>
    <mergeCell ref="S139:S143"/>
    <mergeCell ref="AA139:AB139"/>
    <mergeCell ref="AF139:AF141"/>
    <mergeCell ref="AA142:AB142"/>
    <mergeCell ref="AA143:AB143"/>
    <mergeCell ref="Y144:Y150"/>
    <mergeCell ref="AA144:AB144"/>
    <mergeCell ref="AA145:AA148"/>
    <mergeCell ref="AB145:AC148"/>
    <mergeCell ref="U147:U148"/>
    <mergeCell ref="D151:D152"/>
    <mergeCell ref="W151:W152"/>
    <mergeCell ref="L152:N152"/>
    <mergeCell ref="S152:S154"/>
    <mergeCell ref="D153:D157"/>
    <mergeCell ref="W153:W157"/>
    <mergeCell ref="J155:J156"/>
    <mergeCell ref="Z136:Z150"/>
    <mergeCell ref="D158:G158"/>
    <mergeCell ref="S158:W158"/>
    <mergeCell ref="I160:K160"/>
    <mergeCell ref="L160:Q160"/>
    <mergeCell ref="Z161:AB162"/>
    <mergeCell ref="AC161:AC162"/>
    <mergeCell ref="Z163:AB164"/>
    <mergeCell ref="AC163:AC164"/>
    <mergeCell ref="Z165:AC166"/>
    <mergeCell ref="B167:F180"/>
    <mergeCell ref="G167:AC180"/>
    <mergeCell ref="C182:AC182"/>
    <mergeCell ref="AJ183:AK183"/>
    <mergeCell ref="D184:G184"/>
    <mergeCell ref="S184:W184"/>
    <mergeCell ref="AA184:AB184"/>
    <mergeCell ref="D185:D188"/>
    <mergeCell ref="W185:W188"/>
    <mergeCell ref="AA185:AB185"/>
    <mergeCell ref="BB185:BG185"/>
    <mergeCell ref="AA186:AB186"/>
    <mergeCell ref="AA187:AB187"/>
    <mergeCell ref="AP187:AQ187"/>
    <mergeCell ref="AA188:AB188"/>
    <mergeCell ref="AL188:AN188"/>
    <mergeCell ref="AS188:AT188"/>
    <mergeCell ref="AA189:AB189"/>
    <mergeCell ref="Y190:Y197"/>
    <mergeCell ref="AA190:AB190"/>
    <mergeCell ref="AA191:AB191"/>
    <mergeCell ref="AA192:AB192"/>
    <mergeCell ref="S193:S197"/>
    <mergeCell ref="AA193:AB193"/>
    <mergeCell ref="AF193:AF195"/>
    <mergeCell ref="AA196:AB196"/>
    <mergeCell ref="AA197:AB197"/>
    <mergeCell ref="Y198:Y204"/>
    <mergeCell ref="AA198:AB198"/>
    <mergeCell ref="AA199:AA202"/>
    <mergeCell ref="AB199:AC202"/>
    <mergeCell ref="U201:U202"/>
    <mergeCell ref="Z190:Z204"/>
    <mergeCell ref="D205:D206"/>
    <mergeCell ref="W205:W206"/>
    <mergeCell ref="L206:N206"/>
    <mergeCell ref="S206:S208"/>
    <mergeCell ref="D207:D211"/>
    <mergeCell ref="W207:W211"/>
    <mergeCell ref="J209:J210"/>
    <mergeCell ref="AA206:AC208"/>
    <mergeCell ref="AA209:AC209"/>
    <mergeCell ref="D212:G212"/>
    <mergeCell ref="S212:W212"/>
    <mergeCell ref="I214:K214"/>
    <mergeCell ref="L214:Q214"/>
    <mergeCell ref="Z215:AB216"/>
    <mergeCell ref="AC215:AC216"/>
    <mergeCell ref="Z217:AB218"/>
    <mergeCell ref="AC217:AC218"/>
    <mergeCell ref="Z219:AC220"/>
    <mergeCell ref="B221:F234"/>
    <mergeCell ref="G221:AC234"/>
    <mergeCell ref="C236:AC236"/>
    <mergeCell ref="AJ237:AK237"/>
    <mergeCell ref="D238:G238"/>
    <mergeCell ref="S238:W238"/>
    <mergeCell ref="AA238:AB238"/>
    <mergeCell ref="D239:D242"/>
    <mergeCell ref="W239:W242"/>
    <mergeCell ref="AA239:AB239"/>
    <mergeCell ref="BB239:BG239"/>
    <mergeCell ref="AA240:AB240"/>
    <mergeCell ref="AA241:AB241"/>
    <mergeCell ref="AP241:AQ241"/>
    <mergeCell ref="AA242:AB242"/>
    <mergeCell ref="AL242:AN242"/>
    <mergeCell ref="AS242:AT242"/>
    <mergeCell ref="AA243:AB243"/>
    <mergeCell ref="Y244:Y251"/>
    <mergeCell ref="AA244:AB244"/>
    <mergeCell ref="AA245:AB245"/>
    <mergeCell ref="AA246:AB246"/>
    <mergeCell ref="S247:S251"/>
    <mergeCell ref="AA247:AB247"/>
    <mergeCell ref="AF247:AF249"/>
    <mergeCell ref="AA250:AB250"/>
    <mergeCell ref="AA251:AB251"/>
    <mergeCell ref="Y252:Y258"/>
    <mergeCell ref="AA252:AB252"/>
    <mergeCell ref="AA253:AA256"/>
    <mergeCell ref="AB253:AC256"/>
    <mergeCell ref="U255:U256"/>
    <mergeCell ref="D259:D260"/>
    <mergeCell ref="W259:W260"/>
    <mergeCell ref="L260:N260"/>
    <mergeCell ref="S260:S262"/>
    <mergeCell ref="D261:D265"/>
    <mergeCell ref="W261:W265"/>
    <mergeCell ref="J263:J264"/>
    <mergeCell ref="D266:G266"/>
    <mergeCell ref="S266:W266"/>
    <mergeCell ref="I268:K268"/>
    <mergeCell ref="L268:Q268"/>
    <mergeCell ref="Z269:AB270"/>
    <mergeCell ref="AC269:AC270"/>
    <mergeCell ref="Z271:AB272"/>
    <mergeCell ref="AC271:AC272"/>
    <mergeCell ref="Z273:AC274"/>
    <mergeCell ref="B275:F288"/>
    <mergeCell ref="G275:AC288"/>
    <mergeCell ref="C290:AC290"/>
    <mergeCell ref="AJ291:AK291"/>
    <mergeCell ref="D292:G292"/>
    <mergeCell ref="S292:W292"/>
    <mergeCell ref="AA292:AB292"/>
    <mergeCell ref="D293:D296"/>
    <mergeCell ref="W293:W296"/>
    <mergeCell ref="AA293:AB293"/>
    <mergeCell ref="BB293:BG293"/>
    <mergeCell ref="AA294:AB294"/>
    <mergeCell ref="AA295:AB295"/>
    <mergeCell ref="AP295:AQ295"/>
    <mergeCell ref="AA296:AB296"/>
    <mergeCell ref="AL296:AN296"/>
    <mergeCell ref="AS296:AT296"/>
    <mergeCell ref="AA297:AB297"/>
    <mergeCell ref="Y298:Y305"/>
    <mergeCell ref="AA298:AB298"/>
    <mergeCell ref="AA299:AB299"/>
    <mergeCell ref="AA300:AB300"/>
    <mergeCell ref="S301:S305"/>
    <mergeCell ref="AA301:AB301"/>
    <mergeCell ref="AF301:AF303"/>
    <mergeCell ref="AA304:AB304"/>
    <mergeCell ref="AA305:AB305"/>
    <mergeCell ref="Y306:Y312"/>
    <mergeCell ref="AA306:AB306"/>
    <mergeCell ref="AA307:AA310"/>
    <mergeCell ref="AB307:AC310"/>
    <mergeCell ref="U309:U310"/>
    <mergeCell ref="D313:D314"/>
    <mergeCell ref="W313:W314"/>
    <mergeCell ref="L314:N314"/>
    <mergeCell ref="S314:S316"/>
    <mergeCell ref="D315:D319"/>
    <mergeCell ref="W315:W319"/>
    <mergeCell ref="J317:J318"/>
    <mergeCell ref="B329:F342"/>
    <mergeCell ref="G329:AC342"/>
    <mergeCell ref="D320:G320"/>
    <mergeCell ref="S320:W320"/>
    <mergeCell ref="I322:K322"/>
    <mergeCell ref="L322:Q322"/>
    <mergeCell ref="Z323:AB324"/>
    <mergeCell ref="AC323:AC324"/>
    <mergeCell ref="Z325:AB326"/>
    <mergeCell ref="AC325:AC326"/>
    <mergeCell ref="Z327:AC328"/>
  </mergeCells>
  <conditionalFormatting sqref="R22 H22 D27 D43:D44 W27 W43:W44 R50 H50">
    <cfRule type="cellIs" dxfId="11" priority="118" stopIfTrue="1" operator="equal">
      <formula>1</formula>
    </cfRule>
  </conditionalFormatting>
  <conditionalFormatting sqref="M22 D34:D36 D30 K22 O22 W34:W36 W30 M50 K50 O50">
    <cfRule type="cellIs" dxfId="10" priority="112" stopIfTrue="1" operator="equal">
      <formula>1</formula>
    </cfRule>
  </conditionalFormatting>
  <conditionalFormatting sqref="R238 H238 D243 D259:D260 W243 W259:W260 R266 H266">
    <cfRule type="cellIs" dxfId="9" priority="12" stopIfTrue="1" operator="equal">
      <formula>1</formula>
    </cfRule>
  </conditionalFormatting>
  <conditionalFormatting sqref="M238 D250:D252 D246 K238 O238 W250:W252 W246 M266 K266 O266">
    <cfRule type="cellIs" dxfId="8" priority="11" stopIfTrue="1" operator="equal">
      <formula>1</formula>
    </cfRule>
  </conditionalFormatting>
  <conditionalFormatting sqref="R292 H292 D297 D313:D314 W297 W313:W314 R320 H320">
    <cfRule type="cellIs" dxfId="7" priority="10" stopIfTrue="1" operator="equal">
      <formula>1</formula>
    </cfRule>
  </conditionalFormatting>
  <conditionalFormatting sqref="M292 D304:D306 D300 K292 O292 W304:W306 W300 M320 K320 O320">
    <cfRule type="cellIs" dxfId="6" priority="9" stopIfTrue="1" operator="equal">
      <formula>1</formula>
    </cfRule>
  </conditionalFormatting>
  <conditionalFormatting sqref="R76 H76 D81 D97:D98 W81 W97:W98 R104 H104">
    <cfRule type="cellIs" dxfId="5" priority="6" stopIfTrue="1" operator="equal">
      <formula>1</formula>
    </cfRule>
  </conditionalFormatting>
  <conditionalFormatting sqref="M76 D88:D90 D84 K76 O76 W88:W90 W84 M104 K104 O104">
    <cfRule type="cellIs" dxfId="4" priority="5" stopIfTrue="1" operator="equal">
      <formula>1</formula>
    </cfRule>
  </conditionalFormatting>
  <conditionalFormatting sqref="R130 H130 D135 D151:D152 W135 W151:W152 R158 H158">
    <cfRule type="cellIs" dxfId="3" priority="4" stopIfTrue="1" operator="equal">
      <formula>1</formula>
    </cfRule>
  </conditionalFormatting>
  <conditionalFormatting sqref="M130 D142:D144 D138 K130 O130 W142:W144 W138 M158 K158 O158">
    <cfRule type="cellIs" dxfId="2" priority="3" stopIfTrue="1" operator="equal">
      <formula>1</formula>
    </cfRule>
  </conditionalFormatting>
  <conditionalFormatting sqref="R184 H184 D189 D205:D206 W189 W205:W206 R212 H212">
    <cfRule type="cellIs" dxfId="1" priority="2" stopIfTrue="1" operator="equal">
      <formula>1</formula>
    </cfRule>
  </conditionalFormatting>
  <conditionalFormatting sqref="M184 D196:D198 D192 K184 O184 W196:W198 W192 M212 K212 O212">
    <cfRule type="cellIs" dxfId="0" priority="1" stopIfTrue="1" operator="equal">
      <formula>1</formula>
    </cfRule>
  </conditionalFormatting>
  <dataValidations count="39">
    <dataValidation type="list" allowBlank="1" sqref="AC29" xr:uid="{00000000-0002-0000-0100-000000000000}">
      <formula1>T1_PODLOZKA_TYPY</formula1>
    </dataValidation>
    <dataValidation type="list" allowBlank="1" showInputMessage="1" showErrorMessage="1" sqref="AC30 AC84 AC138 AC192 AC246 AC300" xr:uid="{00000000-0002-0000-0100-000001000000}">
      <formula1>AH34:AH37</formula1>
    </dataValidation>
    <dataValidation type="list" allowBlank="1" sqref="AC27" xr:uid="{00000000-0002-0000-0100-000002000000}">
      <formula1>RADEK_1_5</formula1>
    </dataValidation>
    <dataValidation type="list" allowBlank="1" showInputMessage="1" showErrorMessage="1" sqref="AC35" xr:uid="{00000000-0002-0000-0100-000003000000}">
      <formula1>T1_VYKLOPY</formula1>
    </dataValidation>
    <dataValidation type="list" allowBlank="1" sqref="AC28" xr:uid="{00000000-0002-0000-0100-000004000000}">
      <formula1>RADEK_1_6</formula1>
    </dataValidation>
    <dataValidation type="list" allowBlank="1" showInputMessage="1" showErrorMessage="1" sqref="AC306 AC252" xr:uid="{00000000-0002-0000-0100-000008000000}">
      <formula1>IF($AC$251=0,PRAZDNE_1,UMISTENI_VYKLOP)</formula1>
    </dataValidation>
    <dataValidation type="list" allowBlank="1" sqref="AC81" xr:uid="{00000000-0002-0000-0100-000009000000}">
      <formula1>RADEK_2_5</formula1>
    </dataValidation>
    <dataValidation type="list" allowBlank="1" sqref="AC82" xr:uid="{00000000-0002-0000-0100-00000A000000}">
      <formula1>RADEK_2_6</formula1>
    </dataValidation>
    <dataValidation type="list" allowBlank="1" sqref="AC135" xr:uid="{00000000-0002-0000-0100-00000B000000}">
      <formula1>RADEK_3_5</formula1>
    </dataValidation>
    <dataValidation type="list" allowBlank="1" sqref="AC136" xr:uid="{00000000-0002-0000-0100-00000C000000}">
      <formula1>RADEK_3_6</formula1>
    </dataValidation>
    <dataValidation type="list" allowBlank="1" sqref="AC189" xr:uid="{00000000-0002-0000-0100-00000D000000}">
      <formula1>RADEK_4_5</formula1>
    </dataValidation>
    <dataValidation type="list" allowBlank="1" sqref="AC190" xr:uid="{00000000-0002-0000-0100-00000E000000}">
      <formula1>RADEK_4_6</formula1>
    </dataValidation>
    <dataValidation type="list" allowBlank="1" sqref="AC243" xr:uid="{00000000-0002-0000-0100-00000F000000}">
      <formula1>RADEK_5_5</formula1>
    </dataValidation>
    <dataValidation type="list" allowBlank="1" sqref="AC244" xr:uid="{00000000-0002-0000-0100-000010000000}">
      <formula1>RADEK_5_6</formula1>
    </dataValidation>
    <dataValidation type="list" allowBlank="1" sqref="AC297" xr:uid="{00000000-0002-0000-0100-000011000000}">
      <formula1>RADEK_6_5</formula1>
    </dataValidation>
    <dataValidation type="list" allowBlank="1" sqref="AC298" xr:uid="{00000000-0002-0000-0100-000012000000}">
      <formula1>RADEK_6_6</formula1>
    </dataValidation>
    <dataValidation type="list" allowBlank="1" sqref="AC83" xr:uid="{00000000-0002-0000-0100-000013000000}">
      <formula1>T2_PODLOZKA_TYPY</formula1>
    </dataValidation>
    <dataValidation type="list" allowBlank="1" showInputMessage="1" showErrorMessage="1" sqref="AC89" xr:uid="{00000000-0002-0000-0100-000014000000}">
      <formula1>T2_VYKLOPY</formula1>
    </dataValidation>
    <dataValidation type="list" allowBlank="1" showInputMessage="1" showErrorMessage="1" sqref="AC24" xr:uid="{00000000-0002-0000-0100-000015000000}">
      <formula1>SKLO_VYBER_T1</formula1>
    </dataValidation>
    <dataValidation type="list" allowBlank="1" showInputMessage="1" showErrorMessage="1" sqref="AC34 AC88 AC142 AC196 AC250 AC304" xr:uid="{00000000-0002-0000-0100-000016000000}">
      <formula1>AG50:AG53</formula1>
    </dataValidation>
    <dataValidation type="list" allowBlank="1" showInputMessage="1" showErrorMessage="1" sqref="AC26 AC80 AC134 AC188 AC242 AC296" xr:uid="{00000000-0002-0000-0100-000017000000}">
      <formula1>$AF25:$AF28</formula1>
    </dataValidation>
    <dataValidation type="list" allowBlank="1" showInputMessage="1" showErrorMessage="1" sqref="AC78" xr:uid="{00000000-0002-0000-0100-000018000000}">
      <formula1>SKLO_VYBER_T2</formula1>
    </dataValidation>
    <dataValidation type="list" allowBlank="1" showInputMessage="1" showErrorMessage="1" sqref="AC132" xr:uid="{00000000-0002-0000-0100-000019000000}">
      <formula1>SKLO_VYBER_T3</formula1>
    </dataValidation>
    <dataValidation type="list" allowBlank="1" showInputMessage="1" showErrorMessage="1" sqref="AC186" xr:uid="{00000000-0002-0000-0100-00001A000000}">
      <formula1>SKLO_VYBER_T4</formula1>
    </dataValidation>
    <dataValidation type="list" allowBlank="1" showInputMessage="1" showErrorMessage="1" sqref="AC240" xr:uid="{00000000-0002-0000-0100-00001B000000}">
      <formula1>SKLO_VYBER_T5</formula1>
    </dataValidation>
    <dataValidation type="list" allowBlank="1" showInputMessage="1" showErrorMessage="1" sqref="AC294" xr:uid="{00000000-0002-0000-0100-00001C000000}">
      <formula1>SKLO_VYBER_T6</formula1>
    </dataValidation>
    <dataValidation type="list" allowBlank="1" showInputMessage="1" showErrorMessage="1" sqref="AC143" xr:uid="{00000000-0002-0000-0100-00001E000000}">
      <formula1>T3_VYKLOPY</formula1>
    </dataValidation>
    <dataValidation type="list" allowBlank="1" showInputMessage="1" showErrorMessage="1" sqref="AC197" xr:uid="{00000000-0002-0000-0100-00001F000000}">
      <formula1>T4_VYKLOPY</formula1>
    </dataValidation>
    <dataValidation type="list" allowBlank="1" showInputMessage="1" showErrorMessage="1" sqref="AC251" xr:uid="{00000000-0002-0000-0100-000020000000}">
      <formula1>T5_VYKLOPY</formula1>
    </dataValidation>
    <dataValidation type="list" allowBlank="1" showInputMessage="1" showErrorMessage="1" sqref="AC305" xr:uid="{00000000-0002-0000-0100-000021000000}">
      <formula1>T6_VYKLOPY</formula1>
    </dataValidation>
    <dataValidation type="list" allowBlank="1" sqref="AC137" xr:uid="{3DB3F445-285C-4B5A-A9C3-8E0828EDF2F0}">
      <formula1>T3_PODLOZKA_TYPY</formula1>
    </dataValidation>
    <dataValidation type="list" allowBlank="1" sqref="AC191" xr:uid="{6CB077E4-B838-48EC-A127-2385536175E7}">
      <formula1>T4_PODLOZKA_TYPY</formula1>
    </dataValidation>
    <dataValidation type="list" allowBlank="1" sqref="AC245" xr:uid="{4E5A3C95-CF00-4D4E-9474-11D1E1DBB195}">
      <formula1>T5_PODLOZKA_TYPY</formula1>
    </dataValidation>
    <dataValidation type="list" allowBlank="1" sqref="AC299" xr:uid="{F21F68F1-6343-495B-BF11-7DE18366C31C}">
      <formula1>T6_PODLOZKA_TYPY</formula1>
    </dataValidation>
    <dataValidation type="list" allowBlank="1" showInputMessage="1" showErrorMessage="1" sqref="AC36" xr:uid="{CD335ED9-DD81-4EC7-A3CC-79F6E7267092}">
      <formula1>IF($AC$35=0,PRAZDNE_1,UMISTENI_VYKLOP)</formula1>
    </dataValidation>
    <dataValidation type="list" allowBlank="1" showInputMessage="1" showErrorMessage="1" sqref="AC90" xr:uid="{7B5AE0FF-8420-4B3F-AA99-E0910C367225}">
      <formula1>IF($AC$89=0,PRAZDNE_1,UMISTENI_VYKLOP)</formula1>
    </dataValidation>
    <dataValidation type="list" allowBlank="1" showInputMessage="1" showErrorMessage="1" sqref="AC144" xr:uid="{6A41EEBE-5273-4E05-A19A-89EF89D309C6}">
      <formula1>IF($AC$143=0,PRAZDNE_1,UMISTENI_VYKLOP)</formula1>
    </dataValidation>
    <dataValidation type="list" allowBlank="1" showInputMessage="1" showErrorMessage="1" sqref="AC198" xr:uid="{2E176882-A07B-46F7-BB31-6A30B1C4D403}">
      <formula1>IF($AC$197=0,PRAZDNE_1,UMISTENI_VYKLOP)</formula1>
    </dataValidation>
    <dataValidation type="list" allowBlank="1" showInputMessage="1" showErrorMessage="1" sqref="AC293 AC239 AC185 AC131 AC77 AC23" xr:uid="{00000000-0002-0000-0100-000007000000}">
      <formula1>$B$347:$B$389</formula1>
    </dataValidation>
  </dataValidations>
  <pageMargins left="0.70866141732283472" right="0.70866141732283472" top="0.78740157480314965" bottom="0.78740157480314965" header="0.31496062992125984" footer="0.31496062992125984"/>
  <pageSetup paperSize="9" scale="41" fitToHeight="3" orientation="portrait" r:id="rId1"/>
  <rowBreaks count="2" manualBreakCount="2">
    <brk id="127" max="16383" man="1"/>
    <brk id="2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303" r:id="rId4" name="Check Box 1967">
              <controlPr locked="0" defaultSize="0" autoFill="0" autoLine="0" autoPict="0">
                <anchor moveWithCells="1">
                  <from>
                    <xdr:col>26</xdr:col>
                    <xdr:colOff>685800</xdr:colOff>
                    <xdr:row>36</xdr:row>
                    <xdr:rowOff>30480</xdr:rowOff>
                  </from>
                  <to>
                    <xdr:col>26</xdr:col>
                    <xdr:colOff>845820</xdr:colOff>
                    <xdr:row>37</xdr:row>
                    <xdr:rowOff>106680</xdr:rowOff>
                  </to>
                </anchor>
              </controlPr>
            </control>
          </mc:Choice>
        </mc:AlternateContent>
        <mc:AlternateContent xmlns:mc="http://schemas.openxmlformats.org/markup-compatibility/2006">
          <mc:Choice Requires="x14">
            <control shapeId="54350" r:id="rId5" name="Check Box 8270">
              <controlPr locked="0" defaultSize="0" autoFill="0" autoLine="0" autoPict="0">
                <anchor moveWithCells="1">
                  <from>
                    <xdr:col>26</xdr:col>
                    <xdr:colOff>601980</xdr:colOff>
                    <xdr:row>90</xdr:row>
                    <xdr:rowOff>22860</xdr:rowOff>
                  </from>
                  <to>
                    <xdr:col>26</xdr:col>
                    <xdr:colOff>723900</xdr:colOff>
                    <xdr:row>91</xdr:row>
                    <xdr:rowOff>0</xdr:rowOff>
                  </to>
                </anchor>
              </controlPr>
            </control>
          </mc:Choice>
        </mc:AlternateContent>
        <mc:AlternateContent xmlns:mc="http://schemas.openxmlformats.org/markup-compatibility/2006">
          <mc:Choice Requires="x14">
            <control shapeId="54353" r:id="rId6" name="Check Box 8273">
              <controlPr locked="0" defaultSize="0" autoFill="0" autoLine="0" autoPict="0">
                <anchor moveWithCells="1">
                  <from>
                    <xdr:col>26</xdr:col>
                    <xdr:colOff>601980</xdr:colOff>
                    <xdr:row>144</xdr:row>
                    <xdr:rowOff>22860</xdr:rowOff>
                  </from>
                  <to>
                    <xdr:col>26</xdr:col>
                    <xdr:colOff>723900</xdr:colOff>
                    <xdr:row>145</xdr:row>
                    <xdr:rowOff>114300</xdr:rowOff>
                  </to>
                </anchor>
              </controlPr>
            </control>
          </mc:Choice>
        </mc:AlternateContent>
        <mc:AlternateContent xmlns:mc="http://schemas.openxmlformats.org/markup-compatibility/2006">
          <mc:Choice Requires="x14">
            <control shapeId="54356" r:id="rId7" name="Check Box 8276">
              <controlPr locked="0" defaultSize="0" autoFill="0" autoLine="0" autoPict="0">
                <anchor moveWithCells="1">
                  <from>
                    <xdr:col>26</xdr:col>
                    <xdr:colOff>601980</xdr:colOff>
                    <xdr:row>198</xdr:row>
                    <xdr:rowOff>22860</xdr:rowOff>
                  </from>
                  <to>
                    <xdr:col>26</xdr:col>
                    <xdr:colOff>723900</xdr:colOff>
                    <xdr:row>199</xdr:row>
                    <xdr:rowOff>114300</xdr:rowOff>
                  </to>
                </anchor>
              </controlPr>
            </control>
          </mc:Choice>
        </mc:AlternateContent>
        <mc:AlternateContent xmlns:mc="http://schemas.openxmlformats.org/markup-compatibility/2006">
          <mc:Choice Requires="x14">
            <control shapeId="54359" r:id="rId8" name="Check Box 8279">
              <controlPr locked="0" defaultSize="0" autoFill="0" autoLine="0" autoPict="0">
                <anchor moveWithCells="1">
                  <from>
                    <xdr:col>26</xdr:col>
                    <xdr:colOff>533400</xdr:colOff>
                    <xdr:row>251</xdr:row>
                    <xdr:rowOff>213360</xdr:rowOff>
                  </from>
                  <to>
                    <xdr:col>26</xdr:col>
                    <xdr:colOff>762000</xdr:colOff>
                    <xdr:row>254</xdr:row>
                    <xdr:rowOff>0</xdr:rowOff>
                  </to>
                </anchor>
              </controlPr>
            </control>
          </mc:Choice>
        </mc:AlternateContent>
        <mc:AlternateContent xmlns:mc="http://schemas.openxmlformats.org/markup-compatibility/2006">
          <mc:Choice Requires="x14">
            <control shapeId="54362" r:id="rId9" name="Check Box 8282">
              <controlPr locked="0" defaultSize="0" autoFill="0" autoLine="0" autoPict="0">
                <anchor moveWithCells="1">
                  <from>
                    <xdr:col>26</xdr:col>
                    <xdr:colOff>601980</xdr:colOff>
                    <xdr:row>306</xdr:row>
                    <xdr:rowOff>22860</xdr:rowOff>
                  </from>
                  <to>
                    <xdr:col>26</xdr:col>
                    <xdr:colOff>723900</xdr:colOff>
                    <xdr:row>307</xdr:row>
                    <xdr:rowOff>137160</xdr:rowOff>
                  </to>
                </anchor>
              </controlPr>
            </control>
          </mc:Choice>
        </mc:AlternateContent>
        <mc:AlternateContent xmlns:mc="http://schemas.openxmlformats.org/markup-compatibility/2006">
          <mc:Choice Requires="x14">
            <control shapeId="54385" r:id="rId10" name="Check Box 8305">
              <controlPr locked="0" defaultSize="0" autoFill="0" autoLine="0" autoPict="0">
                <anchor moveWithCells="1">
                  <from>
                    <xdr:col>26</xdr:col>
                    <xdr:colOff>601980</xdr:colOff>
                    <xdr:row>90</xdr:row>
                    <xdr:rowOff>22860</xdr:rowOff>
                  </from>
                  <to>
                    <xdr:col>26</xdr:col>
                    <xdr:colOff>723900</xdr:colOff>
                    <xdr:row>91</xdr:row>
                    <xdr:rowOff>99060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IW1071"/>
  <sheetViews>
    <sheetView zoomScale="80" zoomScaleNormal="80" workbookViewId="0">
      <selection activeCell="B4" sqref="B4:Q47"/>
    </sheetView>
  </sheetViews>
  <sheetFormatPr defaultRowHeight="14.4" x14ac:dyDescent="0.3"/>
  <cols>
    <col min="1" max="1" width="19.88671875" style="137" customWidth="1"/>
    <col min="2" max="2" width="37.6640625" customWidth="1"/>
    <col min="3" max="3" width="28.109375" customWidth="1"/>
    <col min="4" max="4" width="34.44140625" bestFit="1" customWidth="1"/>
    <col min="5" max="5" width="19" bestFit="1" customWidth="1"/>
    <col min="6" max="6" width="10.88671875" bestFit="1" customWidth="1"/>
    <col min="7" max="7" width="10.33203125" bestFit="1" customWidth="1"/>
    <col min="8" max="8" width="10.88671875" bestFit="1" customWidth="1"/>
    <col min="9" max="9" width="10.33203125" bestFit="1" customWidth="1"/>
    <col min="10" max="10" width="10.88671875" bestFit="1" customWidth="1"/>
    <col min="11" max="11" width="10.33203125" bestFit="1" customWidth="1"/>
    <col min="12" max="12" width="10.88671875" bestFit="1" customWidth="1"/>
    <col min="13" max="13" width="31.33203125" style="17" customWidth="1"/>
    <col min="14" max="16" width="27.5546875" customWidth="1"/>
  </cols>
  <sheetData>
    <row r="1" spans="1:22" x14ac:dyDescent="0.3">
      <c r="B1" t="s">
        <v>77</v>
      </c>
      <c r="C1" t="s">
        <v>78</v>
      </c>
      <c r="D1">
        <v>1</v>
      </c>
      <c r="E1" s="11" t="s">
        <v>78</v>
      </c>
      <c r="F1" s="11"/>
      <c r="G1" s="11" t="s">
        <v>79</v>
      </c>
      <c r="H1" s="11"/>
      <c r="I1" s="11" t="s">
        <v>80</v>
      </c>
      <c r="J1" s="11"/>
      <c r="K1" s="11" t="s">
        <v>81</v>
      </c>
      <c r="L1" s="11"/>
      <c r="M1" s="17" t="s">
        <v>78</v>
      </c>
      <c r="N1" s="11" t="s">
        <v>79</v>
      </c>
      <c r="O1" s="11" t="s">
        <v>80</v>
      </c>
      <c r="P1" s="11" t="s">
        <v>81</v>
      </c>
      <c r="Q1" s="11" t="s">
        <v>21</v>
      </c>
      <c r="R1" s="11" t="s">
        <v>19</v>
      </c>
    </row>
    <row r="2" spans="1:22" x14ac:dyDescent="0.3">
      <c r="C2">
        <v>2</v>
      </c>
      <c r="D2">
        <v>3</v>
      </c>
      <c r="E2" s="137">
        <v>4</v>
      </c>
      <c r="F2" s="137">
        <v>5</v>
      </c>
      <c r="G2" s="137">
        <v>6</v>
      </c>
      <c r="H2" s="137">
        <v>7</v>
      </c>
      <c r="I2" s="137">
        <v>8</v>
      </c>
      <c r="J2" s="137">
        <v>9</v>
      </c>
      <c r="K2" s="137">
        <v>10</v>
      </c>
      <c r="L2" s="137">
        <v>11</v>
      </c>
    </row>
    <row r="3" spans="1:22" x14ac:dyDescent="0.3">
      <c r="B3" s="6"/>
      <c r="C3" s="6"/>
      <c r="D3" s="6"/>
      <c r="E3" s="6"/>
      <c r="F3" s="6"/>
      <c r="G3" s="7" t="s">
        <v>32</v>
      </c>
      <c r="H3" s="8">
        <v>25</v>
      </c>
      <c r="I3" s="7" t="s">
        <v>32</v>
      </c>
      <c r="J3" s="8">
        <v>6.5</v>
      </c>
      <c r="K3" s="7" t="s">
        <v>1015</v>
      </c>
      <c r="L3" s="8">
        <v>9.1999999999999993</v>
      </c>
    </row>
    <row r="4" spans="1:22" x14ac:dyDescent="0.3">
      <c r="B4" s="9" t="s">
        <v>33</v>
      </c>
      <c r="C4" s="1169" t="s">
        <v>34</v>
      </c>
      <c r="D4" s="1170"/>
      <c r="E4" s="1169" t="s">
        <v>34</v>
      </c>
      <c r="F4" s="1170"/>
      <c r="G4" s="1169" t="s">
        <v>35</v>
      </c>
      <c r="H4" s="1170"/>
      <c r="I4" s="1169" t="s">
        <v>36</v>
      </c>
      <c r="J4" s="1170"/>
      <c r="K4" s="1169" t="s">
        <v>37</v>
      </c>
      <c r="L4" s="1170"/>
    </row>
    <row r="5" spans="1:22" x14ac:dyDescent="0.3">
      <c r="B5" s="142" t="s">
        <v>38</v>
      </c>
      <c r="C5" s="143" t="s">
        <v>39</v>
      </c>
      <c r="D5" s="144" t="s">
        <v>40</v>
      </c>
      <c r="E5" s="143" t="s">
        <v>39</v>
      </c>
      <c r="F5" s="144" t="s">
        <v>40</v>
      </c>
      <c r="G5" s="143" t="s">
        <v>39</v>
      </c>
      <c r="H5" s="144" t="s">
        <v>40</v>
      </c>
      <c r="I5" s="143" t="s">
        <v>39</v>
      </c>
      <c r="J5" s="144" t="s">
        <v>40</v>
      </c>
      <c r="K5" s="143" t="s">
        <v>39</v>
      </c>
      <c r="L5" s="144" t="s">
        <v>40</v>
      </c>
      <c r="M5" s="17" t="s">
        <v>78</v>
      </c>
      <c r="N5" t="s">
        <v>79</v>
      </c>
      <c r="O5" t="s">
        <v>80</v>
      </c>
      <c r="P5" t="s">
        <v>81</v>
      </c>
      <c r="Q5" t="s">
        <v>21</v>
      </c>
      <c r="R5" t="s">
        <v>19</v>
      </c>
    </row>
    <row r="6" spans="1:22" x14ac:dyDescent="0.3">
      <c r="A6" s="280" t="s">
        <v>991</v>
      </c>
      <c r="B6" s="305" t="str">
        <f t="shared" ref="B6:B44" si="0">IF($D$1=1,M6,IF($D$1=2,N6,IF($D$1=3,O6,IF($D$1=4,P6,0))))</f>
        <v>BRW (elox.)</v>
      </c>
      <c r="C6" s="146">
        <f>IF($D$1=1,E6,IF($D$1=2,G6,IF($D$1=3,I6,IF($D$1=4,K6,0))))</f>
        <v>212.18</v>
      </c>
      <c r="D6" s="146">
        <f>IF($D$1=1,F6,IF($D$1=2,H6,IF($D$1=3,J6,IF($D$1=4,L6,0))))</f>
        <v>92.7</v>
      </c>
      <c r="E6" s="306">
        <v>212.18</v>
      </c>
      <c r="F6" s="306">
        <v>92.7</v>
      </c>
      <c r="G6" s="147">
        <v>6.2856381923076921</v>
      </c>
      <c r="H6" s="147">
        <v>3.4277639423076924</v>
      </c>
      <c r="I6" s="147">
        <v>31.692307692307693</v>
      </c>
      <c r="J6" s="147">
        <v>13.846153846153847</v>
      </c>
      <c r="K6" s="148">
        <v>2239.130434782609</v>
      </c>
      <c r="L6" s="148">
        <v>978.26086956521738</v>
      </c>
      <c r="M6" s="130" t="s">
        <v>991</v>
      </c>
      <c r="N6" s="130" t="s">
        <v>991</v>
      </c>
      <c r="O6" s="130" t="s">
        <v>991</v>
      </c>
      <c r="P6" s="130" t="s">
        <v>991</v>
      </c>
      <c r="Q6" s="150">
        <v>1</v>
      </c>
      <c r="R6" s="150">
        <v>1</v>
      </c>
      <c r="V6" t="e">
        <f>VLOOKUP(B:B,PROFILY_ALL,1,FALSE)</f>
        <v>#REF!</v>
      </c>
    </row>
    <row r="7" spans="1:22" x14ac:dyDescent="0.3">
      <c r="A7" s="280" t="s">
        <v>1400</v>
      </c>
      <c r="B7" s="305" t="str">
        <f t="shared" si="0"/>
        <v>BRW antracit</v>
      </c>
      <c r="C7" s="146">
        <f t="shared" ref="C7:C44" si="1">IF($D$1=1,E7,IF($D$1=2,G7,IF($D$1=3,I7,IF($D$1=4,K7,0))))</f>
        <v>424.36</v>
      </c>
      <c r="D7" s="146">
        <f t="shared" ref="D7:D44" si="2">IF($D$1=1,F7,IF($D$1=2,H7,IF($D$1=3,J7,IF($D$1=4,L7,0))))</f>
        <v>112.27</v>
      </c>
      <c r="E7" s="306">
        <v>424.36</v>
      </c>
      <c r="F7" s="306">
        <v>112.27</v>
      </c>
      <c r="G7" s="147">
        <v>11.554309250000001</v>
      </c>
      <c r="H7" s="147">
        <v>3.4277639423076924</v>
      </c>
      <c r="I7" s="147">
        <v>63.384615384615387</v>
      </c>
      <c r="J7" s="147">
        <v>16.76923076923077</v>
      </c>
      <c r="K7" s="148">
        <v>4478.2608695652179</v>
      </c>
      <c r="L7" s="148">
        <v>1184.7826086956522</v>
      </c>
      <c r="M7" s="130" t="s">
        <v>1400</v>
      </c>
      <c r="N7" s="130" t="s">
        <v>1400</v>
      </c>
      <c r="O7" s="145" t="s">
        <v>1409</v>
      </c>
      <c r="P7" s="130" t="s">
        <v>1409</v>
      </c>
      <c r="Q7" s="150">
        <v>1</v>
      </c>
      <c r="R7" s="150">
        <v>1</v>
      </c>
      <c r="V7" s="137" t="e">
        <f>VLOOKUP(B:B,PROFILY_ALL,1,FALSE)</f>
        <v>#REF!</v>
      </c>
    </row>
    <row r="8" spans="1:22" s="137" customFormat="1" x14ac:dyDescent="0.3">
      <c r="A8" s="280" t="s">
        <v>1658</v>
      </c>
      <c r="B8" s="305" t="str">
        <f>IF($D$1=1,M8,IF($D$1=2,N8,IF($D$1=3,O8,IF($D$1=4,P8,0))))</f>
        <v>BRW bílá mat</v>
      </c>
      <c r="C8" s="146">
        <f t="shared" si="1"/>
        <v>424.36</v>
      </c>
      <c r="D8" s="146">
        <f t="shared" si="2"/>
        <v>112.27</v>
      </c>
      <c r="E8" s="306">
        <v>424.36</v>
      </c>
      <c r="F8" s="306">
        <v>112.27</v>
      </c>
      <c r="G8" s="147">
        <v>11.554309250000001</v>
      </c>
      <c r="H8" s="147">
        <v>3.4277639423076924</v>
      </c>
      <c r="I8" s="147">
        <v>63.384615384615387</v>
      </c>
      <c r="J8" s="147">
        <v>16.76923076923077</v>
      </c>
      <c r="K8" s="148">
        <v>4478.2608695652179</v>
      </c>
      <c r="L8" s="148">
        <v>1184.7826086956522</v>
      </c>
      <c r="M8" s="130" t="s">
        <v>1656</v>
      </c>
      <c r="N8" s="130" t="s">
        <v>1657</v>
      </c>
      <c r="O8" s="145" t="s">
        <v>1658</v>
      </c>
      <c r="P8" s="130" t="s">
        <v>1659</v>
      </c>
      <c r="Q8" s="150">
        <v>1</v>
      </c>
      <c r="R8" s="150">
        <v>1</v>
      </c>
      <c r="V8" s="137" t="e">
        <f>VLOOKUP(B:B,PROFILY_ALL,1,FALSE)</f>
        <v>#REF!</v>
      </c>
    </row>
    <row r="9" spans="1:22" s="137" customFormat="1" x14ac:dyDescent="0.3">
      <c r="A9" s="280" t="s">
        <v>1662</v>
      </c>
      <c r="B9" s="305" t="str">
        <f>IF($D$1=1,M9,IF($D$1=2,N9,IF($D$1=3,O9,IF($D$1=4,P9,0))))</f>
        <v>BRW bílá lesk</v>
      </c>
      <c r="C9" s="146">
        <f t="shared" si="1"/>
        <v>424.36</v>
      </c>
      <c r="D9" s="146">
        <f t="shared" si="2"/>
        <v>112.27</v>
      </c>
      <c r="E9" s="306">
        <v>424.36</v>
      </c>
      <c r="F9" s="306">
        <v>112.27</v>
      </c>
      <c r="G9" s="147">
        <v>11.55</v>
      </c>
      <c r="H9" s="147">
        <v>3.43</v>
      </c>
      <c r="I9" s="147">
        <v>63.38</v>
      </c>
      <c r="J9" s="147">
        <v>16.77</v>
      </c>
      <c r="K9" s="148">
        <v>4478</v>
      </c>
      <c r="L9" s="148">
        <v>1185</v>
      </c>
      <c r="M9" s="130" t="s">
        <v>1660</v>
      </c>
      <c r="N9" s="130" t="s">
        <v>1661</v>
      </c>
      <c r="O9" s="145" t="s">
        <v>1662</v>
      </c>
      <c r="P9" s="130" t="s">
        <v>1663</v>
      </c>
      <c r="Q9" s="150">
        <v>1</v>
      </c>
      <c r="R9" s="150">
        <v>1</v>
      </c>
    </row>
    <row r="10" spans="1:22" s="137" customFormat="1" x14ac:dyDescent="0.3">
      <c r="A10" s="280" t="s">
        <v>1401</v>
      </c>
      <c r="B10" s="305" t="str">
        <f>IF($D$1=1,M10,IF($D$1=2,N10,IF($D$1=3,O10,IF($D$1=4,P10,0))))</f>
        <v>BRW hnědá</v>
      </c>
      <c r="C10" s="146">
        <f t="shared" si="1"/>
        <v>340.93</v>
      </c>
      <c r="D10" s="146">
        <f t="shared" si="2"/>
        <v>112.27</v>
      </c>
      <c r="E10" s="306">
        <v>340.93</v>
      </c>
      <c r="F10" s="306">
        <v>112.27</v>
      </c>
      <c r="G10" s="147">
        <v>7.9469994153846164</v>
      </c>
      <c r="H10" s="147">
        <v>3.4277639423076924</v>
      </c>
      <c r="I10" s="147">
        <v>50.92307692307692</v>
      </c>
      <c r="J10" s="147">
        <v>16.76923076923077</v>
      </c>
      <c r="K10" s="148">
        <v>3597.826086956522</v>
      </c>
      <c r="L10" s="148">
        <v>1184.7826086956522</v>
      </c>
      <c r="M10" s="130" t="s">
        <v>1410</v>
      </c>
      <c r="N10" s="130" t="s">
        <v>1410</v>
      </c>
      <c r="O10" s="145" t="s">
        <v>1401</v>
      </c>
      <c r="P10" s="130" t="s">
        <v>1411</v>
      </c>
      <c r="Q10" s="150">
        <v>1</v>
      </c>
      <c r="R10" s="150">
        <v>1</v>
      </c>
      <c r="V10" s="137" t="e">
        <f>VLOOKUP(B:B,PROFILY_ALL,1,FALSE)</f>
        <v>#REF!</v>
      </c>
    </row>
    <row r="11" spans="1:22" x14ac:dyDescent="0.3">
      <c r="A11" s="280" t="s">
        <v>994</v>
      </c>
      <c r="B11" s="304" t="str">
        <f t="shared" si="0"/>
        <v>BRW broušené</v>
      </c>
      <c r="C11" s="146">
        <f t="shared" si="1"/>
        <v>391.40000000000003</v>
      </c>
      <c r="D11" s="146">
        <f t="shared" si="2"/>
        <v>112.27</v>
      </c>
      <c r="E11" s="306">
        <v>391.40000000000003</v>
      </c>
      <c r="F11" s="306">
        <v>112.27</v>
      </c>
      <c r="G11" s="147">
        <v>11.604608653846155</v>
      </c>
      <c r="H11" s="147">
        <v>3.4277639423076924</v>
      </c>
      <c r="I11" s="147">
        <v>58.46153846153846</v>
      </c>
      <c r="J11" s="147">
        <v>16.76923076923077</v>
      </c>
      <c r="K11" s="148">
        <v>4130.434782608696</v>
      </c>
      <c r="L11" s="148">
        <v>1184.7826086956522</v>
      </c>
      <c r="M11" s="131" t="s">
        <v>992</v>
      </c>
      <c r="N11" s="131" t="s">
        <v>993</v>
      </c>
      <c r="O11" s="131" t="s">
        <v>994</v>
      </c>
      <c r="P11" s="131" t="s">
        <v>995</v>
      </c>
      <c r="Q11" s="150">
        <v>1</v>
      </c>
      <c r="R11" s="150">
        <v>1</v>
      </c>
      <c r="V11" s="137" t="e">
        <f>VLOOKUP(B:B,PROFILY_ALL,1,FALSE)</f>
        <v>#REF!</v>
      </c>
    </row>
    <row r="12" spans="1:22" s="137" customFormat="1" x14ac:dyDescent="0.3">
      <c r="A12" s="280" t="s">
        <v>1674</v>
      </c>
      <c r="B12" s="304" t="str">
        <f>IF($D$1=1,M12,IF($D$1=2,N12,IF($D$1=3,O12,IF($D$1=4,P12,0))))</f>
        <v>BRW černá mat</v>
      </c>
      <c r="C12" s="146">
        <f t="shared" si="1"/>
        <v>340.93</v>
      </c>
      <c r="D12" s="146">
        <f t="shared" si="2"/>
        <v>112.27</v>
      </c>
      <c r="E12" s="306">
        <v>340.93</v>
      </c>
      <c r="F12" s="306">
        <v>112.27</v>
      </c>
      <c r="G12" s="147">
        <v>7.9469994153846164</v>
      </c>
      <c r="H12" s="147">
        <v>3.4277639423076924</v>
      </c>
      <c r="I12" s="147">
        <v>50.92307692307692</v>
      </c>
      <c r="J12" s="147">
        <v>16.76923076923077</v>
      </c>
      <c r="K12" s="148">
        <v>3597.826086956522</v>
      </c>
      <c r="L12" s="148">
        <v>1184.7826086956522</v>
      </c>
      <c r="M12" s="131" t="s">
        <v>1648</v>
      </c>
      <c r="N12" s="131" t="s">
        <v>1649</v>
      </c>
      <c r="O12" s="131" t="s">
        <v>1650</v>
      </c>
      <c r="P12" s="131" t="s">
        <v>1651</v>
      </c>
      <c r="Q12" s="150">
        <v>1</v>
      </c>
      <c r="R12" s="150">
        <v>1</v>
      </c>
      <c r="V12" s="137" t="e">
        <f>VLOOKUP(B:B,PROFILY_ALL,1,FALSE)</f>
        <v>#REF!</v>
      </c>
    </row>
    <row r="13" spans="1:22" s="137" customFormat="1" x14ac:dyDescent="0.3">
      <c r="A13" s="280" t="s">
        <v>1675</v>
      </c>
      <c r="B13" s="304" t="str">
        <f>IF($D$1=1,M13,IF($D$1=2,N13,IF($D$1=3,O13,IF($D$1=4,P13,0))))</f>
        <v>BRW černá lesk</v>
      </c>
      <c r="C13" s="146">
        <f t="shared" si="1"/>
        <v>496.46000000000004</v>
      </c>
      <c r="D13" s="146">
        <f t="shared" si="2"/>
        <v>112.27</v>
      </c>
      <c r="E13" s="306">
        <v>496.46000000000004</v>
      </c>
      <c r="F13" s="306">
        <v>112.27</v>
      </c>
      <c r="G13" s="147">
        <v>11.58</v>
      </c>
      <c r="H13" s="147">
        <v>3.43</v>
      </c>
      <c r="I13" s="147">
        <v>74.150000000000006</v>
      </c>
      <c r="J13" s="147">
        <v>16.77</v>
      </c>
      <c r="K13" s="148">
        <v>5239</v>
      </c>
      <c r="L13" s="148">
        <v>1185</v>
      </c>
      <c r="M13" s="131" t="s">
        <v>1652</v>
      </c>
      <c r="N13" s="131" t="s">
        <v>1653</v>
      </c>
      <c r="O13" s="131" t="s">
        <v>1654</v>
      </c>
      <c r="P13" s="131" t="s">
        <v>1655</v>
      </c>
      <c r="Q13" s="150">
        <v>1</v>
      </c>
      <c r="R13" s="150">
        <v>1</v>
      </c>
    </row>
    <row r="14" spans="1:22" s="137" customFormat="1" x14ac:dyDescent="0.3">
      <c r="A14" s="280" t="s">
        <v>998</v>
      </c>
      <c r="B14" s="304" t="str">
        <f>IF($D$1=1,M14,IF($D$1=2,N14,IF($D$1=3,O14,IF($D$1=4,P14,0))))</f>
        <v>BRW černá broušená</v>
      </c>
      <c r="C14" s="146">
        <f t="shared" si="1"/>
        <v>355.35</v>
      </c>
      <c r="D14" s="146">
        <f t="shared" si="2"/>
        <v>112.27</v>
      </c>
      <c r="E14" s="306">
        <v>355.35</v>
      </c>
      <c r="F14" s="306">
        <v>112.27</v>
      </c>
      <c r="G14" s="147">
        <v>7.9741662000000018</v>
      </c>
      <c r="H14" s="147">
        <v>3.4277639423076924</v>
      </c>
      <c r="I14" s="147">
        <v>53.07692307692308</v>
      </c>
      <c r="J14" s="147">
        <v>16.76923076923077</v>
      </c>
      <c r="K14" s="148">
        <v>3750</v>
      </c>
      <c r="L14" s="148">
        <v>1184.7826086956522</v>
      </c>
      <c r="M14" s="131" t="s">
        <v>996</v>
      </c>
      <c r="N14" s="131" t="s">
        <v>997</v>
      </c>
      <c r="O14" s="131" t="s">
        <v>998</v>
      </c>
      <c r="P14" s="131" t="s">
        <v>999</v>
      </c>
      <c r="Q14" s="150">
        <v>1</v>
      </c>
      <c r="R14" s="150">
        <v>1</v>
      </c>
      <c r="V14" s="137" t="e">
        <f t="shared" ref="V14:V22" si="3">VLOOKUP(B:B,PROFILY_ALL,1,FALSE)</f>
        <v>#REF!</v>
      </c>
    </row>
    <row r="15" spans="1:22" s="137" customFormat="1" x14ac:dyDescent="0.3">
      <c r="A15" s="280" t="s">
        <v>1402</v>
      </c>
      <c r="B15" s="304" t="str">
        <f>IF($D$1=1,M15,IF($D$1=2,N15,IF($D$1=3,O15,IF($D$1=4,P15,0))))</f>
        <v>BRW světlá nerez (ACIER GRATA)</v>
      </c>
      <c r="C15" s="146">
        <f t="shared" si="1"/>
        <v>352.26</v>
      </c>
      <c r="D15" s="146">
        <f t="shared" si="2"/>
        <v>112.27</v>
      </c>
      <c r="E15" s="306">
        <v>352.26</v>
      </c>
      <c r="F15" s="306">
        <v>112.27</v>
      </c>
      <c r="G15" s="147">
        <v>8.147737442307692</v>
      </c>
      <c r="H15" s="147">
        <v>3.4277639423076924</v>
      </c>
      <c r="I15" s="147">
        <v>52.615384615384613</v>
      </c>
      <c r="J15" s="147">
        <v>16.76923076923077</v>
      </c>
      <c r="K15" s="148">
        <v>3717.3913043478265</v>
      </c>
      <c r="L15" s="148">
        <v>1184.7826086956522</v>
      </c>
      <c r="M15" s="131" t="s">
        <v>1412</v>
      </c>
      <c r="N15" s="131" t="s">
        <v>1413</v>
      </c>
      <c r="O15" s="131" t="s">
        <v>1414</v>
      </c>
      <c r="P15" s="131" t="s">
        <v>1415</v>
      </c>
      <c r="Q15" s="150">
        <v>1</v>
      </c>
      <c r="R15" s="150">
        <v>1</v>
      </c>
      <c r="V15" s="137" t="e">
        <f t="shared" si="3"/>
        <v>#REF!</v>
      </c>
    </row>
    <row r="16" spans="1:22" s="137" customFormat="1" x14ac:dyDescent="0.3">
      <c r="A16" s="280" t="s">
        <v>416</v>
      </c>
      <c r="B16" s="304" t="str">
        <f>IF($D$1=1,M16,IF($D$1=2,N16,IF($D$1=3,O16,IF($D$1=4,P16,0))))</f>
        <v>BRW champagne</v>
      </c>
      <c r="C16" s="146">
        <f t="shared" si="1"/>
        <v>340.93</v>
      </c>
      <c r="D16" s="146">
        <f t="shared" si="2"/>
        <v>112.27</v>
      </c>
      <c r="E16" s="306">
        <v>340.93</v>
      </c>
      <c r="F16" s="306">
        <v>112.27</v>
      </c>
      <c r="G16" s="147">
        <v>7.9472036769230776</v>
      </c>
      <c r="H16" s="147">
        <v>3.4277639423076924</v>
      </c>
      <c r="I16" s="147">
        <v>50.92307692307692</v>
      </c>
      <c r="J16" s="147">
        <v>16.76923076923077</v>
      </c>
      <c r="K16" s="148">
        <v>3597.826086956522</v>
      </c>
      <c r="L16" s="148">
        <v>1184.7826086956522</v>
      </c>
      <c r="M16" s="131" t="s">
        <v>42</v>
      </c>
      <c r="N16" s="131" t="s">
        <v>42</v>
      </c>
      <c r="O16" s="131" t="s">
        <v>416</v>
      </c>
      <c r="P16" s="131" t="s">
        <v>624</v>
      </c>
      <c r="Q16" s="150">
        <v>1</v>
      </c>
      <c r="R16" s="150">
        <v>1</v>
      </c>
      <c r="V16" s="137" t="e">
        <f t="shared" si="3"/>
        <v>#REF!</v>
      </c>
    </row>
    <row r="17" spans="1:22" x14ac:dyDescent="0.3">
      <c r="A17" s="280" t="s">
        <v>1403</v>
      </c>
      <c r="B17" s="304" t="str">
        <f t="shared" si="0"/>
        <v>BRW tmavá nerez br. (Inox lija)</v>
      </c>
      <c r="C17" s="146">
        <f t="shared" si="1"/>
        <v>352.26</v>
      </c>
      <c r="D17" s="146">
        <f t="shared" si="2"/>
        <v>112.27</v>
      </c>
      <c r="E17" s="306">
        <v>352.26</v>
      </c>
      <c r="F17" s="306">
        <v>112.27</v>
      </c>
      <c r="G17" s="147">
        <v>8.147737442307692</v>
      </c>
      <c r="H17" s="147">
        <v>3.4277639423076924</v>
      </c>
      <c r="I17" s="147">
        <v>52.615384615384613</v>
      </c>
      <c r="J17" s="147">
        <v>16.76923076923077</v>
      </c>
      <c r="K17" s="148">
        <v>3717.3913043478265</v>
      </c>
      <c r="L17" s="148">
        <v>1184.7826086956522</v>
      </c>
      <c r="M17" s="131" t="s">
        <v>1416</v>
      </c>
      <c r="N17" s="131" t="s">
        <v>1417</v>
      </c>
      <c r="O17" s="149" t="s">
        <v>417</v>
      </c>
      <c r="P17" s="131" t="s">
        <v>625</v>
      </c>
      <c r="Q17" s="150">
        <v>1</v>
      </c>
      <c r="R17" s="150">
        <v>1</v>
      </c>
      <c r="V17" s="137" t="e">
        <f t="shared" si="3"/>
        <v>#REF!</v>
      </c>
    </row>
    <row r="18" spans="1:22" x14ac:dyDescent="0.3">
      <c r="A18" s="280" t="s">
        <v>1000</v>
      </c>
      <c r="B18" s="304" t="str">
        <f t="shared" si="0"/>
        <v>Corleone (elox.)</v>
      </c>
      <c r="C18" s="146">
        <f t="shared" si="1"/>
        <v>391.40000000000003</v>
      </c>
      <c r="D18" s="146">
        <f t="shared" si="2"/>
        <v>161.71</v>
      </c>
      <c r="E18" s="306">
        <v>391.40000000000003</v>
      </c>
      <c r="F18" s="306">
        <v>161.71</v>
      </c>
      <c r="G18" s="147">
        <v>9.7074274846153852</v>
      </c>
      <c r="H18" s="147">
        <v>5.0516431730769238</v>
      </c>
      <c r="I18" s="147">
        <v>58.46153846153846</v>
      </c>
      <c r="J18" s="147">
        <v>24.153846153846153</v>
      </c>
      <c r="K18" s="148">
        <v>4130.434782608696</v>
      </c>
      <c r="L18" s="148">
        <v>1706.5217391304348</v>
      </c>
      <c r="M18" s="131" t="s">
        <v>1000</v>
      </c>
      <c r="N18" s="131" t="s">
        <v>1000</v>
      </c>
      <c r="O18" s="149" t="s">
        <v>1000</v>
      </c>
      <c r="P18" s="131" t="s">
        <v>1000</v>
      </c>
      <c r="Q18" s="150">
        <v>2</v>
      </c>
      <c r="R18" s="150">
        <v>1</v>
      </c>
      <c r="V18" s="137" t="e">
        <f t="shared" si="3"/>
        <v>#REF!</v>
      </c>
    </row>
    <row r="19" spans="1:22" x14ac:dyDescent="0.3">
      <c r="A19" s="280" t="s">
        <v>711</v>
      </c>
      <c r="B19" s="304" t="str">
        <f t="shared" si="0"/>
        <v>Corleone černé mat</v>
      </c>
      <c r="C19" s="146">
        <f t="shared" si="1"/>
        <v>504.7</v>
      </c>
      <c r="D19" s="146">
        <f t="shared" si="2"/>
        <v>161.71</v>
      </c>
      <c r="E19" s="306">
        <v>504.7</v>
      </c>
      <c r="F19" s="306">
        <v>161.71</v>
      </c>
      <c r="G19" s="147">
        <v>13.220011030769232</v>
      </c>
      <c r="H19" s="147">
        <v>5.0516431730769238</v>
      </c>
      <c r="I19" s="147">
        <v>75.384615384615387</v>
      </c>
      <c r="J19" s="147">
        <v>24.153846153846153</v>
      </c>
      <c r="K19" s="148">
        <v>5326.0869565217399</v>
      </c>
      <c r="L19" s="148">
        <v>1706.5217391304348</v>
      </c>
      <c r="M19" s="131" t="s">
        <v>1682</v>
      </c>
      <c r="N19" s="131" t="s">
        <v>1683</v>
      </c>
      <c r="O19" s="149" t="s">
        <v>1684</v>
      </c>
      <c r="P19" s="131" t="s">
        <v>1685</v>
      </c>
      <c r="Q19" s="150">
        <v>2</v>
      </c>
      <c r="R19" s="150">
        <v>1</v>
      </c>
      <c r="V19" s="137" t="e">
        <f t="shared" si="3"/>
        <v>#REF!</v>
      </c>
    </row>
    <row r="20" spans="1:22" x14ac:dyDescent="0.3">
      <c r="A20" s="280" t="s">
        <v>1002</v>
      </c>
      <c r="B20" s="304" t="str">
        <f t="shared" si="0"/>
        <v>Corleone champagne</v>
      </c>
      <c r="C20" s="146">
        <f t="shared" si="1"/>
        <v>504.7</v>
      </c>
      <c r="D20" s="146">
        <f t="shared" si="2"/>
        <v>161.71</v>
      </c>
      <c r="E20" s="306">
        <v>504.7</v>
      </c>
      <c r="F20" s="306">
        <v>161.71</v>
      </c>
      <c r="G20" s="147">
        <v>13.044141846153849</v>
      </c>
      <c r="H20" s="147">
        <v>5.0516431730769238</v>
      </c>
      <c r="I20" s="147">
        <v>75.384615384615387</v>
      </c>
      <c r="J20" s="147">
        <v>24.153846153846153</v>
      </c>
      <c r="K20" s="148">
        <v>5326.0869565217399</v>
      </c>
      <c r="L20" s="148">
        <v>1706.5217391304348</v>
      </c>
      <c r="M20" s="131" t="s">
        <v>1001</v>
      </c>
      <c r="N20" s="131" t="s">
        <v>1001</v>
      </c>
      <c r="O20" s="149" t="s">
        <v>1002</v>
      </c>
      <c r="P20" s="131" t="s">
        <v>1003</v>
      </c>
      <c r="Q20" s="150">
        <v>2</v>
      </c>
      <c r="R20" s="150">
        <v>1</v>
      </c>
      <c r="V20" s="137" t="e">
        <f t="shared" si="3"/>
        <v>#REF!</v>
      </c>
    </row>
    <row r="21" spans="1:22" x14ac:dyDescent="0.3">
      <c r="A21" s="280" t="s">
        <v>1004</v>
      </c>
      <c r="B21" s="304" t="str">
        <f t="shared" si="0"/>
        <v>Imola (elox.)</v>
      </c>
      <c r="C21" s="146">
        <f t="shared" si="1"/>
        <v>385.22</v>
      </c>
      <c r="D21" s="146">
        <f t="shared" si="2"/>
        <v>156.56</v>
      </c>
      <c r="E21" s="306">
        <v>385.22</v>
      </c>
      <c r="F21" s="306">
        <v>156.56</v>
      </c>
      <c r="G21" s="147">
        <v>9.5899260346153845</v>
      </c>
      <c r="H21" s="147">
        <v>5.0516431730769238</v>
      </c>
      <c r="I21" s="147">
        <v>57.53846153846154</v>
      </c>
      <c r="J21" s="147">
        <v>23.384615384615383</v>
      </c>
      <c r="K21" s="148">
        <v>4065.2173913043484</v>
      </c>
      <c r="L21" s="148">
        <v>1652.1739130434785</v>
      </c>
      <c r="M21" s="131" t="s">
        <v>1004</v>
      </c>
      <c r="N21" s="131" t="s">
        <v>1004</v>
      </c>
      <c r="O21" s="149" t="s">
        <v>1004</v>
      </c>
      <c r="P21" s="131" t="s">
        <v>1004</v>
      </c>
      <c r="Q21" s="150">
        <v>2</v>
      </c>
      <c r="R21" s="150">
        <v>2</v>
      </c>
      <c r="V21" s="137" t="e">
        <f t="shared" si="3"/>
        <v>#REF!</v>
      </c>
    </row>
    <row r="22" spans="1:22" x14ac:dyDescent="0.3">
      <c r="A22" s="280" t="s">
        <v>1630</v>
      </c>
      <c r="B22" s="304" t="str">
        <f t="shared" si="0"/>
        <v>Imola černá mat</v>
      </c>
      <c r="C22" s="146">
        <f t="shared" si="1"/>
        <v>504.7</v>
      </c>
      <c r="D22" s="146">
        <f t="shared" si="2"/>
        <v>161.71</v>
      </c>
      <c r="E22" s="306">
        <v>504.7</v>
      </c>
      <c r="F22" s="306">
        <v>161.71</v>
      </c>
      <c r="G22" s="147">
        <v>12.9</v>
      </c>
      <c r="H22" s="147">
        <v>5.0516431730769238</v>
      </c>
      <c r="I22" s="147">
        <v>75.384615384615387</v>
      </c>
      <c r="J22" s="147">
        <v>24.153846153846153</v>
      </c>
      <c r="K22" s="148">
        <v>5326.0869565217399</v>
      </c>
      <c r="L22" s="148">
        <v>1706.5217391304348</v>
      </c>
      <c r="M22" s="131" t="s">
        <v>1628</v>
      </c>
      <c r="N22" s="131" t="s">
        <v>1629</v>
      </c>
      <c r="O22" s="149" t="s">
        <v>1630</v>
      </c>
      <c r="P22" s="131" t="s">
        <v>1631</v>
      </c>
      <c r="Q22" s="150">
        <v>2</v>
      </c>
      <c r="R22" s="150">
        <v>2</v>
      </c>
      <c r="V22" s="137" t="e">
        <f t="shared" si="3"/>
        <v>#REF!</v>
      </c>
    </row>
    <row r="23" spans="1:22" s="137" customFormat="1" x14ac:dyDescent="0.3">
      <c r="A23" s="280" t="s">
        <v>1681</v>
      </c>
      <c r="B23" s="304" t="str">
        <f>IF($D$1=1,M23,IF($D$1=2,N23,IF($D$1=3,O23,IF($D$1=4,P23,0))))</f>
        <v>Imola bílá mat</v>
      </c>
      <c r="C23" s="146">
        <f t="shared" si="1"/>
        <v>780.74</v>
      </c>
      <c r="D23" s="146">
        <f t="shared" si="2"/>
        <v>161.71</v>
      </c>
      <c r="E23" s="306">
        <v>780.74</v>
      </c>
      <c r="F23" s="306">
        <v>161.71</v>
      </c>
      <c r="G23" s="147">
        <v>19.96</v>
      </c>
      <c r="H23" s="147">
        <v>5.05</v>
      </c>
      <c r="I23" s="147">
        <v>116.62</v>
      </c>
      <c r="J23" s="147">
        <v>24.15</v>
      </c>
      <c r="K23" s="148">
        <v>8239</v>
      </c>
      <c r="L23" s="148">
        <v>1707</v>
      </c>
      <c r="M23" s="130" t="s">
        <v>1677</v>
      </c>
      <c r="N23" s="130" t="s">
        <v>1678</v>
      </c>
      <c r="O23" s="145" t="s">
        <v>1679</v>
      </c>
      <c r="P23" s="130" t="s">
        <v>1680</v>
      </c>
      <c r="Q23" s="150">
        <v>2</v>
      </c>
      <c r="R23" s="150">
        <v>2</v>
      </c>
    </row>
    <row r="24" spans="1:22" x14ac:dyDescent="0.3">
      <c r="A24" s="280" t="s">
        <v>1005</v>
      </c>
      <c r="B24" s="304" t="str">
        <f t="shared" si="0"/>
        <v>Modena (elox.)</v>
      </c>
      <c r="C24" s="146">
        <f t="shared" si="1"/>
        <v>346.08</v>
      </c>
      <c r="D24" s="146">
        <f t="shared" si="2"/>
        <v>150.38</v>
      </c>
      <c r="E24" s="306">
        <v>346.08</v>
      </c>
      <c r="F24" s="306">
        <v>150.38</v>
      </c>
      <c r="G24" s="147">
        <v>9.3020704615384631</v>
      </c>
      <c r="H24" s="147">
        <v>5.0516431730769238</v>
      </c>
      <c r="I24" s="147">
        <v>51.692307692307693</v>
      </c>
      <c r="J24" s="147">
        <v>22.46153846153846</v>
      </c>
      <c r="K24" s="148">
        <v>3652.1739130434789</v>
      </c>
      <c r="L24" s="148">
        <v>1586.9565217391307</v>
      </c>
      <c r="M24" s="131" t="s">
        <v>1005</v>
      </c>
      <c r="N24" s="131" t="s">
        <v>1005</v>
      </c>
      <c r="O24" s="149" t="s">
        <v>1005</v>
      </c>
      <c r="P24" s="131" t="s">
        <v>1005</v>
      </c>
      <c r="Q24" s="150">
        <v>2</v>
      </c>
      <c r="R24" s="150">
        <v>1</v>
      </c>
      <c r="V24" s="137" t="e">
        <f>VLOOKUP(B:B,PROFILY_ALL,1,FALSE)</f>
        <v>#REF!</v>
      </c>
    </row>
    <row r="25" spans="1:22" x14ac:dyDescent="0.3">
      <c r="A25" s="280" t="s">
        <v>1672</v>
      </c>
      <c r="B25" s="305" t="str">
        <f t="shared" si="0"/>
        <v>Modena černá mat</v>
      </c>
      <c r="C25" s="146">
        <f t="shared" si="1"/>
        <v>402.73</v>
      </c>
      <c r="D25" s="146">
        <f t="shared" si="2"/>
        <v>150.38</v>
      </c>
      <c r="E25" s="306">
        <v>402.73</v>
      </c>
      <c r="F25" s="306">
        <v>150.38</v>
      </c>
      <c r="G25" s="147">
        <v>11.755660061538462</v>
      </c>
      <c r="H25" s="147">
        <v>5.0516431730769238</v>
      </c>
      <c r="I25" s="147">
        <v>60.153846153846153</v>
      </c>
      <c r="J25" s="147">
        <v>22.46153846153846</v>
      </c>
      <c r="K25" s="148">
        <v>4250</v>
      </c>
      <c r="L25" s="148">
        <v>1586.9565217391307</v>
      </c>
      <c r="M25" s="131" t="s">
        <v>1640</v>
      </c>
      <c r="N25" s="131" t="s">
        <v>1641</v>
      </c>
      <c r="O25" s="131" t="s">
        <v>1642</v>
      </c>
      <c r="P25" s="131" t="s">
        <v>1643</v>
      </c>
      <c r="Q25" s="150">
        <v>2</v>
      </c>
      <c r="R25" s="150">
        <v>1</v>
      </c>
      <c r="V25" s="137" t="e">
        <f>VLOOKUP(B:B,PROFILY_ALL,1,FALSE)</f>
        <v>#REF!</v>
      </c>
    </row>
    <row r="26" spans="1:22" s="137" customFormat="1" x14ac:dyDescent="0.3">
      <c r="A26" s="280" t="s">
        <v>1673</v>
      </c>
      <c r="B26" s="305" t="str">
        <f t="shared" si="0"/>
        <v>Modena černá lesk</v>
      </c>
      <c r="C26" s="146">
        <f t="shared" si="1"/>
        <v>709.67000000000007</v>
      </c>
      <c r="D26" s="146">
        <f t="shared" si="2"/>
        <v>161.71</v>
      </c>
      <c r="E26" s="306">
        <v>709.67000000000007</v>
      </c>
      <c r="F26" s="306">
        <v>161.71</v>
      </c>
      <c r="G26" s="147">
        <v>20.72</v>
      </c>
      <c r="H26" s="147">
        <v>5.43</v>
      </c>
      <c r="I26" s="147">
        <v>106</v>
      </c>
      <c r="J26" s="147">
        <v>24.15</v>
      </c>
      <c r="K26" s="148">
        <v>7489.13</v>
      </c>
      <c r="L26" s="148">
        <v>1706.57</v>
      </c>
      <c r="M26" s="131" t="s">
        <v>1644</v>
      </c>
      <c r="N26" s="131" t="s">
        <v>1645</v>
      </c>
      <c r="O26" s="131" t="s">
        <v>1646</v>
      </c>
      <c r="P26" s="131" t="s">
        <v>1647</v>
      </c>
      <c r="Q26" s="150">
        <v>2</v>
      </c>
      <c r="R26" s="150">
        <v>1</v>
      </c>
    </row>
    <row r="27" spans="1:22" x14ac:dyDescent="0.3">
      <c r="A27" s="280" t="s">
        <v>690</v>
      </c>
      <c r="B27" s="305" t="str">
        <f t="shared" si="0"/>
        <v>Modena černá broušená</v>
      </c>
      <c r="C27" s="146">
        <f t="shared" si="1"/>
        <v>504.7</v>
      </c>
      <c r="D27" s="146">
        <f t="shared" si="2"/>
        <v>150.38</v>
      </c>
      <c r="E27" s="306">
        <v>504.7</v>
      </c>
      <c r="F27" s="306">
        <v>150.38</v>
      </c>
      <c r="G27" s="147">
        <v>11.635247884615385</v>
      </c>
      <c r="H27" s="147">
        <v>5.0516431730769238</v>
      </c>
      <c r="I27" s="147">
        <v>75.384615384615387</v>
      </c>
      <c r="J27" s="147">
        <v>22.46153846153846</v>
      </c>
      <c r="K27" s="148">
        <v>5326.0869565217399</v>
      </c>
      <c r="L27" s="148">
        <v>1586.9565217391307</v>
      </c>
      <c r="M27" s="130" t="s">
        <v>688</v>
      </c>
      <c r="N27" s="130" t="s">
        <v>689</v>
      </c>
      <c r="O27" s="145" t="s">
        <v>690</v>
      </c>
      <c r="P27" s="130" t="s">
        <v>691</v>
      </c>
      <c r="Q27" s="150">
        <v>2</v>
      </c>
      <c r="R27" s="150">
        <v>1</v>
      </c>
      <c r="V27" s="137" t="e">
        <f>VLOOKUP(B:B,PROFILY_ALL,1,FALSE)</f>
        <v>#REF!</v>
      </c>
    </row>
    <row r="28" spans="1:22" x14ac:dyDescent="0.3">
      <c r="A28" s="280" t="s">
        <v>1404</v>
      </c>
      <c r="B28" s="305" t="str">
        <f t="shared" si="0"/>
        <v>Modena tmavá nerez br. (inox lija)</v>
      </c>
      <c r="C28" s="146">
        <f t="shared" si="1"/>
        <v>508.82</v>
      </c>
      <c r="D28" s="146">
        <f t="shared" si="2"/>
        <v>150.38</v>
      </c>
      <c r="E28" s="306">
        <v>508.82</v>
      </c>
      <c r="F28" s="306">
        <v>150.38</v>
      </c>
      <c r="G28" s="147">
        <v>11.635247884615385</v>
      </c>
      <c r="H28" s="147">
        <v>5.0516431730769238</v>
      </c>
      <c r="I28" s="147">
        <v>76</v>
      </c>
      <c r="J28" s="147">
        <v>22.46153846153846</v>
      </c>
      <c r="K28" s="148">
        <v>5369.5652173913049</v>
      </c>
      <c r="L28" s="148">
        <v>1586.9565217391307</v>
      </c>
      <c r="M28" s="130" t="s">
        <v>1418</v>
      </c>
      <c r="N28" s="130" t="s">
        <v>1419</v>
      </c>
      <c r="O28" s="145" t="s">
        <v>686</v>
      </c>
      <c r="P28" s="130" t="s">
        <v>687</v>
      </c>
      <c r="Q28" s="150">
        <v>2</v>
      </c>
      <c r="R28" s="150">
        <v>1</v>
      </c>
      <c r="V28" s="137" t="e">
        <f>VLOOKUP(B:B,PROFILY_ALL,1,FALSE)</f>
        <v>#REF!</v>
      </c>
    </row>
    <row r="29" spans="1:22" x14ac:dyDescent="0.3">
      <c r="A29" s="280" t="s">
        <v>1006</v>
      </c>
      <c r="B29" s="304" t="str">
        <f t="shared" si="0"/>
        <v>Palio (elox.)</v>
      </c>
      <c r="C29" s="146">
        <f t="shared" si="1"/>
        <v>380.07</v>
      </c>
      <c r="D29" s="146">
        <f t="shared" si="2"/>
        <v>145.22999999999999</v>
      </c>
      <c r="E29" s="306">
        <v>380.07</v>
      </c>
      <c r="F29" s="306">
        <v>145.22999999999999</v>
      </c>
      <c r="G29" s="147">
        <v>10.319548250000002</v>
      </c>
      <c r="H29" s="147">
        <v>4.6456733653846154</v>
      </c>
      <c r="I29" s="147">
        <v>56.769230769230766</v>
      </c>
      <c r="J29" s="147">
        <v>21.692307692307693</v>
      </c>
      <c r="K29" s="148">
        <v>4010.8695652173915</v>
      </c>
      <c r="L29" s="148">
        <v>1532.608695652174</v>
      </c>
      <c r="M29" s="131" t="s">
        <v>1006</v>
      </c>
      <c r="N29" s="130" t="s">
        <v>1006</v>
      </c>
      <c r="O29" s="149" t="s">
        <v>1006</v>
      </c>
      <c r="P29" s="130" t="s">
        <v>1006</v>
      </c>
      <c r="Q29" s="150">
        <v>2</v>
      </c>
      <c r="R29" s="150">
        <v>1</v>
      </c>
      <c r="V29" s="137" t="e">
        <f>VLOOKUP(B:B,PROFILY_ALL,1,FALSE)</f>
        <v>#REF!</v>
      </c>
    </row>
    <row r="30" spans="1:22" x14ac:dyDescent="0.3">
      <c r="A30" s="280" t="s">
        <v>1007</v>
      </c>
      <c r="B30" s="304" t="str">
        <f t="shared" si="0"/>
        <v>Pisa (elox.)</v>
      </c>
      <c r="C30" s="146">
        <f t="shared" si="1"/>
        <v>370.8</v>
      </c>
      <c r="D30" s="146">
        <f t="shared" si="2"/>
        <v>161.71</v>
      </c>
      <c r="E30" s="306">
        <v>370.8</v>
      </c>
      <c r="F30" s="306">
        <v>161.71</v>
      </c>
      <c r="G30" s="147">
        <v>9.3470080000000024</v>
      </c>
      <c r="H30" s="147">
        <v>5.1473907692307694</v>
      </c>
      <c r="I30" s="147">
        <v>55.384615384615387</v>
      </c>
      <c r="J30" s="147">
        <v>24.153846153846153</v>
      </c>
      <c r="K30" s="148">
        <v>3913.0434782608695</v>
      </c>
      <c r="L30" s="148">
        <v>1706.5217391304348</v>
      </c>
      <c r="M30" s="131" t="s">
        <v>1007</v>
      </c>
      <c r="N30" s="130" t="s">
        <v>1007</v>
      </c>
      <c r="O30" s="149" t="s">
        <v>1007</v>
      </c>
      <c r="P30" s="130" t="s">
        <v>1007</v>
      </c>
      <c r="Q30" s="150">
        <v>2</v>
      </c>
      <c r="R30" s="150">
        <v>2</v>
      </c>
      <c r="V30" s="137" t="e">
        <f>VLOOKUP(B:B,PROFILY_ALL,1,FALSE)</f>
        <v>#REF!</v>
      </c>
    </row>
    <row r="31" spans="1:22" x14ac:dyDescent="0.3">
      <c r="A31" s="280" t="s">
        <v>1634</v>
      </c>
      <c r="B31" s="304" t="str">
        <f t="shared" si="0"/>
        <v>Pisa černá mat</v>
      </c>
      <c r="C31" s="146">
        <f t="shared" si="1"/>
        <v>469.68</v>
      </c>
      <c r="D31" s="146">
        <f t="shared" si="2"/>
        <v>161.71</v>
      </c>
      <c r="E31" s="306">
        <v>469.68</v>
      </c>
      <c r="F31" s="306">
        <v>161.71</v>
      </c>
      <c r="G31" s="147">
        <v>11.650720696153847</v>
      </c>
      <c r="H31" s="147">
        <v>5.1473907692307694</v>
      </c>
      <c r="I31" s="147">
        <v>70.15384615384616</v>
      </c>
      <c r="J31" s="147">
        <v>24.153846153846153</v>
      </c>
      <c r="K31" s="148">
        <v>4956.521739130435</v>
      </c>
      <c r="L31" s="148">
        <v>1706.5217391304348</v>
      </c>
      <c r="M31" s="131" t="s">
        <v>1632</v>
      </c>
      <c r="N31" s="131" t="s">
        <v>1633</v>
      </c>
      <c r="O31" s="131" t="s">
        <v>1634</v>
      </c>
      <c r="P31" s="131" t="s">
        <v>1635</v>
      </c>
      <c r="Q31" s="150">
        <v>2</v>
      </c>
      <c r="R31" s="150">
        <v>2</v>
      </c>
      <c r="V31" s="137" t="e">
        <f>VLOOKUP(B:B,PROFILY_ALL,1,FALSE)</f>
        <v>#REF!</v>
      </c>
    </row>
    <row r="32" spans="1:22" s="137" customFormat="1" x14ac:dyDescent="0.3">
      <c r="A32" s="280" t="s">
        <v>1676</v>
      </c>
      <c r="B32" s="304" t="str">
        <f t="shared" si="0"/>
        <v>Pisa černá lesk</v>
      </c>
      <c r="C32" s="146">
        <f t="shared" si="1"/>
        <v>709.67000000000007</v>
      </c>
      <c r="D32" s="146">
        <f t="shared" si="2"/>
        <v>161.71</v>
      </c>
      <c r="E32" s="306">
        <v>709.67000000000007</v>
      </c>
      <c r="F32" s="306">
        <v>161.71</v>
      </c>
      <c r="G32" s="147">
        <v>20.72</v>
      </c>
      <c r="H32" s="147">
        <v>5.15</v>
      </c>
      <c r="I32" s="147">
        <v>106</v>
      </c>
      <c r="J32" s="147">
        <v>24.15</v>
      </c>
      <c r="K32" s="148">
        <v>7489</v>
      </c>
      <c r="L32" s="148">
        <v>1707</v>
      </c>
      <c r="M32" s="131" t="s">
        <v>1636</v>
      </c>
      <c r="N32" s="131" t="s">
        <v>1637</v>
      </c>
      <c r="O32" s="131" t="s">
        <v>1638</v>
      </c>
      <c r="P32" s="131" t="s">
        <v>1639</v>
      </c>
      <c r="Q32" s="150">
        <v>2</v>
      </c>
      <c r="R32" s="150">
        <v>2</v>
      </c>
    </row>
    <row r="33" spans="1:22" s="137" customFormat="1" x14ac:dyDescent="0.3">
      <c r="A33" s="280" t="s">
        <v>1008</v>
      </c>
      <c r="B33" s="304" t="str">
        <f>IF($D$1=1,M33,IF($D$1=2,N33,IF($D$1=3,O33,IF($D$1=4,P33,0))))</f>
        <v>Ravena (elox.)</v>
      </c>
      <c r="C33" s="146">
        <f t="shared" si="1"/>
        <v>278.10000000000002</v>
      </c>
      <c r="D33" s="146">
        <f t="shared" si="2"/>
        <v>112.27</v>
      </c>
      <c r="E33" s="306">
        <v>278.10000000000002</v>
      </c>
      <c r="F33" s="306">
        <v>112.27</v>
      </c>
      <c r="G33" s="147">
        <v>8.5713248076923083</v>
      </c>
      <c r="H33" s="147">
        <v>3.4277639423076924</v>
      </c>
      <c r="I33" s="147">
        <v>41.53846153846154</v>
      </c>
      <c r="J33" s="147">
        <v>16.76923076923077</v>
      </c>
      <c r="K33" s="148">
        <v>2934.7826086956525</v>
      </c>
      <c r="L33" s="148">
        <v>1184.7826086956522</v>
      </c>
      <c r="M33" s="131" t="s">
        <v>1420</v>
      </c>
      <c r="N33" s="131" t="s">
        <v>1008</v>
      </c>
      <c r="O33" s="131" t="s">
        <v>1008</v>
      </c>
      <c r="P33" s="131" t="s">
        <v>1008</v>
      </c>
      <c r="Q33" s="150">
        <v>1</v>
      </c>
      <c r="R33" s="150">
        <v>1</v>
      </c>
      <c r="V33" s="137" t="e">
        <f t="shared" ref="V33:V44" si="4">VLOOKUP(B:B,PROFILY_ALL,1,FALSE)</f>
        <v>#REF!</v>
      </c>
    </row>
    <row r="34" spans="1:22" s="137" customFormat="1" x14ac:dyDescent="0.3">
      <c r="A34" s="280" t="s">
        <v>1009</v>
      </c>
      <c r="B34" s="304" t="str">
        <f>IF($D$1=1,M34,IF($D$1=2,N34,IF($D$1=3,O34,IF($D$1=4,P34,0))))</f>
        <v>Siena (elox.)</v>
      </c>
      <c r="C34" s="146">
        <f t="shared" si="1"/>
        <v>380.07</v>
      </c>
      <c r="D34" s="146">
        <f t="shared" si="2"/>
        <v>145.22999999999999</v>
      </c>
      <c r="E34" s="306">
        <v>380.07</v>
      </c>
      <c r="F34" s="306">
        <v>145.22999999999999</v>
      </c>
      <c r="G34" s="147">
        <v>10.319548250000002</v>
      </c>
      <c r="H34" s="147">
        <v>4.6456733653846154</v>
      </c>
      <c r="I34" s="147">
        <v>56.769230769230766</v>
      </c>
      <c r="J34" s="147">
        <v>21.692307692307693</v>
      </c>
      <c r="K34" s="148">
        <v>4010.8695652173915</v>
      </c>
      <c r="L34" s="148">
        <v>1532.608695652174</v>
      </c>
      <c r="M34" s="131" t="s">
        <v>1009</v>
      </c>
      <c r="N34" s="131" t="s">
        <v>1009</v>
      </c>
      <c r="O34" s="131" t="s">
        <v>1009</v>
      </c>
      <c r="P34" s="131" t="s">
        <v>1009</v>
      </c>
      <c r="Q34" s="150">
        <v>2</v>
      </c>
      <c r="R34" s="150">
        <v>1</v>
      </c>
      <c r="V34" s="137" t="e">
        <f t="shared" si="4"/>
        <v>#REF!</v>
      </c>
    </row>
    <row r="35" spans="1:22" x14ac:dyDescent="0.3">
      <c r="A35" s="280" t="s">
        <v>1010</v>
      </c>
      <c r="B35" s="304" t="str">
        <f t="shared" si="0"/>
        <v>Verona (elox.)</v>
      </c>
      <c r="C35" s="146">
        <f t="shared" si="1"/>
        <v>257.5</v>
      </c>
      <c r="D35" s="146">
        <f t="shared" si="2"/>
        <v>92.7</v>
      </c>
      <c r="E35" s="306">
        <v>257.5</v>
      </c>
      <c r="F35" s="306">
        <v>92.7</v>
      </c>
      <c r="G35" s="147">
        <v>6.2856381923076921</v>
      </c>
      <c r="H35" s="147">
        <v>3.4277639423076924</v>
      </c>
      <c r="I35" s="147">
        <v>38.46153846153846</v>
      </c>
      <c r="J35" s="147">
        <v>13.846153846153847</v>
      </c>
      <c r="K35" s="148">
        <v>2717.391304347826</v>
      </c>
      <c r="L35" s="148">
        <v>978.26086956521738</v>
      </c>
      <c r="M35" s="131" t="s">
        <v>1010</v>
      </c>
      <c r="N35" s="131" t="s">
        <v>1010</v>
      </c>
      <c r="O35" s="131" t="s">
        <v>1010</v>
      </c>
      <c r="P35" s="131" t="s">
        <v>1010</v>
      </c>
      <c r="Q35" s="150">
        <v>1</v>
      </c>
      <c r="R35" s="150">
        <v>1</v>
      </c>
      <c r="V35" s="137" t="e">
        <f t="shared" si="4"/>
        <v>#REF!</v>
      </c>
    </row>
    <row r="36" spans="1:22" s="137" customFormat="1" x14ac:dyDescent="0.3">
      <c r="A36" s="280" t="s">
        <v>701</v>
      </c>
      <c r="B36" s="304" t="str">
        <f>IF($D$1=1,M36,IF($D$1=2,N36,IF($D$1=3,O36,IF($D$1=4,P36,0))))</f>
        <v>Verona broušený hliník</v>
      </c>
      <c r="C36" s="146">
        <f t="shared" si="1"/>
        <v>447.02000000000004</v>
      </c>
      <c r="D36" s="146">
        <f t="shared" si="2"/>
        <v>112.27</v>
      </c>
      <c r="E36" s="306">
        <v>447.02000000000004</v>
      </c>
      <c r="F36" s="306">
        <v>112.27</v>
      </c>
      <c r="G36" s="147">
        <v>9.485395192307692</v>
      </c>
      <c r="H36" s="147">
        <v>3.4277639423076924</v>
      </c>
      <c r="I36" s="147">
        <v>66.769230769230774</v>
      </c>
      <c r="J36" s="147">
        <v>16.76923076923077</v>
      </c>
      <c r="K36" s="148">
        <v>4717.3913043478269</v>
      </c>
      <c r="L36" s="148">
        <v>1184.7826086956522</v>
      </c>
      <c r="M36" s="131" t="s">
        <v>1421</v>
      </c>
      <c r="N36" s="131" t="s">
        <v>700</v>
      </c>
      <c r="O36" s="131" t="s">
        <v>701</v>
      </c>
      <c r="P36" s="131" t="s">
        <v>702</v>
      </c>
      <c r="Q36" s="150">
        <v>1</v>
      </c>
      <c r="R36" s="150">
        <v>1</v>
      </c>
      <c r="V36" s="137" t="e">
        <f t="shared" si="4"/>
        <v>#REF!</v>
      </c>
    </row>
    <row r="37" spans="1:22" s="137" customFormat="1" x14ac:dyDescent="0.3">
      <c r="A37" s="280" t="s">
        <v>698</v>
      </c>
      <c r="B37" s="304" t="str">
        <f>IF($D$1=1,M37,IF($D$1=2,N37,IF($D$1=3,O37,IF($D$1=4,P37,0))))</f>
        <v>Verona černá lesk</v>
      </c>
      <c r="C37" s="146">
        <f t="shared" si="1"/>
        <v>373.89</v>
      </c>
      <c r="D37" s="146">
        <f t="shared" si="2"/>
        <v>112.27</v>
      </c>
      <c r="E37" s="306">
        <v>373.89</v>
      </c>
      <c r="F37" s="306">
        <v>112.27</v>
      </c>
      <c r="G37" s="147">
        <v>8.7122652692307696</v>
      </c>
      <c r="H37" s="147">
        <v>3.4277639423076924</v>
      </c>
      <c r="I37" s="147">
        <v>55.846153846153847</v>
      </c>
      <c r="J37" s="147">
        <v>16.76923076923077</v>
      </c>
      <c r="K37" s="148">
        <v>3945.652173913044</v>
      </c>
      <c r="L37" s="148">
        <v>1184.7826086956522</v>
      </c>
      <c r="M37" s="131" t="s">
        <v>696</v>
      </c>
      <c r="N37" s="131" t="s">
        <v>697</v>
      </c>
      <c r="O37" s="131" t="s">
        <v>698</v>
      </c>
      <c r="P37" s="131" t="s">
        <v>699</v>
      </c>
      <c r="Q37" s="150">
        <v>1</v>
      </c>
      <c r="R37" s="150">
        <v>1</v>
      </c>
      <c r="V37" s="137" t="e">
        <f t="shared" si="4"/>
        <v>#REF!</v>
      </c>
    </row>
    <row r="38" spans="1:22" s="137" customFormat="1" x14ac:dyDescent="0.3">
      <c r="A38" s="280" t="s">
        <v>1405</v>
      </c>
      <c r="B38" s="304" t="str">
        <f>IF($D$1=1,M38,IF($D$1=2,N38,IF($D$1=3,O38,IF($D$1=4,P38,0))))</f>
        <v>Verona černá mat</v>
      </c>
      <c r="C38" s="146">
        <f t="shared" si="1"/>
        <v>373.89</v>
      </c>
      <c r="D38" s="146">
        <f t="shared" si="2"/>
        <v>112.27</v>
      </c>
      <c r="E38" s="306">
        <v>373.89</v>
      </c>
      <c r="F38" s="306">
        <v>112.27</v>
      </c>
      <c r="G38" s="147">
        <v>8.7122652692307696</v>
      </c>
      <c r="H38" s="147">
        <v>3.4277639423076924</v>
      </c>
      <c r="I38" s="147">
        <v>55.846153846153847</v>
      </c>
      <c r="J38" s="147">
        <v>16.76923076923077</v>
      </c>
      <c r="K38" s="148">
        <v>3945.652173913044</v>
      </c>
      <c r="L38" s="148">
        <v>1184.7826086956522</v>
      </c>
      <c r="M38" s="131" t="s">
        <v>1616</v>
      </c>
      <c r="N38" s="131" t="s">
        <v>1617</v>
      </c>
      <c r="O38" s="131" t="s">
        <v>1618</v>
      </c>
      <c r="P38" s="131" t="s">
        <v>1619</v>
      </c>
      <c r="Q38" s="150">
        <v>1</v>
      </c>
      <c r="R38" s="150">
        <v>1</v>
      </c>
      <c r="V38" s="137" t="e">
        <f t="shared" si="4"/>
        <v>#REF!</v>
      </c>
    </row>
    <row r="39" spans="1:22" x14ac:dyDescent="0.3">
      <c r="A39" s="280" t="s">
        <v>1406</v>
      </c>
      <c r="B39" s="305" t="str">
        <f t="shared" si="0"/>
        <v>Verona hnědá</v>
      </c>
      <c r="C39" s="146">
        <f t="shared" si="1"/>
        <v>373.89</v>
      </c>
      <c r="D39" s="146">
        <f t="shared" si="2"/>
        <v>112.27</v>
      </c>
      <c r="E39" s="306">
        <v>373.89</v>
      </c>
      <c r="F39" s="306">
        <v>112.27</v>
      </c>
      <c r="G39" s="147">
        <v>8.7122652692307696</v>
      </c>
      <c r="H39" s="147">
        <v>3.4277639423076924</v>
      </c>
      <c r="I39" s="147">
        <v>55.846153846153847</v>
      </c>
      <c r="J39" s="147">
        <v>16.76923076923077</v>
      </c>
      <c r="K39" s="148">
        <v>3945.652173913044</v>
      </c>
      <c r="L39" s="148">
        <v>1184.7826086956522</v>
      </c>
      <c r="M39" s="130" t="s">
        <v>1422</v>
      </c>
      <c r="N39" s="130" t="s">
        <v>1422</v>
      </c>
      <c r="O39" s="130" t="s">
        <v>1423</v>
      </c>
      <c r="P39" s="130" t="s">
        <v>1424</v>
      </c>
      <c r="Q39" s="150">
        <v>1</v>
      </c>
      <c r="R39" s="150">
        <v>1</v>
      </c>
      <c r="V39" s="137" t="e">
        <f t="shared" si="4"/>
        <v>#REF!</v>
      </c>
    </row>
    <row r="40" spans="1:22" x14ac:dyDescent="0.3">
      <c r="A40" s="280" t="s">
        <v>694</v>
      </c>
      <c r="B40" s="305" t="str">
        <f t="shared" si="0"/>
        <v>Verona champagne</v>
      </c>
      <c r="C40" s="146">
        <f t="shared" si="1"/>
        <v>346.08</v>
      </c>
      <c r="D40" s="146">
        <f t="shared" si="2"/>
        <v>112.27</v>
      </c>
      <c r="E40" s="306">
        <v>346.08</v>
      </c>
      <c r="F40" s="306">
        <v>112.27</v>
      </c>
      <c r="G40" s="147">
        <v>8.0915655192307696</v>
      </c>
      <c r="H40" s="147">
        <v>3.4277639423076924</v>
      </c>
      <c r="I40" s="147">
        <v>51.692307692307693</v>
      </c>
      <c r="J40" s="147">
        <v>16.76923076923077</v>
      </c>
      <c r="K40" s="148">
        <v>3652.1739130434789</v>
      </c>
      <c r="L40" s="148">
        <v>1184.7826086956522</v>
      </c>
      <c r="M40" s="130" t="s">
        <v>693</v>
      </c>
      <c r="N40" s="130" t="s">
        <v>693</v>
      </c>
      <c r="O40" s="130" t="s">
        <v>694</v>
      </c>
      <c r="P40" s="130" t="s">
        <v>695</v>
      </c>
      <c r="Q40" s="150">
        <v>1</v>
      </c>
      <c r="R40" s="150">
        <v>1</v>
      </c>
      <c r="V40" s="137" t="e">
        <f t="shared" si="4"/>
        <v>#REF!</v>
      </c>
    </row>
    <row r="41" spans="1:22" x14ac:dyDescent="0.3">
      <c r="A41" s="280" t="s">
        <v>704</v>
      </c>
      <c r="B41" s="304" t="str">
        <f t="shared" si="0"/>
        <v>Verona tmavá nerez broušená</v>
      </c>
      <c r="C41" s="146">
        <f t="shared" si="1"/>
        <v>458.35</v>
      </c>
      <c r="D41" s="146">
        <f t="shared" si="2"/>
        <v>112.27</v>
      </c>
      <c r="E41" s="306">
        <v>458.35</v>
      </c>
      <c r="F41" s="306">
        <v>112.27</v>
      </c>
      <c r="G41" s="147">
        <v>9.7560417307692315</v>
      </c>
      <c r="H41" s="147">
        <v>3.4277639423076924</v>
      </c>
      <c r="I41" s="147">
        <v>68.461538461538467</v>
      </c>
      <c r="J41" s="147">
        <v>16.76923076923077</v>
      </c>
      <c r="K41" s="148">
        <v>4836.95652173913</v>
      </c>
      <c r="L41" s="148">
        <v>1184.7826086956522</v>
      </c>
      <c r="M41" s="131" t="s">
        <v>1425</v>
      </c>
      <c r="N41" s="131" t="s">
        <v>703</v>
      </c>
      <c r="O41" s="131" t="s">
        <v>704</v>
      </c>
      <c r="P41" s="131" t="s">
        <v>705</v>
      </c>
      <c r="Q41" s="150">
        <v>1</v>
      </c>
      <c r="R41" s="150">
        <v>1</v>
      </c>
      <c r="V41" s="137" t="e">
        <f t="shared" si="4"/>
        <v>#REF!</v>
      </c>
    </row>
    <row r="42" spans="1:22" x14ac:dyDescent="0.3">
      <c r="A42" s="280" t="s">
        <v>1407</v>
      </c>
      <c r="B42" s="304" t="str">
        <f t="shared" si="0"/>
        <v>Verona světlá nerez (Acier grata)</v>
      </c>
      <c r="C42" s="146">
        <f t="shared" si="1"/>
        <v>458.35</v>
      </c>
      <c r="D42" s="146">
        <f t="shared" si="2"/>
        <v>112.27</v>
      </c>
      <c r="E42" s="306">
        <v>458.35</v>
      </c>
      <c r="F42" s="306">
        <v>112.27</v>
      </c>
      <c r="G42" s="147">
        <v>9.4649690384615397</v>
      </c>
      <c r="H42" s="147">
        <v>3.4277639423076924</v>
      </c>
      <c r="I42" s="147">
        <v>68.461538461538467</v>
      </c>
      <c r="J42" s="147">
        <v>16.76923076923077</v>
      </c>
      <c r="K42" s="148">
        <v>4836.95652173913</v>
      </c>
      <c r="L42" s="148">
        <v>1184.7826086956522</v>
      </c>
      <c r="M42" s="131" t="s">
        <v>1426</v>
      </c>
      <c r="N42" s="131" t="s">
        <v>1427</v>
      </c>
      <c r="O42" s="131" t="s">
        <v>1428</v>
      </c>
      <c r="P42" s="131" t="s">
        <v>1429</v>
      </c>
      <c r="Q42" s="150">
        <v>1</v>
      </c>
      <c r="R42" s="150">
        <v>1</v>
      </c>
      <c r="V42" s="137" t="e">
        <f t="shared" si="4"/>
        <v>#REF!</v>
      </c>
    </row>
    <row r="43" spans="1:22" x14ac:dyDescent="0.3">
      <c r="A43" s="280" t="s">
        <v>1011</v>
      </c>
      <c r="B43" s="304" t="str">
        <f t="shared" si="0"/>
        <v>Vivaro (elox.)</v>
      </c>
      <c r="C43" s="146">
        <f t="shared" si="1"/>
        <v>373.89</v>
      </c>
      <c r="D43" s="146">
        <f t="shared" si="2"/>
        <v>156.56</v>
      </c>
      <c r="E43" s="306">
        <v>373.89</v>
      </c>
      <c r="F43" s="306">
        <v>156.56</v>
      </c>
      <c r="G43" s="147">
        <v>10.235647823076922</v>
      </c>
      <c r="H43" s="147">
        <v>5.0516431730769238</v>
      </c>
      <c r="I43" s="147">
        <v>55.846153846153847</v>
      </c>
      <c r="J43" s="147">
        <v>23.384615384615383</v>
      </c>
      <c r="K43" s="148">
        <v>3945.652173913044</v>
      </c>
      <c r="L43" s="148">
        <v>1652.1739130434785</v>
      </c>
      <c r="M43" s="131" t="s">
        <v>1011</v>
      </c>
      <c r="N43" s="131" t="s">
        <v>1011</v>
      </c>
      <c r="O43" s="131" t="s">
        <v>1011</v>
      </c>
      <c r="P43" s="131" t="s">
        <v>1011</v>
      </c>
      <c r="Q43" s="150">
        <v>2</v>
      </c>
      <c r="R43" s="150">
        <v>1</v>
      </c>
      <c r="V43" s="137" t="e">
        <f t="shared" si="4"/>
        <v>#REF!</v>
      </c>
    </row>
    <row r="44" spans="1:22" x14ac:dyDescent="0.3">
      <c r="A44" s="280" t="s">
        <v>1012</v>
      </c>
      <c r="B44" s="304" t="str">
        <f t="shared" si="0"/>
        <v>Vivaro černá mat</v>
      </c>
      <c r="C44" s="146">
        <f t="shared" si="1"/>
        <v>473.8</v>
      </c>
      <c r="D44" s="146">
        <f t="shared" si="2"/>
        <v>156.56</v>
      </c>
      <c r="E44" s="306">
        <v>473.8</v>
      </c>
      <c r="F44" s="306">
        <v>156.56</v>
      </c>
      <c r="G44" s="147">
        <v>14.810238173076923</v>
      </c>
      <c r="H44" s="147">
        <v>5.0516431730769238</v>
      </c>
      <c r="I44" s="147">
        <v>70.769230769230774</v>
      </c>
      <c r="J44" s="147">
        <v>23.384615384615383</v>
      </c>
      <c r="K44" s="148">
        <v>5000.0000000000009</v>
      </c>
      <c r="L44" s="148">
        <v>1652.1739130434785</v>
      </c>
      <c r="M44" s="131" t="s">
        <v>1624</v>
      </c>
      <c r="N44" s="131" t="s">
        <v>1625</v>
      </c>
      <c r="O44" s="131" t="s">
        <v>1626</v>
      </c>
      <c r="P44" s="131" t="s">
        <v>1627</v>
      </c>
      <c r="Q44" s="150">
        <v>2</v>
      </c>
      <c r="R44" s="150">
        <v>1</v>
      </c>
      <c r="V44" s="137" t="e">
        <f t="shared" si="4"/>
        <v>#REF!</v>
      </c>
    </row>
    <row r="45" spans="1:22" x14ac:dyDescent="0.3">
      <c r="A45" s="280" t="s">
        <v>707</v>
      </c>
      <c r="B45" s="304" t="str">
        <f>IF($D$1=1,M45,IF($D$1=2,N45,IF($D$1=3,O45,IF($D$1=4,P45,0))))</f>
        <v>Vivaro tmavá nerez br. (inox lija)</v>
      </c>
      <c r="C45" s="146">
        <f t="shared" ref="C45:D47" si="5">IF($D$1=1,E45,IF($D$1=2,G45,IF($D$1=3,I45,IF($D$1=4,K45,0))))</f>
        <v>525.30000000000007</v>
      </c>
      <c r="D45" s="146">
        <f t="shared" si="5"/>
        <v>156.56</v>
      </c>
      <c r="E45" s="306">
        <v>525.30000000000007</v>
      </c>
      <c r="F45" s="306">
        <v>156.56</v>
      </c>
      <c r="G45" s="147">
        <v>13.170784000000003</v>
      </c>
      <c r="H45" s="147">
        <v>5.0516431730769238</v>
      </c>
      <c r="I45" s="147">
        <v>78.461538461538467</v>
      </c>
      <c r="J45" s="147">
        <v>23.384615384615383</v>
      </c>
      <c r="K45" s="148">
        <v>5543.4782608695659</v>
      </c>
      <c r="L45" s="148">
        <v>1652.1739130434785</v>
      </c>
      <c r="M45" s="131" t="s">
        <v>1430</v>
      </c>
      <c r="N45" s="131" t="s">
        <v>1430</v>
      </c>
      <c r="O45" s="131" t="s">
        <v>707</v>
      </c>
      <c r="P45" s="131" t="s">
        <v>708</v>
      </c>
      <c r="Q45" s="150">
        <v>2</v>
      </c>
      <c r="R45" s="150">
        <v>1</v>
      </c>
      <c r="V45" s="137" t="e">
        <f>VLOOKUP(B:B,PROFILY_ALL,1,FALSE)</f>
        <v>#REF!</v>
      </c>
    </row>
    <row r="46" spans="1:22" s="137" customFormat="1" x14ac:dyDescent="0.3">
      <c r="A46" s="280" t="s">
        <v>1666</v>
      </c>
      <c r="B46" s="304" t="str">
        <f>IF($D$1=1,M46,IF($D$1=2,N46,IF($D$1=3,O46,IF($D$1=4,P46,0))))</f>
        <v>Vivaro bílá mat</v>
      </c>
      <c r="C46" s="146">
        <f t="shared" si="5"/>
        <v>473.8</v>
      </c>
      <c r="D46" s="146">
        <f t="shared" si="5"/>
        <v>156.56</v>
      </c>
      <c r="E46" s="306">
        <v>473.8</v>
      </c>
      <c r="F46" s="306">
        <v>156.56</v>
      </c>
      <c r="G46" s="147">
        <v>14.810238173076923</v>
      </c>
      <c r="H46" s="147">
        <v>5.0516431730769238</v>
      </c>
      <c r="I46" s="147">
        <v>70.769230769230774</v>
      </c>
      <c r="J46" s="147">
        <v>23.384615384615383</v>
      </c>
      <c r="K46" s="148">
        <v>5000.0000000000009</v>
      </c>
      <c r="L46" s="148">
        <v>1652.1739130434785</v>
      </c>
      <c r="M46" s="130" t="s">
        <v>1664</v>
      </c>
      <c r="N46" s="130" t="s">
        <v>1665</v>
      </c>
      <c r="O46" s="145" t="s">
        <v>1666</v>
      </c>
      <c r="P46" s="130" t="s">
        <v>1667</v>
      </c>
      <c r="Q46" s="150">
        <v>2</v>
      </c>
      <c r="R46" s="150">
        <v>1</v>
      </c>
    </row>
    <row r="47" spans="1:22" x14ac:dyDescent="0.3">
      <c r="A47" s="280" t="s">
        <v>1670</v>
      </c>
      <c r="B47" s="304" t="str">
        <f>IF($D$1=1,M47,IF($D$1=2,N47,IF($D$1=3,O47,IF($D$1=4,P47,0))))</f>
        <v>Vivaro bílá lesk</v>
      </c>
      <c r="C47" s="146">
        <f t="shared" si="5"/>
        <v>473.8</v>
      </c>
      <c r="D47" s="146">
        <f t="shared" si="5"/>
        <v>156.56</v>
      </c>
      <c r="E47" s="306">
        <v>473.8</v>
      </c>
      <c r="F47" s="306">
        <v>156.56</v>
      </c>
      <c r="G47" s="147">
        <v>14.81</v>
      </c>
      <c r="H47" s="147">
        <v>5.05</v>
      </c>
      <c r="I47" s="147">
        <v>70.77</v>
      </c>
      <c r="J47" s="147">
        <v>23.38</v>
      </c>
      <c r="K47" s="148">
        <v>5000</v>
      </c>
      <c r="L47" s="148">
        <v>1652</v>
      </c>
      <c r="M47" s="130" t="s">
        <v>1668</v>
      </c>
      <c r="N47" s="130" t="s">
        <v>1669</v>
      </c>
      <c r="O47" s="145" t="s">
        <v>1670</v>
      </c>
      <c r="P47" s="130" t="s">
        <v>1671</v>
      </c>
      <c r="Q47" s="150">
        <v>2</v>
      </c>
      <c r="R47" s="150">
        <v>1</v>
      </c>
      <c r="V47" s="137" t="e">
        <f>VLOOKUP(B:B,PROFILY_ALL,1,FALSE)</f>
        <v>#REF!</v>
      </c>
    </row>
    <row r="49" spans="2:20" x14ac:dyDescent="0.3">
      <c r="B49" s="6"/>
      <c r="C49" s="6"/>
      <c r="D49" s="6"/>
      <c r="E49" s="6"/>
      <c r="F49" s="6"/>
      <c r="G49" s="6"/>
      <c r="H49" s="6"/>
      <c r="I49" s="6"/>
      <c r="J49" s="6"/>
      <c r="K49" s="6"/>
      <c r="L49" s="6"/>
    </row>
    <row r="50" spans="2:20" x14ac:dyDescent="0.3">
      <c r="B50" s="6"/>
      <c r="C50" s="6"/>
      <c r="D50" s="6"/>
      <c r="E50" s="6"/>
      <c r="F50" s="6"/>
      <c r="G50" s="6"/>
      <c r="H50" s="6"/>
      <c r="I50" s="6"/>
      <c r="J50" s="6"/>
      <c r="K50" s="6"/>
      <c r="L50" s="6"/>
    </row>
    <row r="51" spans="2:20" x14ac:dyDescent="0.3">
      <c r="B51" s="10" t="s">
        <v>19</v>
      </c>
      <c r="C51" s="1171" t="s">
        <v>43</v>
      </c>
      <c r="D51" s="1171"/>
      <c r="E51" s="1171" t="s">
        <v>43</v>
      </c>
      <c r="F51" s="1171"/>
      <c r="G51" s="1171" t="s">
        <v>43</v>
      </c>
      <c r="H51" s="1171"/>
      <c r="I51" s="1171" t="s">
        <v>43</v>
      </c>
      <c r="J51" s="1171"/>
      <c r="K51" s="1171" t="s">
        <v>43</v>
      </c>
      <c r="L51" s="1172"/>
    </row>
    <row r="52" spans="2:20" x14ac:dyDescent="0.3">
      <c r="B52" s="12" t="str">
        <f t="shared" ref="B52:B112" si="6">IF($D$1=1,M52,IF($D$1=2,N52,IF($D$1=3,O52,IF($D$1=4,P52,0))))</f>
        <v>Čiré</v>
      </c>
      <c r="C52" s="1190">
        <f>IF($D$1=1,E52,IF($D$1=2,G52,IF($D$1=3,I52,IF($D$1=4,K52,0))))</f>
        <v>504.7</v>
      </c>
      <c r="D52" s="1190">
        <f>IF($D$1=1,F52,IF($D$1=2,H52,IF($D$1=3,J52,IF($D$1=4,L52,0))))</f>
        <v>0</v>
      </c>
      <c r="E52" s="1173">
        <v>504.7</v>
      </c>
      <c r="F52" s="1174"/>
      <c r="G52" s="1175">
        <v>19.600000000000001</v>
      </c>
      <c r="H52" s="1176"/>
      <c r="I52" s="1175">
        <v>75.384615384615387</v>
      </c>
      <c r="J52" s="1176"/>
      <c r="K52" s="1177">
        <v>4508</v>
      </c>
      <c r="L52" s="1178"/>
      <c r="M52" s="120" t="s">
        <v>717</v>
      </c>
      <c r="N52" s="121" t="s">
        <v>718</v>
      </c>
      <c r="O52" s="121" t="s">
        <v>719</v>
      </c>
      <c r="P52" s="122" t="s">
        <v>720</v>
      </c>
      <c r="R52" s="137"/>
      <c r="S52" s="137"/>
      <c r="T52" s="137"/>
    </row>
    <row r="53" spans="2:20" s="137" customFormat="1" x14ac:dyDescent="0.3">
      <c r="B53" s="12" t="str">
        <f t="shared" si="6"/>
        <v>Čiré kalené (dodání 3 týdny)</v>
      </c>
      <c r="C53" s="1190">
        <f>IF($D$1=1,E53,IF($D$1=2,G53,IF($D$1=3,I53,IF($D$1=4,K53,0))))</f>
        <v>1019.7</v>
      </c>
      <c r="D53" s="1190">
        <f>IF($D$1=1,F53,IF($D$1=2,H53,IF($D$1=3,J53,IF($D$1=4,L53,0))))</f>
        <v>0</v>
      </c>
      <c r="E53" s="1155">
        <v>1019.7</v>
      </c>
      <c r="F53" s="1156"/>
      <c r="G53" s="1179">
        <v>39.6</v>
      </c>
      <c r="H53" s="1180"/>
      <c r="I53" s="1179">
        <v>152.30769230769232</v>
      </c>
      <c r="J53" s="1180"/>
      <c r="K53" s="1177">
        <v>9108</v>
      </c>
      <c r="L53" s="1178"/>
      <c r="M53" s="120" t="s">
        <v>962</v>
      </c>
      <c r="N53" s="121" t="s">
        <v>963</v>
      </c>
      <c r="O53" s="121" t="s">
        <v>964</v>
      </c>
      <c r="P53" s="122" t="s">
        <v>974</v>
      </c>
    </row>
    <row r="54" spans="2:20" x14ac:dyDescent="0.3">
      <c r="B54" s="12" t="str">
        <f t="shared" si="6"/>
        <v>Satinato</v>
      </c>
      <c r="C54" s="1165">
        <f t="shared" ref="C54:C107" si="7">IF($D$1=1,E54,IF($D$1=2,G54,IF($D$1=3,I54,IF($D$1=4,K54,0))))</f>
        <v>1442</v>
      </c>
      <c r="D54" s="1165">
        <f t="shared" ref="D54:D107" si="8">IF($D$1=1,F54,IF($D$1=2,H54,IF($D$1=3,J54,IF($D$1=4,L54,0))))</f>
        <v>0</v>
      </c>
      <c r="E54" s="1155">
        <v>1442</v>
      </c>
      <c r="F54" s="1156"/>
      <c r="G54" s="1166">
        <v>56</v>
      </c>
      <c r="H54" s="1166"/>
      <c r="I54" s="1166">
        <v>215.38461538461539</v>
      </c>
      <c r="J54" s="1166"/>
      <c r="K54" s="1167">
        <v>12879.999999999998</v>
      </c>
      <c r="L54" s="1168"/>
      <c r="M54" s="13" t="s">
        <v>722</v>
      </c>
      <c r="N54" s="118" t="s">
        <v>722</v>
      </c>
      <c r="O54" s="118" t="s">
        <v>722</v>
      </c>
      <c r="P54" s="119" t="s">
        <v>722</v>
      </c>
      <c r="Q54" s="137"/>
      <c r="R54" s="137"/>
      <c r="S54" s="137"/>
      <c r="T54" s="137"/>
    </row>
    <row r="55" spans="2:20" x14ac:dyDescent="0.3">
      <c r="B55" s="12" t="str">
        <f t="shared" si="6"/>
        <v>Satinato kalené (dodání 3 týdny)</v>
      </c>
      <c r="C55" s="1165">
        <f t="shared" si="7"/>
        <v>2214.5</v>
      </c>
      <c r="D55" s="1165">
        <f t="shared" si="8"/>
        <v>0</v>
      </c>
      <c r="E55" s="1155">
        <v>2214.5</v>
      </c>
      <c r="F55" s="1156"/>
      <c r="G55" s="1166">
        <v>86</v>
      </c>
      <c r="H55" s="1166"/>
      <c r="I55" s="1166">
        <v>330.76923076923077</v>
      </c>
      <c r="J55" s="1166"/>
      <c r="K55" s="1167">
        <v>19780</v>
      </c>
      <c r="L55" s="1168"/>
      <c r="M55" s="13" t="s">
        <v>961</v>
      </c>
      <c r="N55" s="118" t="s">
        <v>966</v>
      </c>
      <c r="O55" s="118" t="s">
        <v>965</v>
      </c>
      <c r="P55" s="119" t="s">
        <v>975</v>
      </c>
      <c r="Q55" s="137"/>
      <c r="R55" s="137"/>
      <c r="S55" s="137"/>
      <c r="T55" s="137"/>
    </row>
    <row r="56" spans="2:20" x14ac:dyDescent="0.3">
      <c r="B56" s="12" t="str">
        <f t="shared" si="6"/>
        <v>Satinato hnědé</v>
      </c>
      <c r="C56" s="1165">
        <f t="shared" si="7"/>
        <v>1810.74</v>
      </c>
      <c r="D56" s="1165">
        <f t="shared" si="8"/>
        <v>0</v>
      </c>
      <c r="E56" s="1155">
        <v>1810.74</v>
      </c>
      <c r="F56" s="1156"/>
      <c r="G56" s="1166">
        <v>70.319999999999993</v>
      </c>
      <c r="H56" s="1166"/>
      <c r="I56" s="1166">
        <v>270.46153846153845</v>
      </c>
      <c r="J56" s="1166"/>
      <c r="K56" s="1167">
        <v>16173.599999999999</v>
      </c>
      <c r="L56" s="1168"/>
      <c r="M56" s="13" t="s">
        <v>1431</v>
      </c>
      <c r="N56" s="13" t="s">
        <v>1719</v>
      </c>
      <c r="O56" s="13" t="s">
        <v>1722</v>
      </c>
      <c r="P56" s="13" t="s">
        <v>1720</v>
      </c>
      <c r="Q56" s="137"/>
      <c r="R56" s="137"/>
      <c r="S56" s="137"/>
      <c r="T56" s="137"/>
    </row>
    <row r="57" spans="2:20" x14ac:dyDescent="0.3">
      <c r="B57" s="12" t="str">
        <f t="shared" si="6"/>
        <v>Satinato grafit</v>
      </c>
      <c r="C57" s="1165">
        <f t="shared" si="7"/>
        <v>1810.74</v>
      </c>
      <c r="D57" s="1165">
        <f t="shared" si="8"/>
        <v>0</v>
      </c>
      <c r="E57" s="1155">
        <v>1810.74</v>
      </c>
      <c r="F57" s="1156"/>
      <c r="G57" s="1166">
        <v>70.319999999999993</v>
      </c>
      <c r="H57" s="1166"/>
      <c r="I57" s="1166">
        <v>270.46153846153845</v>
      </c>
      <c r="J57" s="1166"/>
      <c r="K57" s="1167">
        <v>16173.599999999999</v>
      </c>
      <c r="L57" s="1168"/>
      <c r="M57" s="13" t="s">
        <v>1432</v>
      </c>
      <c r="N57" s="13" t="s">
        <v>1432</v>
      </c>
      <c r="O57" s="13" t="s">
        <v>1432</v>
      </c>
      <c r="P57" s="13" t="s">
        <v>1432</v>
      </c>
      <c r="Q57" s="137"/>
      <c r="R57" s="137"/>
      <c r="S57" s="137"/>
      <c r="T57" s="137"/>
    </row>
    <row r="58" spans="2:20" s="137" customFormat="1" x14ac:dyDescent="0.3">
      <c r="B58" s="12" t="str">
        <f t="shared" si="6"/>
        <v>Screen</v>
      </c>
      <c r="C58" s="1165">
        <f>IF($D$1=1,E58,IF($D$1=2,G58,IF($D$1=3,I58,IF($D$1=4,K58,0))))</f>
        <v>1419.3400000000001</v>
      </c>
      <c r="D58" s="1165">
        <f>IF($D$1=1,F58,IF($D$1=2,H58,IF($D$1=3,J58,IF($D$1=4,L58,0))))</f>
        <v>0</v>
      </c>
      <c r="E58" s="1155">
        <v>1419.3400000000001</v>
      </c>
      <c r="F58" s="1156"/>
      <c r="G58" s="1166">
        <v>55.12</v>
      </c>
      <c r="H58" s="1166"/>
      <c r="I58" s="1166">
        <v>212</v>
      </c>
      <c r="J58" s="1166"/>
      <c r="K58" s="1167">
        <v>12677.599999999999</v>
      </c>
      <c r="L58" s="1168"/>
      <c r="M58" s="13" t="s">
        <v>1433</v>
      </c>
      <c r="N58" s="13" t="s">
        <v>1433</v>
      </c>
      <c r="O58" s="13" t="s">
        <v>1433</v>
      </c>
      <c r="P58" s="13" t="s">
        <v>1433</v>
      </c>
    </row>
    <row r="59" spans="2:20" x14ac:dyDescent="0.3">
      <c r="B59" s="12" t="str">
        <f t="shared" si="6"/>
        <v>Venus VG10</v>
      </c>
      <c r="C59" s="1165">
        <f t="shared" si="7"/>
        <v>2639.89</v>
      </c>
      <c r="D59" s="1165">
        <f t="shared" si="8"/>
        <v>0</v>
      </c>
      <c r="E59" s="1155">
        <v>2639.89</v>
      </c>
      <c r="F59" s="1156"/>
      <c r="G59" s="1166">
        <v>102.52</v>
      </c>
      <c r="H59" s="1166"/>
      <c r="I59" s="1166">
        <v>394.30769230769232</v>
      </c>
      <c r="J59" s="1166"/>
      <c r="K59" s="1167">
        <v>23579.599999999999</v>
      </c>
      <c r="L59" s="1168"/>
      <c r="M59" s="13" t="s">
        <v>1434</v>
      </c>
      <c r="N59" s="13" t="s">
        <v>1434</v>
      </c>
      <c r="O59" s="13" t="s">
        <v>1434</v>
      </c>
      <c r="P59" s="13" t="s">
        <v>1434</v>
      </c>
      <c r="Q59" s="137"/>
      <c r="R59" s="137"/>
      <c r="S59" s="137"/>
      <c r="T59" s="137"/>
    </row>
    <row r="60" spans="2:20" x14ac:dyDescent="0.3">
      <c r="B60" s="12" t="str">
        <f t="shared" si="6"/>
        <v>Stopsol bronz</v>
      </c>
      <c r="C60" s="1165">
        <f t="shared" si="7"/>
        <v>2414.3200000000002</v>
      </c>
      <c r="D60" s="1165">
        <f t="shared" si="8"/>
        <v>0</v>
      </c>
      <c r="E60" s="1155">
        <v>2414.3200000000002</v>
      </c>
      <c r="F60" s="1156"/>
      <c r="G60" s="1166">
        <v>93.76</v>
      </c>
      <c r="H60" s="1166"/>
      <c r="I60" s="1166">
        <v>360.61538461538464</v>
      </c>
      <c r="J60" s="1166"/>
      <c r="K60" s="1167">
        <v>21564.799999999999</v>
      </c>
      <c r="L60" s="1168"/>
      <c r="M60" s="13" t="s">
        <v>1435</v>
      </c>
      <c r="N60" s="13" t="s">
        <v>1435</v>
      </c>
      <c r="O60" s="13" t="s">
        <v>1723</v>
      </c>
      <c r="P60" s="13" t="s">
        <v>1435</v>
      </c>
      <c r="Q60" s="137"/>
      <c r="R60" s="137"/>
      <c r="S60" s="137"/>
      <c r="T60" s="137"/>
    </row>
    <row r="61" spans="2:20" s="137" customFormat="1" x14ac:dyDescent="0.3">
      <c r="B61" s="12" t="str">
        <f t="shared" si="6"/>
        <v>Lakomat</v>
      </c>
      <c r="C61" s="1165">
        <f>IF($D$1=1,E61,IF($D$1=2,G61,IF($D$1=3,I61,IF($D$1=4,K61,0))))</f>
        <v>1341.06</v>
      </c>
      <c r="D61" s="1165">
        <f>IF($D$1=1,F61,IF($D$1=2,H61,IF($D$1=3,J61,IF($D$1=4,L61,0))))</f>
        <v>0</v>
      </c>
      <c r="E61" s="1155">
        <v>1341.06</v>
      </c>
      <c r="F61" s="1156"/>
      <c r="G61" s="1166">
        <v>52.08</v>
      </c>
      <c r="H61" s="1166"/>
      <c r="I61" s="1166">
        <v>200.30769230769232</v>
      </c>
      <c r="J61" s="1166"/>
      <c r="K61" s="1167">
        <v>11978.4</v>
      </c>
      <c r="L61" s="1168"/>
      <c r="M61" s="13" t="s">
        <v>723</v>
      </c>
      <c r="N61" s="118" t="s">
        <v>723</v>
      </c>
      <c r="O61" s="118" t="s">
        <v>723</v>
      </c>
      <c r="P61" s="119" t="s">
        <v>723</v>
      </c>
    </row>
    <row r="62" spans="2:20" x14ac:dyDescent="0.3">
      <c r="B62" s="12" t="str">
        <f t="shared" si="6"/>
        <v>Pisek</v>
      </c>
      <c r="C62" s="1165">
        <f t="shared" si="7"/>
        <v>1117.55</v>
      </c>
      <c r="D62" s="1165">
        <f t="shared" si="8"/>
        <v>0</v>
      </c>
      <c r="E62" s="1155">
        <v>1117.55</v>
      </c>
      <c r="F62" s="1156"/>
      <c r="G62" s="1166">
        <v>43.4</v>
      </c>
      <c r="H62" s="1166"/>
      <c r="I62" s="1166">
        <v>166.92307692307693</v>
      </c>
      <c r="J62" s="1166"/>
      <c r="K62" s="1167">
        <v>9982</v>
      </c>
      <c r="L62" s="1168"/>
      <c r="M62" s="13" t="s">
        <v>721</v>
      </c>
      <c r="N62" s="118" t="s">
        <v>1728</v>
      </c>
      <c r="O62" s="118" t="s">
        <v>1727</v>
      </c>
      <c r="P62" s="119" t="s">
        <v>1726</v>
      </c>
      <c r="Q62" s="137"/>
      <c r="R62" s="137"/>
      <c r="S62" s="137"/>
      <c r="T62" s="137"/>
    </row>
    <row r="63" spans="2:20" x14ac:dyDescent="0.3">
      <c r="B63" s="12" t="str">
        <f t="shared" si="6"/>
        <v>Antisol bronz</v>
      </c>
      <c r="C63" s="1165">
        <f t="shared" si="7"/>
        <v>927</v>
      </c>
      <c r="D63" s="1165">
        <f t="shared" si="8"/>
        <v>0</v>
      </c>
      <c r="E63" s="1155">
        <v>927</v>
      </c>
      <c r="F63" s="1156"/>
      <c r="G63" s="1166">
        <v>36</v>
      </c>
      <c r="H63" s="1166"/>
      <c r="I63" s="1166">
        <v>138.46153846153845</v>
      </c>
      <c r="J63" s="1166"/>
      <c r="K63" s="1167">
        <v>8280</v>
      </c>
      <c r="L63" s="1168"/>
      <c r="M63" s="13" t="s">
        <v>733</v>
      </c>
      <c r="N63" s="118" t="s">
        <v>733</v>
      </c>
      <c r="O63" s="118" t="s">
        <v>733</v>
      </c>
      <c r="P63" s="119" t="s">
        <v>733</v>
      </c>
      <c r="Q63" s="137"/>
      <c r="R63" s="137"/>
      <c r="S63" s="137"/>
      <c r="T63" s="137"/>
    </row>
    <row r="64" spans="2:20" x14ac:dyDescent="0.3">
      <c r="B64" s="12" t="str">
        <f t="shared" si="6"/>
        <v>Antisol grafit</v>
      </c>
      <c r="C64" s="1165">
        <f t="shared" si="7"/>
        <v>927</v>
      </c>
      <c r="D64" s="1165">
        <f t="shared" si="8"/>
        <v>0</v>
      </c>
      <c r="E64" s="1155">
        <v>927</v>
      </c>
      <c r="F64" s="1156"/>
      <c r="G64" s="1166">
        <v>36</v>
      </c>
      <c r="H64" s="1166"/>
      <c r="I64" s="1166">
        <v>138.46153846153845</v>
      </c>
      <c r="J64" s="1166"/>
      <c r="K64" s="1167">
        <v>8280</v>
      </c>
      <c r="L64" s="1168"/>
      <c r="M64" s="13" t="s">
        <v>734</v>
      </c>
      <c r="N64" s="118" t="s">
        <v>734</v>
      </c>
      <c r="O64" s="118" t="s">
        <v>734</v>
      </c>
      <c r="P64" s="119" t="s">
        <v>734</v>
      </c>
      <c r="Q64" s="137"/>
      <c r="R64" s="137"/>
      <c r="S64" s="137"/>
      <c r="T64" s="137"/>
    </row>
    <row r="65" spans="2:20" x14ac:dyDescent="0.3">
      <c r="B65" s="12" t="str">
        <f t="shared" si="6"/>
        <v>Zrcadlo</v>
      </c>
      <c r="C65" s="1165">
        <f t="shared" si="7"/>
        <v>844.6</v>
      </c>
      <c r="D65" s="1165">
        <f t="shared" si="8"/>
        <v>0</v>
      </c>
      <c r="E65" s="1155">
        <v>844.6</v>
      </c>
      <c r="F65" s="1156"/>
      <c r="G65" s="1166">
        <v>32.799999999999997</v>
      </c>
      <c r="H65" s="1166"/>
      <c r="I65" s="1166">
        <v>126.15384615384616</v>
      </c>
      <c r="J65" s="1166"/>
      <c r="K65" s="1167">
        <v>7543.9999999999991</v>
      </c>
      <c r="L65" s="1168"/>
      <c r="M65" s="13" t="s">
        <v>724</v>
      </c>
      <c r="N65" s="118" t="s">
        <v>725</v>
      </c>
      <c r="O65" s="118" t="s">
        <v>726</v>
      </c>
      <c r="P65" s="119" t="s">
        <v>626</v>
      </c>
      <c r="Q65" s="137"/>
      <c r="R65" s="137"/>
      <c r="S65" s="137"/>
      <c r="T65" s="137"/>
    </row>
    <row r="66" spans="2:20" s="137" customFormat="1" x14ac:dyDescent="0.3">
      <c r="B66" s="12" t="str">
        <f t="shared" si="6"/>
        <v>Zrcadlo hnědé</v>
      </c>
      <c r="C66" s="1165">
        <f>IF($D$1=1,E66,IF($D$1=2,G66,IF($D$1=3,I66,IF($D$1=4,K66,0))))</f>
        <v>1128.8800000000001</v>
      </c>
      <c r="D66" s="1165">
        <f>IF($D$1=1,F66,IF($D$1=2,H66,IF($D$1=3,J66,IF($D$1=4,L66,0))))</f>
        <v>0</v>
      </c>
      <c r="E66" s="1155">
        <v>1128.8800000000001</v>
      </c>
      <c r="F66" s="1156"/>
      <c r="G66" s="1166">
        <v>43.84</v>
      </c>
      <c r="H66" s="1166"/>
      <c r="I66" s="1166">
        <v>168.61538461538461</v>
      </c>
      <c r="J66" s="1166"/>
      <c r="K66" s="1167">
        <v>10083.199999999999</v>
      </c>
      <c r="L66" s="1168"/>
      <c r="M66" s="13" t="s">
        <v>1688</v>
      </c>
      <c r="N66" s="118" t="s">
        <v>1721</v>
      </c>
      <c r="O66" s="118" t="s">
        <v>1724</v>
      </c>
      <c r="P66" s="119" t="s">
        <v>1725</v>
      </c>
    </row>
    <row r="67" spans="2:20" s="137" customFormat="1" x14ac:dyDescent="0.3">
      <c r="B67" s="12" t="str">
        <f t="shared" si="6"/>
        <v>Zrcadlo grafit</v>
      </c>
      <c r="C67" s="1165">
        <f>IF($D$1=1,E67,IF($D$1=2,G67,IF($D$1=3,I67,IF($D$1=4,K67,0))))</f>
        <v>1128.8800000000001</v>
      </c>
      <c r="D67" s="1165">
        <f>IF($D$1=1,F67,IF($D$1=2,H67,IF($D$1=3,J67,IF($D$1=4,L67,0))))</f>
        <v>0</v>
      </c>
      <c r="E67" s="1155">
        <v>1128.8800000000001</v>
      </c>
      <c r="F67" s="1156"/>
      <c r="G67" s="1166">
        <v>43.84</v>
      </c>
      <c r="H67" s="1166"/>
      <c r="I67" s="1166">
        <v>168.61538461538461</v>
      </c>
      <c r="J67" s="1166"/>
      <c r="K67" s="1167">
        <v>10083.199999999999</v>
      </c>
      <c r="L67" s="1168"/>
      <c r="M67" s="13" t="s">
        <v>1689</v>
      </c>
      <c r="N67" s="118" t="s">
        <v>1690</v>
      </c>
      <c r="O67" s="118" t="s">
        <v>1691</v>
      </c>
      <c r="P67" s="119" t="s">
        <v>1692</v>
      </c>
    </row>
    <row r="68" spans="2:20" x14ac:dyDescent="0.3">
      <c r="B68" s="12" t="str">
        <f t="shared" si="6"/>
        <v>Zrcadlo + bezpečnostní fólie</v>
      </c>
      <c r="C68" s="1165">
        <f t="shared" si="7"/>
        <v>952.75</v>
      </c>
      <c r="D68" s="1165">
        <f t="shared" si="8"/>
        <v>0</v>
      </c>
      <c r="E68" s="1155">
        <v>952.75</v>
      </c>
      <c r="F68" s="1156"/>
      <c r="G68" s="1166">
        <v>37</v>
      </c>
      <c r="H68" s="1166"/>
      <c r="I68" s="1166">
        <v>142.30769230769232</v>
      </c>
      <c r="J68" s="1166"/>
      <c r="K68" s="1167">
        <v>8510</v>
      </c>
      <c r="L68" s="1168"/>
      <c r="M68" s="13" t="s">
        <v>748</v>
      </c>
      <c r="N68" s="118" t="s">
        <v>1014</v>
      </c>
      <c r="O68" s="118" t="s">
        <v>967</v>
      </c>
      <c r="P68" s="119" t="s">
        <v>976</v>
      </c>
      <c r="Q68" s="137"/>
      <c r="R68" s="137"/>
      <c r="S68" s="137"/>
      <c r="T68" s="137"/>
    </row>
    <row r="69" spans="2:20" s="137" customFormat="1" x14ac:dyDescent="0.3">
      <c r="B69" s="12" t="str">
        <f t="shared" si="6"/>
        <v>Krizet</v>
      </c>
      <c r="C69" s="1165">
        <f>IF($D$1=1,E69,IF($D$1=2,G69,IF($D$1=3,I69,IF($D$1=4,K69,0))))</f>
        <v>1419.3400000000001</v>
      </c>
      <c r="D69" s="1165">
        <f>IF($D$1=1,F69,IF($D$1=2,H69,IF($D$1=3,J69,IF($D$1=4,L69,0))))</f>
        <v>0</v>
      </c>
      <c r="E69" s="1155">
        <v>1419.3400000000001</v>
      </c>
      <c r="F69" s="1156"/>
      <c r="G69" s="1166">
        <v>55.12</v>
      </c>
      <c r="H69" s="1166"/>
      <c r="I69" s="1166">
        <v>212</v>
      </c>
      <c r="J69" s="1166"/>
      <c r="K69" s="1167">
        <v>12677.599999999999</v>
      </c>
      <c r="L69" s="1168"/>
      <c r="M69" s="129" t="s">
        <v>1693</v>
      </c>
      <c r="N69" s="129" t="s">
        <v>1693</v>
      </c>
      <c r="O69" s="129" t="s">
        <v>1693</v>
      </c>
      <c r="P69" s="129" t="s">
        <v>1693</v>
      </c>
    </row>
    <row r="70" spans="2:20" x14ac:dyDescent="0.3">
      <c r="B70" s="12" t="str">
        <f t="shared" si="6"/>
        <v>Master (Carre)</v>
      </c>
      <c r="C70" s="1191">
        <f t="shared" si="7"/>
        <v>1419.3400000000001</v>
      </c>
      <c r="D70" s="1191">
        <f t="shared" si="8"/>
        <v>0</v>
      </c>
      <c r="E70" s="1155">
        <v>1419.3400000000001</v>
      </c>
      <c r="F70" s="1156"/>
      <c r="G70" s="1181">
        <v>55.12</v>
      </c>
      <c r="H70" s="1181"/>
      <c r="I70" s="1181">
        <v>212</v>
      </c>
      <c r="J70" s="1181"/>
      <c r="K70" s="1182">
        <v>12677.599999999999</v>
      </c>
      <c r="L70" s="1183"/>
      <c r="M70" s="129" t="s">
        <v>727</v>
      </c>
      <c r="N70" s="118" t="s">
        <v>727</v>
      </c>
      <c r="O70" s="118" t="s">
        <v>727</v>
      </c>
      <c r="P70" s="119" t="s">
        <v>727</v>
      </c>
      <c r="Q70" s="137"/>
      <c r="R70" s="137"/>
      <c r="S70" s="137"/>
      <c r="T70" s="137"/>
    </row>
    <row r="71" spans="2:20" s="137" customFormat="1" x14ac:dyDescent="0.3">
      <c r="B71" s="12" t="str">
        <f t="shared" si="6"/>
        <v xml:space="preserve">Master  Lens </v>
      </c>
      <c r="C71" s="1191">
        <f>IF($D$1=1,E71,IF($D$1=2,G71,IF($D$1=3,I71,IF($D$1=4,K71,0))))</f>
        <v>1419.3400000000001</v>
      </c>
      <c r="D71" s="1191">
        <f>IF($D$1=1,F71,IF($D$1=2,H71,IF($D$1=3,J71,IF($D$1=4,L71,0))))</f>
        <v>0</v>
      </c>
      <c r="E71" s="1155">
        <v>1419.3400000000001</v>
      </c>
      <c r="F71" s="1156"/>
      <c r="G71" s="1181">
        <v>55.12</v>
      </c>
      <c r="H71" s="1181"/>
      <c r="I71" s="1181">
        <v>212</v>
      </c>
      <c r="J71" s="1181"/>
      <c r="K71" s="1182">
        <v>12677.599999999999</v>
      </c>
      <c r="L71" s="1183"/>
      <c r="M71" s="129" t="s">
        <v>728</v>
      </c>
      <c r="N71" s="118" t="s">
        <v>728</v>
      </c>
      <c r="O71" s="118" t="s">
        <v>728</v>
      </c>
      <c r="P71" s="119" t="s">
        <v>728</v>
      </c>
    </row>
    <row r="72" spans="2:20" x14ac:dyDescent="0.3">
      <c r="B72" s="12" t="str">
        <f t="shared" si="6"/>
        <v>Master  Ligne</v>
      </c>
      <c r="C72" s="1192">
        <f t="shared" si="7"/>
        <v>1419.3400000000001</v>
      </c>
      <c r="D72" s="1192">
        <f t="shared" si="8"/>
        <v>0</v>
      </c>
      <c r="E72" s="1155">
        <v>1419.3400000000001</v>
      </c>
      <c r="F72" s="1156"/>
      <c r="G72" s="1187">
        <v>55.12</v>
      </c>
      <c r="H72" s="1187"/>
      <c r="I72" s="1187">
        <v>212</v>
      </c>
      <c r="J72" s="1187"/>
      <c r="K72" s="1188">
        <v>12677.599999999999</v>
      </c>
      <c r="L72" s="1189"/>
      <c r="M72" s="133" t="s">
        <v>729</v>
      </c>
      <c r="N72" s="118" t="s">
        <v>729</v>
      </c>
      <c r="O72" s="118" t="s">
        <v>729</v>
      </c>
      <c r="P72" s="119" t="s">
        <v>729</v>
      </c>
    </row>
    <row r="73" spans="2:20" s="137" customFormat="1" x14ac:dyDescent="0.3">
      <c r="B73" s="12" t="str">
        <f t="shared" si="6"/>
        <v>Master  Point</v>
      </c>
      <c r="C73" s="1192">
        <f>IF($D$1=1,E73,IF($D$1=2,G73,IF($D$1=3,I73,IF($D$1=4,K73,0))))</f>
        <v>1419.3400000000001</v>
      </c>
      <c r="D73" s="1192">
        <f>IF($D$1=1,F73,IF($D$1=2,H73,IF($D$1=3,J73,IF($D$1=4,L73,0))))</f>
        <v>0</v>
      </c>
      <c r="E73" s="1155">
        <v>1419.3400000000001</v>
      </c>
      <c r="F73" s="1156"/>
      <c r="G73" s="1187">
        <v>55.12</v>
      </c>
      <c r="H73" s="1187"/>
      <c r="I73" s="1187">
        <v>212</v>
      </c>
      <c r="J73" s="1187"/>
      <c r="K73" s="1188">
        <v>12677.599999999999</v>
      </c>
      <c r="L73" s="1189"/>
      <c r="M73" s="133" t="s">
        <v>730</v>
      </c>
      <c r="N73" s="118" t="s">
        <v>730</v>
      </c>
      <c r="O73" s="118" t="s">
        <v>730</v>
      </c>
      <c r="P73" s="119" t="s">
        <v>730</v>
      </c>
    </row>
    <row r="74" spans="2:20" x14ac:dyDescent="0.3">
      <c r="B74" s="12" t="str">
        <f>IF($D$1=1,M74,IF($D$1=2,N74,IF($D$1=3,O74,IF($D$1=4,P74,0))))</f>
        <v xml:space="preserve">Master  Ray </v>
      </c>
      <c r="C74" s="1193">
        <f t="shared" si="7"/>
        <v>1419.3400000000001</v>
      </c>
      <c r="D74" s="1193">
        <f t="shared" si="8"/>
        <v>0</v>
      </c>
      <c r="E74" s="1155">
        <v>1419.3400000000001</v>
      </c>
      <c r="F74" s="1156"/>
      <c r="G74" s="1157">
        <v>55.12</v>
      </c>
      <c r="H74" s="1157"/>
      <c r="I74" s="1157">
        <v>212</v>
      </c>
      <c r="J74" s="1157"/>
      <c r="K74" s="1158">
        <v>12677.599999999999</v>
      </c>
      <c r="L74" s="1159"/>
      <c r="M74" s="15" t="s">
        <v>731</v>
      </c>
      <c r="N74" s="118" t="s">
        <v>731</v>
      </c>
      <c r="O74" s="118" t="s">
        <v>731</v>
      </c>
      <c r="P74" s="119" t="s">
        <v>731</v>
      </c>
    </row>
    <row r="75" spans="2:20" ht="15" thickBot="1" x14ac:dyDescent="0.35">
      <c r="B75" s="12" t="str">
        <f t="shared" si="6"/>
        <v>Master  Shine</v>
      </c>
      <c r="C75" s="1193">
        <f t="shared" si="7"/>
        <v>1419.3400000000001</v>
      </c>
      <c r="D75" s="1193">
        <f t="shared" si="8"/>
        <v>0</v>
      </c>
      <c r="E75" s="1155">
        <v>1419.3400000000001</v>
      </c>
      <c r="F75" s="1156"/>
      <c r="G75" s="1184">
        <v>55.12</v>
      </c>
      <c r="H75" s="1184"/>
      <c r="I75" s="1184">
        <v>212</v>
      </c>
      <c r="J75" s="1184"/>
      <c r="K75" s="1185">
        <v>12677.599999999999</v>
      </c>
      <c r="L75" s="1186"/>
      <c r="M75" s="291" t="s">
        <v>732</v>
      </c>
      <c r="N75" s="128" t="s">
        <v>732</v>
      </c>
      <c r="O75" s="128" t="s">
        <v>732</v>
      </c>
      <c r="P75" s="132" t="s">
        <v>732</v>
      </c>
    </row>
    <row r="76" spans="2:20" x14ac:dyDescent="0.3">
      <c r="B76" s="12" t="str">
        <f t="shared" si="6"/>
        <v>Lacobel RAL 1013</v>
      </c>
      <c r="C76" s="1193">
        <f t="shared" si="7"/>
        <v>1812.8</v>
      </c>
      <c r="D76" s="1193">
        <f t="shared" si="8"/>
        <v>0</v>
      </c>
      <c r="E76" s="1155">
        <v>1812.8</v>
      </c>
      <c r="F76" s="1156"/>
      <c r="G76" s="1187">
        <v>70.400000000000006</v>
      </c>
      <c r="H76" s="1187"/>
      <c r="I76" s="1187">
        <v>270.76923076923077</v>
      </c>
      <c r="J76" s="1187"/>
      <c r="K76" s="1188">
        <v>16191.999999999998</v>
      </c>
      <c r="L76" s="1189"/>
      <c r="M76" s="14" t="s">
        <v>61</v>
      </c>
      <c r="N76" s="134" t="s">
        <v>61</v>
      </c>
      <c r="O76" s="134" t="s">
        <v>61</v>
      </c>
      <c r="P76" s="135" t="s">
        <v>61</v>
      </c>
    </row>
    <row r="77" spans="2:20" x14ac:dyDescent="0.3">
      <c r="B77" s="12" t="str">
        <f t="shared" si="6"/>
        <v>Lacobel RAL 1014</v>
      </c>
      <c r="C77" s="1193">
        <f t="shared" si="7"/>
        <v>1493.5</v>
      </c>
      <c r="D77" s="1193">
        <f t="shared" si="8"/>
        <v>0</v>
      </c>
      <c r="E77" s="1155">
        <v>1493.5</v>
      </c>
      <c r="F77" s="1156"/>
      <c r="G77" s="1157">
        <v>58</v>
      </c>
      <c r="H77" s="1157"/>
      <c r="I77" s="1157">
        <v>223.07692307692307</v>
      </c>
      <c r="J77" s="1157"/>
      <c r="K77" s="1158">
        <v>13339.999999999998</v>
      </c>
      <c r="L77" s="1159"/>
      <c r="M77" s="15" t="s">
        <v>62</v>
      </c>
      <c r="N77" s="134" t="s">
        <v>62</v>
      </c>
      <c r="O77" s="134" t="s">
        <v>62</v>
      </c>
      <c r="P77" s="135" t="s">
        <v>62</v>
      </c>
    </row>
    <row r="78" spans="2:20" x14ac:dyDescent="0.3">
      <c r="B78" s="12" t="str">
        <f t="shared" si="6"/>
        <v>Lacobel RAL 1015</v>
      </c>
      <c r="C78" s="1193">
        <f t="shared" si="7"/>
        <v>1493.5</v>
      </c>
      <c r="D78" s="1193">
        <f t="shared" si="8"/>
        <v>0</v>
      </c>
      <c r="E78" s="1155">
        <v>1493.5</v>
      </c>
      <c r="F78" s="1156"/>
      <c r="G78" s="1157">
        <v>58</v>
      </c>
      <c r="H78" s="1157"/>
      <c r="I78" s="1157">
        <v>223.07692307692307</v>
      </c>
      <c r="J78" s="1157"/>
      <c r="K78" s="1158">
        <v>13339.999999999998</v>
      </c>
      <c r="L78" s="1159"/>
      <c r="M78" s="15" t="s">
        <v>45</v>
      </c>
      <c r="N78" s="123" t="s">
        <v>45</v>
      </c>
      <c r="O78" s="123" t="s">
        <v>45</v>
      </c>
      <c r="P78" s="124" t="s">
        <v>45</v>
      </c>
    </row>
    <row r="79" spans="2:20" ht="15" thickBot="1" x14ac:dyDescent="0.35">
      <c r="B79" s="12" t="str">
        <f t="shared" si="6"/>
        <v>Lacobel RAL 2001</v>
      </c>
      <c r="C79" s="1193">
        <f t="shared" si="7"/>
        <v>1493.5</v>
      </c>
      <c r="D79" s="1193">
        <f t="shared" si="8"/>
        <v>0</v>
      </c>
      <c r="E79" s="1155">
        <v>1493.5</v>
      </c>
      <c r="F79" s="1156"/>
      <c r="G79" s="1157">
        <v>58</v>
      </c>
      <c r="H79" s="1157"/>
      <c r="I79" s="1157">
        <v>223.07692307692307</v>
      </c>
      <c r="J79" s="1157"/>
      <c r="K79" s="1158">
        <v>13339.999999999998</v>
      </c>
      <c r="L79" s="1159"/>
      <c r="M79" s="15" t="s">
        <v>51</v>
      </c>
      <c r="N79" s="292" t="s">
        <v>51</v>
      </c>
      <c r="O79" s="292" t="s">
        <v>51</v>
      </c>
      <c r="P79" s="293" t="s">
        <v>51</v>
      </c>
    </row>
    <row r="80" spans="2:20" x14ac:dyDescent="0.3">
      <c r="B80" s="12" t="str">
        <f t="shared" si="6"/>
        <v>Lacobel RAL 3004</v>
      </c>
      <c r="C80" s="1193">
        <f t="shared" si="7"/>
        <v>1493.5</v>
      </c>
      <c r="D80" s="1193">
        <f t="shared" si="8"/>
        <v>0</v>
      </c>
      <c r="E80" s="1155">
        <v>1493.5</v>
      </c>
      <c r="F80" s="1156"/>
      <c r="G80" s="1157">
        <v>58</v>
      </c>
      <c r="H80" s="1157"/>
      <c r="I80" s="1157">
        <v>223.07692307692307</v>
      </c>
      <c r="J80" s="1157"/>
      <c r="K80" s="1158">
        <v>13339.999999999998</v>
      </c>
      <c r="L80" s="1159"/>
      <c r="M80" s="15" t="s">
        <v>52</v>
      </c>
      <c r="N80" s="294" t="s">
        <v>52</v>
      </c>
      <c r="O80" s="294" t="s">
        <v>52</v>
      </c>
      <c r="P80" s="295" t="s">
        <v>52</v>
      </c>
    </row>
    <row r="81" spans="2:16" x14ac:dyDescent="0.3">
      <c r="B81" s="12" t="str">
        <f t="shared" si="6"/>
        <v>Lacobel RAL 4006</v>
      </c>
      <c r="C81" s="1193">
        <f t="shared" si="7"/>
        <v>1493.5</v>
      </c>
      <c r="D81" s="1193">
        <f t="shared" si="8"/>
        <v>0</v>
      </c>
      <c r="E81" s="1155">
        <v>1493.5</v>
      </c>
      <c r="F81" s="1156"/>
      <c r="G81" s="1157">
        <v>58</v>
      </c>
      <c r="H81" s="1157"/>
      <c r="I81" s="1157">
        <v>223.07692307692307</v>
      </c>
      <c r="J81" s="1157"/>
      <c r="K81" s="1158">
        <v>13339.999999999998</v>
      </c>
      <c r="L81" s="1159"/>
      <c r="M81" s="15" t="s">
        <v>53</v>
      </c>
      <c r="N81" s="123" t="s">
        <v>53</v>
      </c>
      <c r="O81" s="123" t="s">
        <v>53</v>
      </c>
      <c r="P81" s="124" t="s">
        <v>53</v>
      </c>
    </row>
    <row r="82" spans="2:16" x14ac:dyDescent="0.3">
      <c r="B82" s="12" t="str">
        <f t="shared" si="6"/>
        <v>Lacobel RAL 5002</v>
      </c>
      <c r="C82" s="1193">
        <f t="shared" si="7"/>
        <v>1493.5</v>
      </c>
      <c r="D82" s="1193">
        <f t="shared" si="8"/>
        <v>0</v>
      </c>
      <c r="E82" s="1155">
        <v>1493.5</v>
      </c>
      <c r="F82" s="1156"/>
      <c r="G82" s="1157">
        <v>58</v>
      </c>
      <c r="H82" s="1157"/>
      <c r="I82" s="1157">
        <v>223.07692307692307</v>
      </c>
      <c r="J82" s="1157"/>
      <c r="K82" s="1158">
        <v>13339.999999999998</v>
      </c>
      <c r="L82" s="1159"/>
      <c r="M82" s="15" t="s">
        <v>46</v>
      </c>
      <c r="N82" s="123" t="s">
        <v>46</v>
      </c>
      <c r="O82" s="123" t="s">
        <v>46</v>
      </c>
      <c r="P82" s="124" t="s">
        <v>46</v>
      </c>
    </row>
    <row r="83" spans="2:16" x14ac:dyDescent="0.3">
      <c r="B83" s="12" t="str">
        <f t="shared" si="6"/>
        <v>Lacobel RAL 7035</v>
      </c>
      <c r="C83" s="1193">
        <f t="shared" si="7"/>
        <v>1493.5</v>
      </c>
      <c r="D83" s="1193">
        <f t="shared" si="8"/>
        <v>0</v>
      </c>
      <c r="E83" s="1155">
        <v>1493.5</v>
      </c>
      <c r="F83" s="1156"/>
      <c r="G83" s="1157">
        <v>58</v>
      </c>
      <c r="H83" s="1157"/>
      <c r="I83" s="1157">
        <v>223.07692307692307</v>
      </c>
      <c r="J83" s="1157"/>
      <c r="K83" s="1158">
        <v>13339.999999999998</v>
      </c>
      <c r="L83" s="1159"/>
      <c r="M83" s="15" t="s">
        <v>56</v>
      </c>
      <c r="N83" s="123" t="s">
        <v>56</v>
      </c>
      <c r="O83" s="123" t="s">
        <v>56</v>
      </c>
      <c r="P83" s="124" t="s">
        <v>56</v>
      </c>
    </row>
    <row r="84" spans="2:16" x14ac:dyDescent="0.3">
      <c r="B84" s="12" t="str">
        <f t="shared" si="6"/>
        <v>Lacobel RAL 8017</v>
      </c>
      <c r="C84" s="1193">
        <f t="shared" si="7"/>
        <v>1493.5</v>
      </c>
      <c r="D84" s="1193">
        <f t="shared" si="8"/>
        <v>0</v>
      </c>
      <c r="E84" s="1155">
        <v>1493.5</v>
      </c>
      <c r="F84" s="1156"/>
      <c r="G84" s="1157">
        <v>58</v>
      </c>
      <c r="H84" s="1157"/>
      <c r="I84" s="1157">
        <v>223.07692307692307</v>
      </c>
      <c r="J84" s="1157"/>
      <c r="K84" s="1158">
        <v>13339.999999999998</v>
      </c>
      <c r="L84" s="1159"/>
      <c r="M84" s="15" t="s">
        <v>60</v>
      </c>
      <c r="N84" s="123" t="s">
        <v>60</v>
      </c>
      <c r="O84" s="123" t="s">
        <v>60</v>
      </c>
      <c r="P84" s="124" t="s">
        <v>60</v>
      </c>
    </row>
    <row r="85" spans="2:16" x14ac:dyDescent="0.3">
      <c r="B85" s="12" t="str">
        <f t="shared" si="6"/>
        <v>Lacobel RAL 9003</v>
      </c>
      <c r="C85" s="1193">
        <f t="shared" si="7"/>
        <v>1812.8</v>
      </c>
      <c r="D85" s="1193">
        <f t="shared" si="8"/>
        <v>0</v>
      </c>
      <c r="E85" s="1155">
        <v>1812.8</v>
      </c>
      <c r="F85" s="1156"/>
      <c r="G85" s="1157">
        <v>70.400000000000006</v>
      </c>
      <c r="H85" s="1157"/>
      <c r="I85" s="1157">
        <v>270.76923076923077</v>
      </c>
      <c r="J85" s="1157"/>
      <c r="K85" s="1158">
        <v>16191.999999999998</v>
      </c>
      <c r="L85" s="1159"/>
      <c r="M85" s="15" t="s">
        <v>63</v>
      </c>
      <c r="N85" s="123" t="s">
        <v>63</v>
      </c>
      <c r="O85" s="123" t="s">
        <v>63</v>
      </c>
      <c r="P85" s="124" t="s">
        <v>63</v>
      </c>
    </row>
    <row r="86" spans="2:16" x14ac:dyDescent="0.3">
      <c r="B86" s="12" t="str">
        <f t="shared" si="6"/>
        <v>Lacobel RAL 9005</v>
      </c>
      <c r="C86" s="1193">
        <f t="shared" si="7"/>
        <v>1493.5</v>
      </c>
      <c r="D86" s="1193">
        <f t="shared" si="8"/>
        <v>0</v>
      </c>
      <c r="E86" s="1155">
        <v>1493.5</v>
      </c>
      <c r="F86" s="1156"/>
      <c r="G86" s="1157">
        <v>58</v>
      </c>
      <c r="H86" s="1157"/>
      <c r="I86" s="1157">
        <v>223.07692307692307</v>
      </c>
      <c r="J86" s="1157"/>
      <c r="K86" s="1158">
        <v>13339.999999999998</v>
      </c>
      <c r="L86" s="1159"/>
      <c r="M86" s="15" t="s">
        <v>65</v>
      </c>
      <c r="N86" s="123" t="s">
        <v>65</v>
      </c>
      <c r="O86" s="123" t="s">
        <v>65</v>
      </c>
      <c r="P86" s="124" t="s">
        <v>65</v>
      </c>
    </row>
    <row r="87" spans="2:16" x14ac:dyDescent="0.3">
      <c r="B87" s="12" t="str">
        <f t="shared" si="6"/>
        <v>Lacobel RAL 9006</v>
      </c>
      <c r="C87" s="1193">
        <f t="shared" si="7"/>
        <v>1493.5</v>
      </c>
      <c r="D87" s="1193">
        <f t="shared" si="8"/>
        <v>0</v>
      </c>
      <c r="E87" s="1155">
        <v>1493.5</v>
      </c>
      <c r="F87" s="1156"/>
      <c r="G87" s="1157">
        <v>58</v>
      </c>
      <c r="H87" s="1157"/>
      <c r="I87" s="1157">
        <v>223.07692307692307</v>
      </c>
      <c r="J87" s="1157"/>
      <c r="K87" s="1158">
        <v>13339.999999999998</v>
      </c>
      <c r="L87" s="1159"/>
      <c r="M87" s="15" t="s">
        <v>64</v>
      </c>
      <c r="N87" s="123" t="s">
        <v>64</v>
      </c>
      <c r="O87" s="123" t="s">
        <v>64</v>
      </c>
      <c r="P87" s="124" t="s">
        <v>64</v>
      </c>
    </row>
    <row r="88" spans="2:16" x14ac:dyDescent="0.3">
      <c r="B88" s="12" t="str">
        <f t="shared" si="6"/>
        <v>Lacobel RAL 9007</v>
      </c>
      <c r="C88" s="1193">
        <f t="shared" si="7"/>
        <v>1812.8</v>
      </c>
      <c r="D88" s="1193">
        <f t="shared" si="8"/>
        <v>0</v>
      </c>
      <c r="E88" s="1155">
        <v>1812.8</v>
      </c>
      <c r="F88" s="1156"/>
      <c r="G88" s="1157">
        <v>70.400000000000006</v>
      </c>
      <c r="H88" s="1157"/>
      <c r="I88" s="1157">
        <v>270.76923076923077</v>
      </c>
      <c r="J88" s="1157"/>
      <c r="K88" s="1158">
        <v>16191.999999999998</v>
      </c>
      <c r="L88" s="1159"/>
      <c r="M88" s="15" t="s">
        <v>1013</v>
      </c>
      <c r="N88" s="123" t="s">
        <v>1013</v>
      </c>
      <c r="O88" s="123" t="s">
        <v>1013</v>
      </c>
      <c r="P88" s="124" t="s">
        <v>1013</v>
      </c>
    </row>
    <row r="89" spans="2:16" x14ac:dyDescent="0.3">
      <c r="B89" s="12" t="str">
        <f t="shared" si="6"/>
        <v>Lacobel RAL 9010</v>
      </c>
      <c r="C89" s="1193">
        <f t="shared" si="7"/>
        <v>1493.5</v>
      </c>
      <c r="D89" s="1193">
        <f t="shared" si="8"/>
        <v>0</v>
      </c>
      <c r="E89" s="1155">
        <v>1493.5</v>
      </c>
      <c r="F89" s="1156"/>
      <c r="G89" s="1157">
        <v>58</v>
      </c>
      <c r="H89" s="1157"/>
      <c r="I89" s="1157">
        <v>223.07692307692307</v>
      </c>
      <c r="J89" s="1157"/>
      <c r="K89" s="1158">
        <v>13339.999999999998</v>
      </c>
      <c r="L89" s="1159"/>
      <c r="M89" s="15" t="s">
        <v>47</v>
      </c>
      <c r="N89" s="123" t="s">
        <v>47</v>
      </c>
      <c r="O89" s="123" t="s">
        <v>47</v>
      </c>
      <c r="P89" s="124" t="s">
        <v>47</v>
      </c>
    </row>
    <row r="90" spans="2:16" x14ac:dyDescent="0.3">
      <c r="B90" s="12" t="str">
        <f t="shared" si="6"/>
        <v>Lacobel REF 0128</v>
      </c>
      <c r="C90" s="1193">
        <f t="shared" si="7"/>
        <v>1812.8</v>
      </c>
      <c r="D90" s="1193">
        <f t="shared" si="8"/>
        <v>0</v>
      </c>
      <c r="E90" s="1155">
        <v>1812.8</v>
      </c>
      <c r="F90" s="1156"/>
      <c r="G90" s="1157">
        <v>70.400000000000006</v>
      </c>
      <c r="H90" s="1157"/>
      <c r="I90" s="1157">
        <v>270.76923076923077</v>
      </c>
      <c r="J90" s="1157"/>
      <c r="K90" s="1158">
        <v>16191.999999999998</v>
      </c>
      <c r="L90" s="1159"/>
      <c r="M90" s="15" t="s">
        <v>54</v>
      </c>
      <c r="N90" s="123" t="s">
        <v>54</v>
      </c>
      <c r="O90" s="123" t="s">
        <v>54</v>
      </c>
      <c r="P90" s="124" t="s">
        <v>54</v>
      </c>
    </row>
    <row r="91" spans="2:16" x14ac:dyDescent="0.3">
      <c r="B91" s="12" t="str">
        <f t="shared" si="6"/>
        <v>Lacobel REF 0327</v>
      </c>
      <c r="C91" s="1193">
        <f t="shared" si="7"/>
        <v>1812.8</v>
      </c>
      <c r="D91" s="1193">
        <f t="shared" si="8"/>
        <v>0</v>
      </c>
      <c r="E91" s="1155">
        <v>1812.8</v>
      </c>
      <c r="F91" s="1156"/>
      <c r="G91" s="1157">
        <v>70.400000000000006</v>
      </c>
      <c r="H91" s="1157"/>
      <c r="I91" s="1157">
        <v>270.76923076923077</v>
      </c>
      <c r="J91" s="1157"/>
      <c r="K91" s="1158">
        <v>16191.999999999998</v>
      </c>
      <c r="L91" s="1159"/>
      <c r="M91" s="15" t="s">
        <v>66</v>
      </c>
      <c r="N91" s="123" t="s">
        <v>66</v>
      </c>
      <c r="O91" s="123" t="s">
        <v>66</v>
      </c>
      <c r="P91" s="124" t="s">
        <v>66</v>
      </c>
    </row>
    <row r="92" spans="2:16" x14ac:dyDescent="0.3">
      <c r="B92" s="12" t="str">
        <f t="shared" si="6"/>
        <v>Lacobel REF 0337</v>
      </c>
      <c r="C92" s="1193">
        <f t="shared" si="7"/>
        <v>1812.8</v>
      </c>
      <c r="D92" s="1193">
        <f t="shared" si="8"/>
        <v>0</v>
      </c>
      <c r="E92" s="1155">
        <v>1812.8</v>
      </c>
      <c r="F92" s="1156"/>
      <c r="G92" s="1157">
        <v>70.400000000000006</v>
      </c>
      <c r="H92" s="1157"/>
      <c r="I92" s="1157">
        <v>270.76923076923077</v>
      </c>
      <c r="J92" s="1157"/>
      <c r="K92" s="1158">
        <v>16191.999999999998</v>
      </c>
      <c r="L92" s="1159"/>
      <c r="M92" s="15" t="s">
        <v>57</v>
      </c>
      <c r="N92" s="123" t="s">
        <v>57</v>
      </c>
      <c r="O92" s="123" t="s">
        <v>57</v>
      </c>
      <c r="P92" s="124" t="s">
        <v>57</v>
      </c>
    </row>
    <row r="93" spans="2:16" x14ac:dyDescent="0.3">
      <c r="B93" s="12" t="str">
        <f t="shared" si="6"/>
        <v>Lacobel REF 0627</v>
      </c>
      <c r="C93" s="1193">
        <f t="shared" si="7"/>
        <v>1812.8</v>
      </c>
      <c r="D93" s="1193">
        <f t="shared" si="8"/>
        <v>0</v>
      </c>
      <c r="E93" s="1155">
        <v>1812.8</v>
      </c>
      <c r="F93" s="1156"/>
      <c r="G93" s="1157">
        <v>70.400000000000006</v>
      </c>
      <c r="H93" s="1157"/>
      <c r="I93" s="1157">
        <v>270.76923076923077</v>
      </c>
      <c r="J93" s="1157"/>
      <c r="K93" s="1158">
        <v>16191.999999999998</v>
      </c>
      <c r="L93" s="1159"/>
      <c r="M93" s="15" t="s">
        <v>58</v>
      </c>
      <c r="N93" s="123" t="s">
        <v>58</v>
      </c>
      <c r="O93" s="123" t="s">
        <v>58</v>
      </c>
      <c r="P93" s="124" t="s">
        <v>58</v>
      </c>
    </row>
    <row r="94" spans="2:16" x14ac:dyDescent="0.3">
      <c r="B94" s="12" t="str">
        <f t="shared" si="6"/>
        <v>Lacobel REF 0667</v>
      </c>
      <c r="C94" s="1193">
        <f t="shared" si="7"/>
        <v>1493.5</v>
      </c>
      <c r="D94" s="1193">
        <f t="shared" si="8"/>
        <v>0</v>
      </c>
      <c r="E94" s="1155">
        <v>1493.5</v>
      </c>
      <c r="F94" s="1156"/>
      <c r="G94" s="1157">
        <v>58</v>
      </c>
      <c r="H94" s="1157"/>
      <c r="I94" s="1157">
        <v>223.07692307692307</v>
      </c>
      <c r="J94" s="1157"/>
      <c r="K94" s="1158">
        <v>13339.999999999998</v>
      </c>
      <c r="L94" s="1159"/>
      <c r="M94" s="15" t="s">
        <v>48</v>
      </c>
      <c r="N94" s="123" t="s">
        <v>48</v>
      </c>
      <c r="O94" s="123" t="s">
        <v>48</v>
      </c>
      <c r="P94" s="124" t="s">
        <v>48</v>
      </c>
    </row>
    <row r="95" spans="2:16" x14ac:dyDescent="0.3">
      <c r="B95" s="12" t="str">
        <f t="shared" si="6"/>
        <v>Lacobel REF 1164</v>
      </c>
      <c r="C95" s="1193">
        <f t="shared" si="7"/>
        <v>1493.5</v>
      </c>
      <c r="D95" s="1193">
        <f t="shared" si="8"/>
        <v>0</v>
      </c>
      <c r="E95" s="1155">
        <v>1493.5</v>
      </c>
      <c r="F95" s="1156"/>
      <c r="G95" s="1157">
        <v>58</v>
      </c>
      <c r="H95" s="1157"/>
      <c r="I95" s="1157">
        <v>223.07692307692307</v>
      </c>
      <c r="J95" s="1157"/>
      <c r="K95" s="1158">
        <v>13339.999999999998</v>
      </c>
      <c r="L95" s="1159"/>
      <c r="M95" s="15" t="s">
        <v>49</v>
      </c>
      <c r="N95" s="123" t="s">
        <v>49</v>
      </c>
      <c r="O95" s="123" t="s">
        <v>49</v>
      </c>
      <c r="P95" s="124" t="s">
        <v>49</v>
      </c>
    </row>
    <row r="96" spans="2:16" x14ac:dyDescent="0.3">
      <c r="B96" s="12" t="str">
        <f t="shared" si="6"/>
        <v>Lacobel REF 1236</v>
      </c>
      <c r="C96" s="1193">
        <f t="shared" si="7"/>
        <v>1493.5</v>
      </c>
      <c r="D96" s="1193">
        <f t="shared" si="8"/>
        <v>0</v>
      </c>
      <c r="E96" s="1155">
        <v>1493.5</v>
      </c>
      <c r="F96" s="1156"/>
      <c r="G96" s="1157">
        <v>58</v>
      </c>
      <c r="H96" s="1157"/>
      <c r="I96" s="1157">
        <v>223.07692307692307</v>
      </c>
      <c r="J96" s="1157"/>
      <c r="K96" s="1158">
        <v>13339.999999999998</v>
      </c>
      <c r="L96" s="1159"/>
      <c r="M96" s="15" t="s">
        <v>55</v>
      </c>
      <c r="N96" s="123" t="s">
        <v>55</v>
      </c>
      <c r="O96" s="123" t="s">
        <v>55</v>
      </c>
      <c r="P96" s="124" t="s">
        <v>55</v>
      </c>
    </row>
    <row r="97" spans="2:16" x14ac:dyDescent="0.3">
      <c r="B97" s="12" t="str">
        <f t="shared" si="6"/>
        <v>Lacobel REF 1435</v>
      </c>
      <c r="C97" s="1193">
        <f t="shared" si="7"/>
        <v>1493.5</v>
      </c>
      <c r="D97" s="1193">
        <f t="shared" si="8"/>
        <v>0</v>
      </c>
      <c r="E97" s="1155">
        <v>1493.5</v>
      </c>
      <c r="F97" s="1156"/>
      <c r="G97" s="1157">
        <v>58</v>
      </c>
      <c r="H97" s="1157"/>
      <c r="I97" s="1157">
        <v>223.07692307692307</v>
      </c>
      <c r="J97" s="1157"/>
      <c r="K97" s="1158">
        <v>13339.999999999998</v>
      </c>
      <c r="L97" s="1159"/>
      <c r="M97" s="15" t="s">
        <v>50</v>
      </c>
      <c r="N97" s="123" t="s">
        <v>50</v>
      </c>
      <c r="O97" s="123" t="s">
        <v>50</v>
      </c>
      <c r="P97" s="124" t="s">
        <v>50</v>
      </c>
    </row>
    <row r="98" spans="2:16" x14ac:dyDescent="0.3">
      <c r="B98" s="12" t="str">
        <f t="shared" si="6"/>
        <v>Lacobel REF 1586</v>
      </c>
      <c r="C98" s="1193">
        <f t="shared" si="7"/>
        <v>1493.5</v>
      </c>
      <c r="D98" s="1193">
        <f t="shared" si="8"/>
        <v>0</v>
      </c>
      <c r="E98" s="1155">
        <v>1493.5</v>
      </c>
      <c r="F98" s="1156"/>
      <c r="G98" s="1157">
        <v>58</v>
      </c>
      <c r="H98" s="1157"/>
      <c r="I98" s="1157">
        <v>223.07692307692307</v>
      </c>
      <c r="J98" s="1157"/>
      <c r="K98" s="1158">
        <v>13339.999999999998</v>
      </c>
      <c r="L98" s="1159"/>
      <c r="M98" s="15" t="s">
        <v>67</v>
      </c>
      <c r="N98" s="123" t="s">
        <v>67</v>
      </c>
      <c r="O98" s="123" t="s">
        <v>67</v>
      </c>
      <c r="P98" s="124" t="s">
        <v>67</v>
      </c>
    </row>
    <row r="99" spans="2:16" x14ac:dyDescent="0.3">
      <c r="B99" s="12" t="str">
        <f t="shared" si="6"/>
        <v>Lacobel REF 1603</v>
      </c>
      <c r="C99" s="1193">
        <f t="shared" si="7"/>
        <v>1493.5</v>
      </c>
      <c r="D99" s="1193">
        <f t="shared" si="8"/>
        <v>0</v>
      </c>
      <c r="E99" s="1155">
        <v>1493.5</v>
      </c>
      <c r="F99" s="1156"/>
      <c r="G99" s="1157">
        <v>58</v>
      </c>
      <c r="H99" s="1157"/>
      <c r="I99" s="1157">
        <v>223.07692307692307</v>
      </c>
      <c r="J99" s="1157"/>
      <c r="K99" s="1158">
        <v>13339.999999999998</v>
      </c>
      <c r="L99" s="1159"/>
      <c r="M99" s="15" t="s">
        <v>44</v>
      </c>
      <c r="N99" s="123" t="s">
        <v>44</v>
      </c>
      <c r="O99" s="123" t="s">
        <v>44</v>
      </c>
      <c r="P99" s="124" t="s">
        <v>44</v>
      </c>
    </row>
    <row r="100" spans="2:16" x14ac:dyDescent="0.3">
      <c r="B100" s="12" t="str">
        <f t="shared" si="6"/>
        <v>Lacobel REF 1604</v>
      </c>
      <c r="C100" s="1193">
        <f t="shared" si="7"/>
        <v>1493.5</v>
      </c>
      <c r="D100" s="1193">
        <f t="shared" si="8"/>
        <v>0</v>
      </c>
      <c r="E100" s="1155">
        <v>1493.5</v>
      </c>
      <c r="F100" s="1156"/>
      <c r="G100" s="1157">
        <v>58</v>
      </c>
      <c r="H100" s="1157"/>
      <c r="I100" s="1157">
        <v>223.07692307692307</v>
      </c>
      <c r="J100" s="1157"/>
      <c r="K100" s="1158">
        <v>13339.999999999998</v>
      </c>
      <c r="L100" s="1159"/>
      <c r="M100" s="15" t="s">
        <v>59</v>
      </c>
      <c r="N100" s="123" t="s">
        <v>59</v>
      </c>
      <c r="O100" s="123" t="s">
        <v>59</v>
      </c>
      <c r="P100" s="124" t="s">
        <v>59</v>
      </c>
    </row>
    <row r="101" spans="2:16" x14ac:dyDescent="0.3">
      <c r="B101" s="12" t="str">
        <f t="shared" si="6"/>
        <v>Matelac RAL 2001</v>
      </c>
      <c r="C101" s="1193">
        <f t="shared" si="7"/>
        <v>2502.9</v>
      </c>
      <c r="D101" s="1193">
        <f t="shared" si="8"/>
        <v>0</v>
      </c>
      <c r="E101" s="1155">
        <v>2502.9</v>
      </c>
      <c r="F101" s="1156"/>
      <c r="G101" s="1157">
        <v>97.2</v>
      </c>
      <c r="H101" s="1157"/>
      <c r="I101" s="1157">
        <v>373.84615384615387</v>
      </c>
      <c r="J101" s="1157"/>
      <c r="K101" s="1158">
        <v>22356</v>
      </c>
      <c r="L101" s="1159"/>
      <c r="M101" s="15" t="s">
        <v>74</v>
      </c>
      <c r="N101" s="123" t="s">
        <v>74</v>
      </c>
      <c r="O101" s="123" t="s">
        <v>74</v>
      </c>
      <c r="P101" s="124" t="s">
        <v>74</v>
      </c>
    </row>
    <row r="102" spans="2:16" x14ac:dyDescent="0.3">
      <c r="B102" s="12" t="str">
        <f t="shared" si="6"/>
        <v>Matelac RAL 3004</v>
      </c>
      <c r="C102" s="1193">
        <f t="shared" si="7"/>
        <v>2502.9</v>
      </c>
      <c r="D102" s="1193">
        <f t="shared" si="8"/>
        <v>0</v>
      </c>
      <c r="E102" s="1155">
        <v>2502.9</v>
      </c>
      <c r="F102" s="1156"/>
      <c r="G102" s="1157">
        <v>97.2</v>
      </c>
      <c r="H102" s="1157"/>
      <c r="I102" s="1157">
        <v>373.84615384615387</v>
      </c>
      <c r="J102" s="1157"/>
      <c r="K102" s="1158">
        <v>22356</v>
      </c>
      <c r="L102" s="1159"/>
      <c r="M102" s="15" t="s">
        <v>76</v>
      </c>
      <c r="N102" s="123" t="s">
        <v>76</v>
      </c>
      <c r="O102" s="123" t="s">
        <v>76</v>
      </c>
      <c r="P102" s="124" t="s">
        <v>76</v>
      </c>
    </row>
    <row r="103" spans="2:16" x14ac:dyDescent="0.3">
      <c r="B103" s="12" t="str">
        <f t="shared" si="6"/>
        <v>Matelac RAL 7021</v>
      </c>
      <c r="C103" s="1163">
        <f t="shared" si="7"/>
        <v>2502.9</v>
      </c>
      <c r="D103" s="1164">
        <f t="shared" si="8"/>
        <v>0</v>
      </c>
      <c r="E103" s="1155">
        <v>2502.9</v>
      </c>
      <c r="F103" s="1156"/>
      <c r="G103" s="1157">
        <v>97.2</v>
      </c>
      <c r="H103" s="1157"/>
      <c r="I103" s="1157">
        <v>373.84615384615387</v>
      </c>
      <c r="J103" s="1157"/>
      <c r="K103" s="1158">
        <v>22356</v>
      </c>
      <c r="L103" s="1159"/>
      <c r="M103" s="15" t="s">
        <v>72</v>
      </c>
      <c r="N103" s="123" t="s">
        <v>72</v>
      </c>
      <c r="O103" s="123" t="s">
        <v>72</v>
      </c>
      <c r="P103" s="124" t="s">
        <v>72</v>
      </c>
    </row>
    <row r="104" spans="2:16" x14ac:dyDescent="0.3">
      <c r="B104" s="12" t="str">
        <f t="shared" si="6"/>
        <v>Matelac RAL 9003</v>
      </c>
      <c r="C104" s="1163">
        <f t="shared" si="7"/>
        <v>2914.9</v>
      </c>
      <c r="D104" s="1164">
        <f t="shared" si="8"/>
        <v>0</v>
      </c>
      <c r="E104" s="1155">
        <v>2914.9</v>
      </c>
      <c r="F104" s="1156"/>
      <c r="G104" s="1157">
        <v>113.2</v>
      </c>
      <c r="H104" s="1157"/>
      <c r="I104" s="1157">
        <v>435.38461538461536</v>
      </c>
      <c r="J104" s="1157"/>
      <c r="K104" s="1158">
        <v>26035.999999999996</v>
      </c>
      <c r="L104" s="1159"/>
      <c r="M104" s="15" t="s">
        <v>69</v>
      </c>
      <c r="N104" s="123" t="s">
        <v>69</v>
      </c>
      <c r="O104" s="123" t="s">
        <v>69</v>
      </c>
      <c r="P104" s="124" t="s">
        <v>69</v>
      </c>
    </row>
    <row r="105" spans="2:16" x14ac:dyDescent="0.3">
      <c r="B105" s="12" t="str">
        <f t="shared" si="6"/>
        <v>Matelac RAL 9005</v>
      </c>
      <c r="C105" s="1163">
        <f t="shared" si="7"/>
        <v>2502.9</v>
      </c>
      <c r="D105" s="1164">
        <f t="shared" si="8"/>
        <v>0</v>
      </c>
      <c r="E105" s="1155">
        <v>2502.9</v>
      </c>
      <c r="F105" s="1156"/>
      <c r="G105" s="1157">
        <v>97.2</v>
      </c>
      <c r="H105" s="1157"/>
      <c r="I105" s="1157">
        <v>373.84615384615387</v>
      </c>
      <c r="J105" s="1157"/>
      <c r="K105" s="1158">
        <v>22356</v>
      </c>
      <c r="L105" s="1159"/>
      <c r="M105" s="15" t="s">
        <v>73</v>
      </c>
      <c r="N105" s="123" t="s">
        <v>73</v>
      </c>
      <c r="O105" s="123" t="s">
        <v>73</v>
      </c>
      <c r="P105" s="124" t="s">
        <v>73</v>
      </c>
    </row>
    <row r="106" spans="2:16" x14ac:dyDescent="0.3">
      <c r="B106" s="12" t="str">
        <f t="shared" si="6"/>
        <v>Matelac RAL 9006</v>
      </c>
      <c r="C106" s="1163">
        <f t="shared" si="7"/>
        <v>2502.9</v>
      </c>
      <c r="D106" s="1164">
        <f t="shared" si="8"/>
        <v>0</v>
      </c>
      <c r="E106" s="1155">
        <v>2502.9</v>
      </c>
      <c r="F106" s="1156"/>
      <c r="G106" s="1157">
        <v>97.2</v>
      </c>
      <c r="H106" s="1157"/>
      <c r="I106" s="1157">
        <v>373.84615384615387</v>
      </c>
      <c r="J106" s="1157"/>
      <c r="K106" s="1158">
        <v>22356</v>
      </c>
      <c r="L106" s="1159"/>
      <c r="M106" s="15" t="s">
        <v>71</v>
      </c>
      <c r="N106" s="123" t="s">
        <v>71</v>
      </c>
      <c r="O106" s="123" t="s">
        <v>71</v>
      </c>
      <c r="P106" s="124" t="s">
        <v>71</v>
      </c>
    </row>
    <row r="107" spans="2:16" x14ac:dyDescent="0.3">
      <c r="B107" s="12" t="str">
        <f t="shared" si="6"/>
        <v>Matelac RAL 9010</v>
      </c>
      <c r="C107" s="1163">
        <f t="shared" si="7"/>
        <v>2502.9</v>
      </c>
      <c r="D107" s="1164">
        <f t="shared" si="8"/>
        <v>0</v>
      </c>
      <c r="E107" s="1155">
        <v>2502.9</v>
      </c>
      <c r="F107" s="1156"/>
      <c r="G107" s="1157">
        <v>97.2</v>
      </c>
      <c r="H107" s="1157"/>
      <c r="I107" s="1157">
        <v>373.84615384615387</v>
      </c>
      <c r="J107" s="1157"/>
      <c r="K107" s="1158">
        <v>22356</v>
      </c>
      <c r="L107" s="1159"/>
      <c r="M107" s="15" t="s">
        <v>70</v>
      </c>
      <c r="N107" s="123" t="s">
        <v>70</v>
      </c>
      <c r="O107" s="123" t="s">
        <v>70</v>
      </c>
      <c r="P107" s="124" t="s">
        <v>70</v>
      </c>
    </row>
    <row r="108" spans="2:16" s="137" customFormat="1" x14ac:dyDescent="0.3">
      <c r="B108" s="12" t="str">
        <f t="shared" si="6"/>
        <v>Matelac REF 1435</v>
      </c>
      <c r="C108" s="1163">
        <f t="shared" ref="C108:D112" si="9">IF($D$1=1,E108,IF($D$1=2,G108,IF($D$1=3,I108,IF($D$1=4,K108,0))))</f>
        <v>2502.9</v>
      </c>
      <c r="D108" s="1164">
        <f t="shared" si="9"/>
        <v>0</v>
      </c>
      <c r="E108" s="1155">
        <v>2502.9</v>
      </c>
      <c r="F108" s="1156"/>
      <c r="G108" s="1160">
        <v>97.2</v>
      </c>
      <c r="H108" s="1160"/>
      <c r="I108" s="1160">
        <v>373.84615384615387</v>
      </c>
      <c r="J108" s="1160"/>
      <c r="K108" s="1161">
        <v>22356</v>
      </c>
      <c r="L108" s="1162"/>
      <c r="M108" s="16" t="s">
        <v>68</v>
      </c>
      <c r="N108" s="123" t="s">
        <v>68</v>
      </c>
      <c r="O108" s="123" t="s">
        <v>68</v>
      </c>
      <c r="P108" s="124" t="s">
        <v>68</v>
      </c>
    </row>
    <row r="109" spans="2:16" s="137" customFormat="1" x14ac:dyDescent="0.3">
      <c r="B109" s="12" t="str">
        <f t="shared" si="6"/>
        <v>Matelac REF 1586</v>
      </c>
      <c r="C109" s="1163">
        <f t="shared" si="9"/>
        <v>2502.9</v>
      </c>
      <c r="D109" s="1164">
        <f t="shared" si="9"/>
        <v>0</v>
      </c>
      <c r="E109" s="1155">
        <v>2502.9</v>
      </c>
      <c r="F109" s="1156"/>
      <c r="G109" s="1157">
        <v>97.2</v>
      </c>
      <c r="H109" s="1157"/>
      <c r="I109" s="1157">
        <v>373.84615384615387</v>
      </c>
      <c r="J109" s="1157"/>
      <c r="K109" s="1158">
        <v>22356</v>
      </c>
      <c r="L109" s="1159"/>
      <c r="M109" s="18" t="s">
        <v>75</v>
      </c>
      <c r="N109" s="123" t="s">
        <v>75</v>
      </c>
      <c r="O109" s="123" t="s">
        <v>75</v>
      </c>
      <c r="P109" s="124" t="s">
        <v>75</v>
      </c>
    </row>
    <row r="110" spans="2:16" s="137" customFormat="1" x14ac:dyDescent="0.3">
      <c r="B110" s="12" t="str">
        <f t="shared" si="6"/>
        <v>Matelac zrcadlo bronz</v>
      </c>
      <c r="C110" s="1163">
        <f t="shared" si="9"/>
        <v>2708.9</v>
      </c>
      <c r="D110" s="1164">
        <f t="shared" si="9"/>
        <v>0</v>
      </c>
      <c r="E110" s="1155">
        <v>2708.9</v>
      </c>
      <c r="F110" s="1156"/>
      <c r="G110" s="1160">
        <v>105.2</v>
      </c>
      <c r="H110" s="1160"/>
      <c r="I110" s="1160">
        <v>404.61538461538464</v>
      </c>
      <c r="J110" s="1160"/>
      <c r="K110" s="1161">
        <v>24195.999999999996</v>
      </c>
      <c r="L110" s="1162"/>
      <c r="M110" s="18" t="s">
        <v>82</v>
      </c>
      <c r="N110" s="123" t="s">
        <v>549</v>
      </c>
      <c r="O110" s="123" t="s">
        <v>546</v>
      </c>
      <c r="P110" s="124" t="s">
        <v>627</v>
      </c>
    </row>
    <row r="111" spans="2:16" s="137" customFormat="1" x14ac:dyDescent="0.3">
      <c r="B111" s="12" t="str">
        <f t="shared" si="6"/>
        <v>Matelac zrcadlo grafit</v>
      </c>
      <c r="C111" s="1163">
        <f t="shared" si="9"/>
        <v>3038.5</v>
      </c>
      <c r="D111" s="1164">
        <f t="shared" si="9"/>
        <v>0</v>
      </c>
      <c r="E111" s="1155">
        <v>3038.5</v>
      </c>
      <c r="F111" s="1156"/>
      <c r="G111" s="1157">
        <v>118</v>
      </c>
      <c r="H111" s="1157"/>
      <c r="I111" s="1157">
        <v>453.84615384615387</v>
      </c>
      <c r="J111" s="1157"/>
      <c r="K111" s="1158">
        <v>27139.999999999996</v>
      </c>
      <c r="L111" s="1159"/>
      <c r="M111" s="18" t="s">
        <v>84</v>
      </c>
      <c r="N111" s="123" t="s">
        <v>551</v>
      </c>
      <c r="O111" s="123" t="s">
        <v>548</v>
      </c>
      <c r="P111" s="124" t="s">
        <v>629</v>
      </c>
    </row>
    <row r="112" spans="2:16" s="137" customFormat="1" x14ac:dyDescent="0.3">
      <c r="B112" s="12" t="str">
        <f t="shared" si="6"/>
        <v>Matelac zrcadlo stříbr.</v>
      </c>
      <c r="C112" s="1163">
        <f t="shared" si="9"/>
        <v>2708.9</v>
      </c>
      <c r="D112" s="1164">
        <f t="shared" si="9"/>
        <v>0</v>
      </c>
      <c r="E112" s="1155">
        <v>2708.9</v>
      </c>
      <c r="F112" s="1156"/>
      <c r="G112" s="1160">
        <v>105.2</v>
      </c>
      <c r="H112" s="1160"/>
      <c r="I112" s="1160">
        <v>404.61538461538464</v>
      </c>
      <c r="J112" s="1160"/>
      <c r="K112" s="1161">
        <v>24195.999999999996</v>
      </c>
      <c r="L112" s="1162"/>
      <c r="M112" s="18" t="s">
        <v>83</v>
      </c>
      <c r="N112" s="125" t="s">
        <v>1729</v>
      </c>
      <c r="O112" s="125" t="s">
        <v>1730</v>
      </c>
      <c r="P112" s="126" t="s">
        <v>1731</v>
      </c>
    </row>
    <row r="113" spans="2:16" s="137" customFormat="1" x14ac:dyDescent="0.3">
      <c r="B113" s="282"/>
      <c r="C113" s="283"/>
      <c r="D113" s="284"/>
      <c r="E113" s="285"/>
      <c r="F113" s="285"/>
      <c r="G113" s="286"/>
      <c r="H113" s="286"/>
      <c r="I113" s="286"/>
      <c r="J113" s="286"/>
      <c r="K113" s="287"/>
      <c r="L113" s="288"/>
      <c r="M113" s="282"/>
      <c r="N113" s="123" t="s">
        <v>75</v>
      </c>
      <c r="O113" s="123" t="s">
        <v>75</v>
      </c>
      <c r="P113" s="124" t="s">
        <v>75</v>
      </c>
    </row>
    <row r="114" spans="2:16" s="137" customFormat="1" x14ac:dyDescent="0.3">
      <c r="B114" s="282"/>
      <c r="C114" s="283"/>
      <c r="D114" s="284"/>
      <c r="E114" s="285"/>
      <c r="F114" s="285"/>
      <c r="G114" s="286"/>
      <c r="H114" s="286"/>
      <c r="I114" s="286"/>
      <c r="J114" s="286"/>
      <c r="K114" s="287"/>
      <c r="L114" s="288"/>
      <c r="M114" s="282"/>
      <c r="N114" s="123" t="s">
        <v>549</v>
      </c>
      <c r="O114" s="123" t="s">
        <v>546</v>
      </c>
      <c r="P114" s="124" t="s">
        <v>627</v>
      </c>
    </row>
    <row r="115" spans="2:16" s="137" customFormat="1" x14ac:dyDescent="0.3">
      <c r="B115" s="282"/>
      <c r="C115" s="283"/>
      <c r="D115" s="284"/>
      <c r="E115" s="285"/>
      <c r="F115" s="285"/>
      <c r="G115" s="286"/>
      <c r="H115" s="286"/>
      <c r="I115" s="286"/>
      <c r="J115" s="286"/>
      <c r="K115" s="287"/>
      <c r="L115" s="288"/>
      <c r="M115" s="282"/>
      <c r="N115" s="123" t="s">
        <v>551</v>
      </c>
      <c r="O115" s="123" t="s">
        <v>548</v>
      </c>
      <c r="P115" s="124" t="s">
        <v>629</v>
      </c>
    </row>
    <row r="116" spans="2:16" s="137" customFormat="1" x14ac:dyDescent="0.3">
      <c r="B116" s="282"/>
      <c r="C116" s="283"/>
      <c r="D116" s="284"/>
      <c r="E116" s="285"/>
      <c r="F116" s="285"/>
      <c r="G116" s="286"/>
      <c r="H116" s="286"/>
      <c r="I116" s="286"/>
      <c r="J116" s="286"/>
      <c r="K116" s="287"/>
      <c r="L116" s="288"/>
      <c r="M116" s="282"/>
      <c r="N116" s="125" t="s">
        <v>550</v>
      </c>
      <c r="O116" s="125" t="s">
        <v>547</v>
      </c>
      <c r="P116" s="126" t="s">
        <v>628</v>
      </c>
    </row>
    <row r="117" spans="2:16" s="137" customFormat="1" x14ac:dyDescent="0.3">
      <c r="B117" s="282"/>
      <c r="C117" s="283"/>
      <c r="D117" s="284"/>
      <c r="E117" s="285"/>
      <c r="F117" s="285"/>
      <c r="G117" s="286"/>
      <c r="H117" s="286"/>
      <c r="I117" s="286"/>
      <c r="J117" s="286"/>
      <c r="K117" s="287"/>
      <c r="L117" s="288"/>
      <c r="M117" s="282"/>
      <c r="N117" s="289"/>
      <c r="O117" s="289"/>
      <c r="P117" s="290"/>
    </row>
    <row r="118" spans="2:16" x14ac:dyDescent="0.3">
      <c r="B118" s="16"/>
      <c r="C118" s="1194"/>
      <c r="D118" s="1194"/>
      <c r="E118" s="1194"/>
      <c r="F118" s="1194"/>
      <c r="G118" s="1160"/>
      <c r="H118" s="1160"/>
      <c r="I118" s="1160"/>
      <c r="J118" s="1160"/>
      <c r="K118" s="1161"/>
      <c r="L118" s="1162"/>
      <c r="M118" s="16"/>
      <c r="N118" s="125"/>
      <c r="O118" s="125"/>
      <c r="P118" s="126"/>
    </row>
    <row r="119" spans="2:16" x14ac:dyDescent="0.3">
      <c r="B119" s="18"/>
      <c r="C119" s="19"/>
      <c r="D119" s="19"/>
      <c r="E119" s="19"/>
      <c r="F119" s="19"/>
      <c r="G119" s="20"/>
      <c r="H119" s="20"/>
      <c r="I119" s="20"/>
      <c r="J119" s="20"/>
      <c r="K119" s="21"/>
      <c r="L119" s="21"/>
      <c r="M119" s="18"/>
    </row>
    <row r="120" spans="2:16" x14ac:dyDescent="0.3">
      <c r="B120" s="18" t="s">
        <v>107</v>
      </c>
      <c r="C120" s="19"/>
      <c r="D120" s="19"/>
      <c r="E120" s="19"/>
      <c r="F120" s="19"/>
      <c r="G120" s="20"/>
      <c r="H120" s="20"/>
      <c r="I120" s="20"/>
      <c r="J120" s="20"/>
      <c r="K120" s="21"/>
      <c r="L120" s="21"/>
      <c r="M120" s="18"/>
    </row>
    <row r="121" spans="2:16" x14ac:dyDescent="0.3">
      <c r="B121" s="1" t="s">
        <v>100</v>
      </c>
      <c r="C121" s="1194">
        <f t="shared" ref="C121:D124" si="10">IF($D$1=1,E121,IF($D$1=2,G121,IF($D$1=3,I121,IF($D$1=4,K121,0))))</f>
        <v>30</v>
      </c>
      <c r="D121" s="1194">
        <f t="shared" si="10"/>
        <v>0</v>
      </c>
      <c r="E121" s="946">
        <v>30</v>
      </c>
      <c r="F121" s="946"/>
      <c r="G121" s="1160">
        <f>E121/$H$3</f>
        <v>1.2</v>
      </c>
      <c r="H121" s="1160"/>
      <c r="I121" s="1160">
        <f>E121/$J$3</f>
        <v>4.615384615384615</v>
      </c>
      <c r="J121" s="1160"/>
      <c r="K121" s="1161">
        <f>E121*$L$3</f>
        <v>276</v>
      </c>
      <c r="L121" s="1162"/>
      <c r="M121" s="18"/>
    </row>
    <row r="122" spans="2:16" x14ac:dyDescent="0.3">
      <c r="B122" s="1" t="s">
        <v>101</v>
      </c>
      <c r="C122" s="1194">
        <f t="shared" si="10"/>
        <v>30</v>
      </c>
      <c r="D122" s="1194">
        <f t="shared" si="10"/>
        <v>0</v>
      </c>
      <c r="E122" s="946">
        <v>30</v>
      </c>
      <c r="F122" s="946"/>
      <c r="G122" s="1160">
        <f>E122/$H$3</f>
        <v>1.2</v>
      </c>
      <c r="H122" s="1160"/>
      <c r="I122" s="1160">
        <f>E122/$J$3</f>
        <v>4.615384615384615</v>
      </c>
      <c r="J122" s="1160"/>
      <c r="K122" s="1161">
        <f>E122*$L$3</f>
        <v>276</v>
      </c>
      <c r="L122" s="1162"/>
      <c r="M122" s="18"/>
    </row>
    <row r="123" spans="2:16" x14ac:dyDescent="0.3">
      <c r="B123" s="1" t="s">
        <v>102</v>
      </c>
      <c r="C123" s="1194">
        <f t="shared" si="10"/>
        <v>30</v>
      </c>
      <c r="D123" s="1194">
        <f t="shared" si="10"/>
        <v>0</v>
      </c>
      <c r="E123" s="946">
        <v>30</v>
      </c>
      <c r="F123" s="946"/>
      <c r="G123" s="1160">
        <f>E123/$H$3</f>
        <v>1.2</v>
      </c>
      <c r="H123" s="1160"/>
      <c r="I123" s="1160">
        <f>E123/$J$3</f>
        <v>4.615384615384615</v>
      </c>
      <c r="J123" s="1160"/>
      <c r="K123" s="1161">
        <f>E123*$L$3</f>
        <v>276</v>
      </c>
      <c r="L123" s="1162"/>
      <c r="M123" s="18"/>
    </row>
    <row r="124" spans="2:16" x14ac:dyDescent="0.3">
      <c r="B124" s="1" t="s">
        <v>108</v>
      </c>
      <c r="C124" s="1194">
        <f t="shared" si="10"/>
        <v>30</v>
      </c>
      <c r="D124" s="1194">
        <f t="shared" si="10"/>
        <v>0</v>
      </c>
      <c r="E124" s="946">
        <v>30</v>
      </c>
      <c r="F124" s="946"/>
      <c r="G124" s="1160">
        <f>E124/$H$3</f>
        <v>1.2</v>
      </c>
      <c r="H124" s="1160"/>
      <c r="I124" s="1160">
        <f>E124/$J$3</f>
        <v>4.615384615384615</v>
      </c>
      <c r="J124" s="1160"/>
      <c r="K124" s="1161">
        <f>E124*$L$3</f>
        <v>276</v>
      </c>
      <c r="L124" s="1162"/>
      <c r="M124" s="18"/>
    </row>
    <row r="125" spans="2:16" x14ac:dyDescent="0.3">
      <c r="B125" s="1"/>
      <c r="C125" s="19"/>
      <c r="D125" s="19"/>
      <c r="E125" s="19"/>
      <c r="F125" s="19"/>
      <c r="G125" s="20"/>
      <c r="H125" s="20"/>
      <c r="I125" s="20"/>
      <c r="J125" s="20"/>
      <c r="K125" s="21"/>
      <c r="L125" s="21"/>
      <c r="M125" s="18"/>
    </row>
    <row r="126" spans="2:16" x14ac:dyDescent="0.3">
      <c r="B126" s="1"/>
      <c r="C126" s="19"/>
      <c r="D126" s="19"/>
      <c r="E126" s="19"/>
      <c r="F126" s="19"/>
      <c r="G126" s="20"/>
      <c r="H126" s="20"/>
      <c r="I126" s="20"/>
      <c r="J126" s="20"/>
      <c r="K126" s="21"/>
      <c r="L126" s="21"/>
      <c r="M126" s="18"/>
    </row>
    <row r="127" spans="2:16" x14ac:dyDescent="0.3">
      <c r="B127" s="1"/>
      <c r="C127" s="19"/>
      <c r="D127" s="19"/>
      <c r="E127" s="19"/>
      <c r="F127" s="19"/>
      <c r="G127" s="20"/>
      <c r="H127" s="20"/>
      <c r="I127" s="20"/>
      <c r="J127" s="20"/>
      <c r="K127" s="21"/>
      <c r="L127" s="21"/>
    </row>
    <row r="129" spans="2:20" x14ac:dyDescent="0.3">
      <c r="B129" s="156" t="str">
        <f t="shared" ref="B129:B160" si="11">IF($D$1=1,M129,IF($D$1=2,N129,IF($D$1=3,O129,IF($D$1=4,P129,0))))</f>
        <v>rámeček</v>
      </c>
      <c r="C129" s="137">
        <v>1</v>
      </c>
      <c r="D129" s="137"/>
      <c r="E129" s="137"/>
      <c r="F129" s="137"/>
      <c r="G129" s="137"/>
      <c r="H129" s="137"/>
      <c r="I129" s="137"/>
      <c r="J129" s="137"/>
      <c r="K129" s="137"/>
      <c r="L129" s="137"/>
      <c r="M129" s="158" t="s">
        <v>377</v>
      </c>
      <c r="N129" s="140" t="s">
        <v>421</v>
      </c>
      <c r="O129" s="140" t="s">
        <v>481</v>
      </c>
      <c r="P129" s="140" t="s">
        <v>646</v>
      </c>
    </row>
    <row r="130" spans="2:20" x14ac:dyDescent="0.3">
      <c r="B130" s="156" t="str">
        <f t="shared" si="11"/>
        <v xml:space="preserve">Standardní vrtání otvoru pro misku závěsu je 3 mm od hrany. </v>
      </c>
      <c r="C130" s="137">
        <v>2</v>
      </c>
      <c r="D130" s="137"/>
      <c r="E130" s="137"/>
      <c r="F130" s="137"/>
      <c r="G130" s="137"/>
      <c r="H130" s="137"/>
      <c r="I130" s="137"/>
      <c r="J130" s="137"/>
      <c r="K130" s="137"/>
      <c r="L130" s="137"/>
      <c r="M130" s="158" t="s">
        <v>816</v>
      </c>
      <c r="N130" s="140" t="s">
        <v>860</v>
      </c>
      <c r="O130" s="140" t="s">
        <v>1735</v>
      </c>
      <c r="P130" s="140" t="s">
        <v>873</v>
      </c>
    </row>
    <row r="131" spans="2:20" x14ac:dyDescent="0.3">
      <c r="B131" s="156" t="str">
        <f t="shared" si="11"/>
        <v>Uvedené ceny jsou bez DPH a nezahrnují cenu požadovaného kování!</v>
      </c>
      <c r="C131" s="137">
        <v>3</v>
      </c>
      <c r="D131" s="137"/>
      <c r="E131" s="137"/>
      <c r="F131" s="137"/>
      <c r="G131" s="137"/>
      <c r="H131" s="137"/>
      <c r="I131" s="137"/>
      <c r="J131" s="137"/>
      <c r="K131" s="137"/>
      <c r="L131" s="137"/>
      <c r="M131" s="158" t="s">
        <v>753</v>
      </c>
      <c r="N131" s="140" t="s">
        <v>861</v>
      </c>
      <c r="O131" s="140" t="s">
        <v>1736</v>
      </c>
      <c r="P131" s="140" t="s">
        <v>874</v>
      </c>
    </row>
    <row r="132" spans="2:20" x14ac:dyDescent="0.3">
      <c r="B132" s="156" t="str">
        <f t="shared" si="11"/>
        <v>Typ profilu</v>
      </c>
      <c r="C132" s="224">
        <v>4</v>
      </c>
      <c r="D132" s="137"/>
      <c r="E132" s="137"/>
      <c r="F132" s="137"/>
      <c r="G132" s="137"/>
      <c r="H132" s="137"/>
      <c r="I132" s="137"/>
      <c r="J132" s="137"/>
      <c r="K132" s="137"/>
      <c r="L132" s="137"/>
      <c r="M132" s="158" t="s">
        <v>415</v>
      </c>
      <c r="N132" s="140" t="s">
        <v>415</v>
      </c>
      <c r="O132" s="140" t="s">
        <v>634</v>
      </c>
      <c r="P132" s="140" t="s">
        <v>647</v>
      </c>
    </row>
    <row r="133" spans="2:20" x14ac:dyDescent="0.3">
      <c r="B133" s="156" t="str">
        <f t="shared" si="11"/>
        <v>Typ skla</v>
      </c>
      <c r="C133" s="137">
        <v>5</v>
      </c>
      <c r="D133" s="137"/>
      <c r="E133" s="137"/>
      <c r="F133" s="137"/>
      <c r="G133" s="137"/>
      <c r="H133" s="137"/>
      <c r="I133" s="137"/>
      <c r="J133" s="137"/>
      <c r="K133" s="137"/>
      <c r="L133" s="137"/>
      <c r="M133" s="158" t="s">
        <v>18</v>
      </c>
      <c r="N133" s="140" t="s">
        <v>18</v>
      </c>
      <c r="O133" s="140" t="s">
        <v>26</v>
      </c>
      <c r="P133" s="140" t="s">
        <v>556</v>
      </c>
    </row>
    <row r="134" spans="2:20" x14ac:dyDescent="0.3">
      <c r="B134" s="156" t="str">
        <f t="shared" si="11"/>
        <v>Počet kusů</v>
      </c>
      <c r="C134" s="137">
        <v>6</v>
      </c>
      <c r="D134" s="137"/>
      <c r="E134" s="137"/>
      <c r="F134" s="137"/>
      <c r="G134" s="137"/>
      <c r="H134" s="137"/>
      <c r="I134" s="137"/>
      <c r="J134" s="137"/>
      <c r="K134" s="137"/>
      <c r="L134" s="137"/>
      <c r="M134" s="158" t="s">
        <v>17</v>
      </c>
      <c r="N134" s="140" t="s">
        <v>422</v>
      </c>
      <c r="O134" s="140" t="s">
        <v>27</v>
      </c>
      <c r="P134" s="140" t="s">
        <v>557</v>
      </c>
    </row>
    <row r="135" spans="2:20" x14ac:dyDescent="0.3">
      <c r="B135" s="156" t="str">
        <f t="shared" si="11"/>
        <v xml:space="preserve">Šířka </v>
      </c>
      <c r="C135" s="137">
        <v>7</v>
      </c>
      <c r="D135" s="137"/>
      <c r="E135" s="137"/>
      <c r="F135" s="137"/>
      <c r="G135" s="137"/>
      <c r="H135" s="137"/>
      <c r="I135" s="137"/>
      <c r="J135" s="137"/>
      <c r="K135" s="137"/>
      <c r="L135" s="137"/>
      <c r="M135" s="158" t="s">
        <v>16</v>
      </c>
      <c r="N135" s="140" t="s">
        <v>423</v>
      </c>
      <c r="O135" s="140" t="s">
        <v>23</v>
      </c>
      <c r="P135" s="140" t="s">
        <v>558</v>
      </c>
    </row>
    <row r="136" spans="2:20" ht="15" customHeight="1" x14ac:dyDescent="0.3">
      <c r="B136" s="156" t="str">
        <f t="shared" si="11"/>
        <v>Výška</v>
      </c>
      <c r="C136" s="224">
        <v>8</v>
      </c>
      <c r="D136" s="137"/>
      <c r="E136" s="137"/>
      <c r="F136" s="137"/>
      <c r="G136" s="137"/>
      <c r="H136" s="137"/>
      <c r="I136" s="137"/>
      <c r="J136" s="137"/>
      <c r="K136" s="137"/>
      <c r="L136" s="137"/>
      <c r="M136" s="158" t="s">
        <v>28</v>
      </c>
      <c r="N136" s="140" t="s">
        <v>28</v>
      </c>
      <c r="O136" s="140" t="s">
        <v>24</v>
      </c>
      <c r="P136" s="140" t="s">
        <v>559</v>
      </c>
    </row>
    <row r="137" spans="2:20" x14ac:dyDescent="0.3">
      <c r="B137" s="156" t="str">
        <f t="shared" si="11"/>
        <v>Poznámky</v>
      </c>
      <c r="C137" s="137">
        <v>9</v>
      </c>
      <c r="D137" s="137"/>
      <c r="E137" s="137"/>
      <c r="F137" s="137"/>
      <c r="G137" s="137"/>
      <c r="H137" s="137"/>
      <c r="I137" s="137"/>
      <c r="J137" s="137"/>
      <c r="K137" s="137"/>
      <c r="L137" s="137"/>
      <c r="M137" s="158" t="s">
        <v>632</v>
      </c>
      <c r="N137" s="140" t="s">
        <v>632</v>
      </c>
      <c r="O137" s="140" t="s">
        <v>482</v>
      </c>
      <c r="P137" s="140" t="s">
        <v>633</v>
      </c>
    </row>
    <row r="138" spans="2:20" x14ac:dyDescent="0.3">
      <c r="B138" s="156" t="str">
        <f t="shared" si="11"/>
        <v>Cena rámečků celkem</v>
      </c>
      <c r="C138" s="137">
        <v>10</v>
      </c>
      <c r="D138" s="137"/>
      <c r="E138" s="137"/>
      <c r="F138" s="137"/>
      <c r="G138" s="137"/>
      <c r="H138" s="137"/>
      <c r="I138" s="137"/>
      <c r="J138" s="137"/>
      <c r="K138" s="137"/>
      <c r="L138" s="137"/>
      <c r="M138" s="158" t="s">
        <v>30</v>
      </c>
      <c r="N138" s="140" t="s">
        <v>424</v>
      </c>
      <c r="O138" s="140" t="s">
        <v>483</v>
      </c>
      <c r="P138" s="140" t="s">
        <v>560</v>
      </c>
    </row>
    <row r="139" spans="2:20" x14ac:dyDescent="0.3">
      <c r="B139" s="156" t="str">
        <f t="shared" si="11"/>
        <v>Cena kování celkem</v>
      </c>
      <c r="C139" s="137">
        <v>11</v>
      </c>
      <c r="D139" s="137"/>
      <c r="E139" s="137"/>
      <c r="F139" s="137"/>
      <c r="G139" s="137"/>
      <c r="H139" s="137"/>
      <c r="I139" s="137"/>
      <c r="J139" s="137"/>
      <c r="K139" s="137"/>
      <c r="L139" s="137"/>
      <c r="M139" s="159" t="s">
        <v>31</v>
      </c>
      <c r="N139" s="140" t="s">
        <v>425</v>
      </c>
      <c r="O139" s="140" t="s">
        <v>484</v>
      </c>
      <c r="P139" s="140" t="s">
        <v>561</v>
      </c>
    </row>
    <row r="140" spans="2:20" x14ac:dyDescent="0.3">
      <c r="B140" s="156" t="str">
        <f t="shared" si="11"/>
        <v>Cena za kompletní objednávku</v>
      </c>
      <c r="C140" s="224">
        <v>12</v>
      </c>
      <c r="D140" s="137"/>
      <c r="E140" s="137"/>
      <c r="F140" s="137"/>
      <c r="G140" s="137"/>
      <c r="H140" s="137"/>
      <c r="I140" s="137"/>
      <c r="J140" s="137"/>
      <c r="K140" s="137"/>
      <c r="L140" s="137"/>
      <c r="M140" s="159" t="s">
        <v>94</v>
      </c>
      <c r="N140" s="140" t="s">
        <v>426</v>
      </c>
      <c r="O140" s="140" t="s">
        <v>485</v>
      </c>
      <c r="P140" s="140" t="s">
        <v>562</v>
      </c>
    </row>
    <row r="141" spans="2:20" x14ac:dyDescent="0.3">
      <c r="B141" s="156" t="str">
        <f t="shared" si="11"/>
        <v>Závěsy</v>
      </c>
      <c r="C141" s="137">
        <v>13</v>
      </c>
      <c r="D141" s="137"/>
      <c r="E141" s="137"/>
      <c r="F141" s="137"/>
      <c r="G141" s="137"/>
      <c r="H141" s="137"/>
      <c r="I141" s="137"/>
      <c r="J141" s="137"/>
      <c r="K141" s="137"/>
      <c r="L141" s="137"/>
      <c r="M141" s="158" t="s">
        <v>735</v>
      </c>
      <c r="N141" s="140" t="s">
        <v>736</v>
      </c>
      <c r="O141" s="140" t="s">
        <v>737</v>
      </c>
      <c r="P141" s="140" t="s">
        <v>738</v>
      </c>
      <c r="R141" s="137"/>
      <c r="S141" s="137"/>
      <c r="T141" s="137"/>
    </row>
    <row r="142" spans="2:20" x14ac:dyDescent="0.3">
      <c r="B142" s="156" t="str">
        <f t="shared" si="11"/>
        <v>Aventos ostatní</v>
      </c>
      <c r="C142" s="137">
        <v>14</v>
      </c>
      <c r="D142" s="137"/>
      <c r="E142" s="137"/>
      <c r="F142" s="137"/>
      <c r="G142" s="137"/>
      <c r="H142" s="137"/>
      <c r="I142" s="137"/>
      <c r="J142" s="137"/>
      <c r="K142" s="137"/>
      <c r="L142" s="137"/>
      <c r="M142" s="158" t="s">
        <v>739</v>
      </c>
      <c r="N142" s="140" t="s">
        <v>740</v>
      </c>
      <c r="O142" s="140" t="s">
        <v>741</v>
      </c>
      <c r="P142" s="140" t="s">
        <v>742</v>
      </c>
      <c r="Q142" s="137"/>
      <c r="R142" s="137"/>
      <c r="S142" s="137"/>
      <c r="T142" s="137"/>
    </row>
    <row r="143" spans="2:20" x14ac:dyDescent="0.3">
      <c r="B143" s="156" t="str">
        <f t="shared" si="11"/>
        <v>STRONG s tlumením</v>
      </c>
      <c r="C143" s="137">
        <v>15</v>
      </c>
      <c r="D143" s="137"/>
      <c r="E143" s="137"/>
      <c r="F143" s="137"/>
      <c r="G143" s="137"/>
      <c r="H143" s="137"/>
      <c r="I143" s="137"/>
      <c r="J143" s="137"/>
      <c r="K143" s="137"/>
      <c r="L143" s="137"/>
      <c r="M143" s="158" t="s">
        <v>1174</v>
      </c>
      <c r="N143" s="140" t="s">
        <v>1610</v>
      </c>
      <c r="O143" s="140" t="s">
        <v>1611</v>
      </c>
      <c r="P143" s="140" t="s">
        <v>1612</v>
      </c>
      <c r="Q143" s="137"/>
      <c r="R143" s="137"/>
      <c r="S143" s="137"/>
      <c r="T143" s="137"/>
    </row>
    <row r="144" spans="2:20" x14ac:dyDescent="0.3">
      <c r="B144" s="156" t="str">
        <f t="shared" si="11"/>
        <v>Závěsy se zvedacím pístem</v>
      </c>
      <c r="C144" s="224">
        <v>16</v>
      </c>
      <c r="D144" s="137"/>
      <c r="E144" s="137"/>
      <c r="F144" s="137"/>
      <c r="G144" s="137"/>
      <c r="H144" s="137"/>
      <c r="I144" s="137"/>
      <c r="J144" s="137"/>
      <c r="K144" s="137"/>
      <c r="L144" s="137"/>
      <c r="M144" s="158" t="s">
        <v>743</v>
      </c>
      <c r="N144" s="140" t="s">
        <v>744</v>
      </c>
      <c r="O144" s="140" t="s">
        <v>745</v>
      </c>
      <c r="P144" s="140" t="s">
        <v>746</v>
      </c>
      <c r="Q144" s="137"/>
      <c r="R144" s="137"/>
      <c r="S144" s="137"/>
      <c r="T144" s="137"/>
    </row>
    <row r="145" spans="2:20" x14ac:dyDescent="0.3">
      <c r="B145" s="156" t="str">
        <f t="shared" si="11"/>
        <v>Horní dvířko</v>
      </c>
      <c r="C145" s="137">
        <v>17</v>
      </c>
      <c r="D145" s="137"/>
      <c r="E145" s="137"/>
      <c r="F145" s="137"/>
      <c r="G145" s="137"/>
      <c r="H145" s="137"/>
      <c r="I145" s="137"/>
      <c r="J145" s="137"/>
      <c r="K145" s="137"/>
      <c r="L145" s="137"/>
      <c r="M145" s="158" t="s">
        <v>98</v>
      </c>
      <c r="N145" s="140" t="s">
        <v>427</v>
      </c>
      <c r="O145" s="140" t="s">
        <v>486</v>
      </c>
      <c r="P145" s="140" t="s">
        <v>747</v>
      </c>
      <c r="T145" s="137"/>
    </row>
    <row r="146" spans="2:20" x14ac:dyDescent="0.3">
      <c r="B146" s="156" t="str">
        <f t="shared" si="11"/>
        <v>Spodní dvířko</v>
      </c>
      <c r="C146" s="137">
        <v>18</v>
      </c>
      <c r="D146" s="137"/>
      <c r="E146" s="137"/>
      <c r="F146" s="137"/>
      <c r="G146" s="137"/>
      <c r="H146" s="137"/>
      <c r="I146" s="137"/>
      <c r="J146" s="137"/>
      <c r="K146" s="137"/>
      <c r="L146" s="137"/>
      <c r="M146" s="158" t="s">
        <v>97</v>
      </c>
      <c r="N146" s="140" t="s">
        <v>428</v>
      </c>
      <c r="O146" s="140" t="s">
        <v>487</v>
      </c>
      <c r="P146" s="140" t="s">
        <v>563</v>
      </c>
    </row>
    <row r="147" spans="2:20" x14ac:dyDescent="0.3">
      <c r="B147" s="156" t="str">
        <f t="shared" si="11"/>
        <v>Naložený clip</v>
      </c>
      <c r="C147" s="137">
        <v>19</v>
      </c>
      <c r="D147" s="137"/>
      <c r="E147" s="137"/>
      <c r="F147" s="137"/>
      <c r="G147" s="137"/>
      <c r="H147" s="137"/>
      <c r="I147" s="137"/>
      <c r="J147" s="137"/>
      <c r="K147" s="137"/>
      <c r="L147" s="137"/>
      <c r="M147" s="160" t="s">
        <v>121</v>
      </c>
      <c r="N147" s="140" t="s">
        <v>121</v>
      </c>
      <c r="O147" s="140" t="s">
        <v>488</v>
      </c>
      <c r="P147" s="140" t="s">
        <v>564</v>
      </c>
    </row>
    <row r="148" spans="2:20" x14ac:dyDescent="0.3">
      <c r="B148" s="156" t="str">
        <f t="shared" si="11"/>
        <v>Polonaložený clip</v>
      </c>
      <c r="C148" s="224">
        <v>20</v>
      </c>
      <c r="D148" s="137"/>
      <c r="E148" s="137"/>
      <c r="F148" s="137"/>
      <c r="G148" s="137"/>
      <c r="H148" s="137"/>
      <c r="I148" s="137"/>
      <c r="J148" s="137"/>
      <c r="K148" s="137"/>
      <c r="L148" s="137"/>
      <c r="M148" s="160" t="s">
        <v>122</v>
      </c>
      <c r="N148" s="140" t="s">
        <v>122</v>
      </c>
      <c r="O148" s="140" t="s">
        <v>489</v>
      </c>
      <c r="P148" s="140" t="s">
        <v>565</v>
      </c>
    </row>
    <row r="149" spans="2:20" x14ac:dyDescent="0.3">
      <c r="B149" s="156" t="str">
        <f t="shared" si="11"/>
        <v>Vložený clip</v>
      </c>
      <c r="C149" s="137">
        <v>21</v>
      </c>
      <c r="D149" s="137"/>
      <c r="E149" s="137"/>
      <c r="F149" s="137"/>
      <c r="G149" s="137"/>
      <c r="H149" s="137"/>
      <c r="I149" s="137"/>
      <c r="J149" s="137"/>
      <c r="K149" s="137"/>
      <c r="L149" s="137"/>
      <c r="M149" s="160" t="s">
        <v>123</v>
      </c>
      <c r="N149" s="140" t="s">
        <v>123</v>
      </c>
      <c r="O149" s="140" t="s">
        <v>490</v>
      </c>
      <c r="P149" s="140" t="s">
        <v>566</v>
      </c>
    </row>
    <row r="150" spans="2:20" x14ac:dyDescent="0.3">
      <c r="B150" s="156" t="str">
        <f t="shared" si="11"/>
        <v>Úhel 45°</v>
      </c>
      <c r="C150" s="137">
        <v>22</v>
      </c>
      <c r="D150" s="137"/>
      <c r="E150" s="137"/>
      <c r="F150" s="137"/>
      <c r="G150" s="137"/>
      <c r="H150" s="137"/>
      <c r="I150" s="137"/>
      <c r="J150" s="137"/>
      <c r="K150" s="137"/>
      <c r="L150" s="137"/>
      <c r="M150" s="160" t="s">
        <v>124</v>
      </c>
      <c r="N150" s="140" t="s">
        <v>429</v>
      </c>
      <c r="O150" s="140" t="s">
        <v>491</v>
      </c>
      <c r="P150" s="140" t="s">
        <v>567</v>
      </c>
    </row>
    <row r="151" spans="2:20" x14ac:dyDescent="0.3">
      <c r="B151" s="156" t="str">
        <f t="shared" si="11"/>
        <v>Naložený</v>
      </c>
      <c r="C151" s="137">
        <v>23</v>
      </c>
      <c r="D151" s="137"/>
      <c r="E151" s="137"/>
      <c r="F151" s="137"/>
      <c r="G151" s="137"/>
      <c r="H151" s="137"/>
      <c r="I151" s="137"/>
      <c r="J151" s="137"/>
      <c r="K151" s="137"/>
      <c r="L151" s="137"/>
      <c r="M151" s="296" t="s">
        <v>125</v>
      </c>
      <c r="N151" s="140" t="s">
        <v>430</v>
      </c>
      <c r="O151" s="140" t="s">
        <v>492</v>
      </c>
      <c r="P151" s="140" t="s">
        <v>568</v>
      </c>
    </row>
    <row r="152" spans="2:20" x14ac:dyDescent="0.3">
      <c r="B152" s="156" t="str">
        <f t="shared" si="11"/>
        <v>Polonaložený</v>
      </c>
      <c r="C152" s="224">
        <v>24</v>
      </c>
      <c r="D152" s="137"/>
      <c r="E152" s="137"/>
      <c r="F152" s="137"/>
      <c r="G152" s="137"/>
      <c r="H152" s="137"/>
      <c r="I152" s="137"/>
      <c r="J152" s="137"/>
      <c r="K152" s="137"/>
      <c r="L152" s="137"/>
      <c r="M152" s="296" t="s">
        <v>126</v>
      </c>
      <c r="N152" s="140" t="s">
        <v>431</v>
      </c>
      <c r="O152" s="140" t="s">
        <v>493</v>
      </c>
      <c r="P152" s="140" t="s">
        <v>569</v>
      </c>
    </row>
    <row r="153" spans="2:20" x14ac:dyDescent="0.3">
      <c r="B153" s="156" t="str">
        <f t="shared" si="11"/>
        <v>Vložený</v>
      </c>
      <c r="C153" s="137">
        <v>25</v>
      </c>
      <c r="D153" s="137"/>
      <c r="E153" s="137"/>
      <c r="F153" s="137"/>
      <c r="G153" s="137"/>
      <c r="H153" s="137"/>
      <c r="I153" s="137"/>
      <c r="J153" s="137"/>
      <c r="K153" s="137"/>
      <c r="L153" s="137"/>
      <c r="M153" s="296" t="s">
        <v>127</v>
      </c>
      <c r="N153" s="140" t="s">
        <v>432</v>
      </c>
      <c r="O153" s="140" t="s">
        <v>494</v>
      </c>
      <c r="P153" s="140" t="s">
        <v>570</v>
      </c>
    </row>
    <row r="154" spans="2:20" x14ac:dyDescent="0.3">
      <c r="B154" s="156" t="str">
        <f t="shared" si="11"/>
        <v>Úhel 45°</v>
      </c>
      <c r="C154" s="137">
        <v>26</v>
      </c>
      <c r="D154" s="137"/>
      <c r="E154" s="137"/>
      <c r="F154" s="137"/>
      <c r="G154" s="137"/>
      <c r="H154" s="137"/>
      <c r="I154" s="137"/>
      <c r="J154" s="137"/>
      <c r="K154" s="137"/>
      <c r="L154" s="137"/>
      <c r="M154" s="296" t="s">
        <v>124</v>
      </c>
      <c r="N154" s="140" t="s">
        <v>429</v>
      </c>
      <c r="O154" s="140" t="s">
        <v>491</v>
      </c>
      <c r="P154" s="140" t="s">
        <v>124</v>
      </c>
    </row>
    <row r="155" spans="2:20" x14ac:dyDescent="0.3">
      <c r="B155" s="156" t="str">
        <f t="shared" si="11"/>
        <v>Naložený s opačnou pružinou</v>
      </c>
      <c r="C155" s="137">
        <v>27</v>
      </c>
      <c r="D155" s="137"/>
      <c r="E155" s="137"/>
      <c r="F155" s="137"/>
      <c r="G155" s="137"/>
      <c r="H155" s="137"/>
      <c r="I155" s="137"/>
      <c r="J155" s="137"/>
      <c r="K155" s="137"/>
      <c r="L155" s="137"/>
      <c r="M155" s="296" t="s">
        <v>128</v>
      </c>
      <c r="N155" s="140" t="s">
        <v>128</v>
      </c>
      <c r="O155" s="140" t="s">
        <v>495</v>
      </c>
      <c r="P155" s="140" t="s">
        <v>571</v>
      </c>
    </row>
    <row r="156" spans="2:20" x14ac:dyDescent="0.3">
      <c r="B156" s="156" t="str">
        <f t="shared" si="11"/>
        <v>Vložený s opačnou pružinou</v>
      </c>
      <c r="C156" s="224">
        <v>28</v>
      </c>
      <c r="D156" s="137"/>
      <c r="E156" s="137"/>
      <c r="F156" s="137"/>
      <c r="G156" s="137"/>
      <c r="H156" s="137"/>
      <c r="I156" s="137"/>
      <c r="J156" s="137"/>
      <c r="K156" s="137"/>
      <c r="L156" s="137"/>
      <c r="M156" s="153" t="s">
        <v>129</v>
      </c>
      <c r="N156" s="140" t="s">
        <v>129</v>
      </c>
      <c r="O156" s="140" t="s">
        <v>496</v>
      </c>
      <c r="P156" s="140" t="s">
        <v>572</v>
      </c>
    </row>
    <row r="157" spans="2:20" x14ac:dyDescent="0.3">
      <c r="B157" s="156" t="str">
        <f t="shared" si="11"/>
        <v>Clip na vrut H2</v>
      </c>
      <c r="C157" s="137">
        <v>29</v>
      </c>
      <c r="D157" s="137"/>
      <c r="E157" s="137"/>
      <c r="F157" s="137"/>
      <c r="G157" s="137"/>
      <c r="H157" s="137"/>
      <c r="I157" s="137"/>
      <c r="J157" s="137"/>
      <c r="K157" s="137"/>
      <c r="L157" s="137"/>
      <c r="M157" s="158" t="s">
        <v>212</v>
      </c>
      <c r="N157" s="140" t="s">
        <v>433</v>
      </c>
      <c r="O157" s="140" t="s">
        <v>497</v>
      </c>
      <c r="P157" s="140" t="s">
        <v>573</v>
      </c>
    </row>
    <row r="158" spans="2:20" x14ac:dyDescent="0.3">
      <c r="B158" s="156" t="str">
        <f t="shared" si="11"/>
        <v>Clip na vrut H4</v>
      </c>
      <c r="C158" s="137">
        <v>30</v>
      </c>
      <c r="D158" s="137"/>
      <c r="E158" s="137"/>
      <c r="F158" s="137"/>
      <c r="G158" s="137"/>
      <c r="H158" s="137"/>
      <c r="I158" s="137"/>
      <c r="J158" s="137"/>
      <c r="K158" s="137"/>
      <c r="L158" s="137"/>
      <c r="M158" s="158" t="s">
        <v>213</v>
      </c>
      <c r="N158" s="140" t="s">
        <v>434</v>
      </c>
      <c r="O158" s="140" t="s">
        <v>498</v>
      </c>
      <c r="P158" s="140" t="s">
        <v>574</v>
      </c>
    </row>
    <row r="159" spans="2:20" x14ac:dyDescent="0.3">
      <c r="B159" s="156" t="str">
        <f t="shared" si="11"/>
        <v>Clip na eurošroub H2</v>
      </c>
      <c r="C159" s="137">
        <v>31</v>
      </c>
      <c r="D159" s="137"/>
      <c r="E159" s="137"/>
      <c r="F159" s="137"/>
      <c r="G159" s="137"/>
      <c r="H159" s="137"/>
      <c r="I159" s="137"/>
      <c r="J159" s="137"/>
      <c r="K159" s="137"/>
      <c r="L159" s="137"/>
      <c r="M159" s="158" t="s">
        <v>214</v>
      </c>
      <c r="N159" s="140" t="s">
        <v>435</v>
      </c>
      <c r="O159" s="140" t="s">
        <v>499</v>
      </c>
      <c r="P159" s="140" t="s">
        <v>575</v>
      </c>
    </row>
    <row r="160" spans="2:20" x14ac:dyDescent="0.3">
      <c r="B160" s="156" t="str">
        <f t="shared" si="11"/>
        <v>Clip na eurošroub H4</v>
      </c>
      <c r="C160" s="224">
        <v>32</v>
      </c>
      <c r="D160" s="137"/>
      <c r="E160" s="137"/>
      <c r="F160" s="137"/>
      <c r="G160" s="137"/>
      <c r="H160" s="137"/>
      <c r="I160" s="137"/>
      <c r="J160" s="137"/>
      <c r="K160" s="137"/>
      <c r="L160" s="137"/>
      <c r="M160" s="158" t="s">
        <v>215</v>
      </c>
      <c r="N160" s="140" t="s">
        <v>436</v>
      </c>
      <c r="O160" s="140" t="s">
        <v>500</v>
      </c>
      <c r="P160" s="140" t="s">
        <v>576</v>
      </c>
    </row>
    <row r="161" spans="2:16" x14ac:dyDescent="0.3">
      <c r="B161" s="156" t="str">
        <f t="shared" ref="B161:B192" si="12">IF($D$1=1,M161,IF($D$1=2,N161,IF($D$1=3,O161,IF($D$1=4,P161,0))))</f>
        <v>Slide on na vrut H2</v>
      </c>
      <c r="C161" s="137">
        <v>33</v>
      </c>
      <c r="D161" s="137"/>
      <c r="E161" s="137"/>
      <c r="F161" s="137"/>
      <c r="G161" s="137"/>
      <c r="H161" s="137"/>
      <c r="I161" s="137"/>
      <c r="J161" s="137"/>
      <c r="K161" s="137"/>
      <c r="L161" s="137"/>
      <c r="M161" s="158" t="s">
        <v>216</v>
      </c>
      <c r="N161" s="140" t="s">
        <v>437</v>
      </c>
      <c r="O161" s="140" t="s">
        <v>501</v>
      </c>
      <c r="P161" s="140" t="s">
        <v>577</v>
      </c>
    </row>
    <row r="162" spans="2:16" x14ac:dyDescent="0.3">
      <c r="B162" s="156" t="str">
        <f t="shared" si="12"/>
        <v>Slide on na vrut H4</v>
      </c>
      <c r="C162" s="137">
        <v>34</v>
      </c>
      <c r="D162" s="137"/>
      <c r="E162" s="137"/>
      <c r="F162" s="137"/>
      <c r="G162" s="137"/>
      <c r="H162" s="137"/>
      <c r="I162" s="137"/>
      <c r="J162" s="137"/>
      <c r="K162" s="137"/>
      <c r="L162" s="137"/>
      <c r="M162" s="158" t="s">
        <v>217</v>
      </c>
      <c r="N162" s="140" t="s">
        <v>438</v>
      </c>
      <c r="O162" s="140" t="s">
        <v>502</v>
      </c>
      <c r="P162" s="140" t="s">
        <v>578</v>
      </c>
    </row>
    <row r="163" spans="2:16" x14ac:dyDescent="0.3">
      <c r="B163" s="156" t="str">
        <f t="shared" si="12"/>
        <v>Slide on na eurošroub H2</v>
      </c>
      <c r="C163" s="137">
        <v>35</v>
      </c>
      <c r="D163" s="137"/>
      <c r="E163" s="137"/>
      <c r="F163" s="137"/>
      <c r="G163" s="137"/>
      <c r="H163" s="137"/>
      <c r="I163" s="137"/>
      <c r="J163" s="137"/>
      <c r="K163" s="137"/>
      <c r="L163" s="137"/>
      <c r="M163" s="158" t="s">
        <v>218</v>
      </c>
      <c r="N163" s="140" t="s">
        <v>439</v>
      </c>
      <c r="O163" s="140" t="s">
        <v>503</v>
      </c>
      <c r="P163" s="140" t="s">
        <v>579</v>
      </c>
    </row>
    <row r="164" spans="2:16" x14ac:dyDescent="0.3">
      <c r="B164" s="156" t="str">
        <f t="shared" si="12"/>
        <v>Slide on na eurošroub H4</v>
      </c>
      <c r="C164" s="224">
        <v>36</v>
      </c>
      <c r="D164" s="137"/>
      <c r="E164" s="137"/>
      <c r="F164" s="137"/>
      <c r="G164" s="137"/>
      <c r="H164" s="137"/>
      <c r="I164" s="137"/>
      <c r="J164" s="137"/>
      <c r="K164" s="137"/>
      <c r="L164" s="137"/>
      <c r="M164" s="158" t="s">
        <v>219</v>
      </c>
      <c r="N164" s="140" t="s">
        <v>440</v>
      </c>
      <c r="O164" s="140" t="s">
        <v>504</v>
      </c>
      <c r="P164" s="140" t="s">
        <v>580</v>
      </c>
    </row>
    <row r="165" spans="2:16" x14ac:dyDescent="0.3">
      <c r="B165" s="156" t="str">
        <f t="shared" si="12"/>
        <v>Naložený pro Blumotion</v>
      </c>
      <c r="C165" s="137">
        <v>37</v>
      </c>
      <c r="D165" s="137"/>
      <c r="E165" s="137"/>
      <c r="F165" s="137"/>
      <c r="G165" s="137"/>
      <c r="H165" s="137"/>
      <c r="I165" s="137"/>
      <c r="J165" s="137"/>
      <c r="K165" s="137"/>
      <c r="L165" s="137"/>
      <c r="M165" s="158" t="s">
        <v>203</v>
      </c>
      <c r="N165" s="140" t="s">
        <v>441</v>
      </c>
      <c r="O165" s="140" t="s">
        <v>505</v>
      </c>
      <c r="P165" s="140" t="s">
        <v>581</v>
      </c>
    </row>
    <row r="166" spans="2:16" x14ac:dyDescent="0.3">
      <c r="B166" s="156" t="str">
        <f t="shared" si="12"/>
        <v>Polonaložený s integr. Blumotionem</v>
      </c>
      <c r="C166" s="137">
        <v>38</v>
      </c>
      <c r="D166" s="137"/>
      <c r="E166" s="137"/>
      <c r="F166" s="137"/>
      <c r="G166" s="137"/>
      <c r="H166" s="137"/>
      <c r="I166" s="137"/>
      <c r="J166" s="137"/>
      <c r="K166" s="137"/>
      <c r="L166" s="137"/>
      <c r="M166" s="158" t="s">
        <v>814</v>
      </c>
      <c r="N166" s="140" t="s">
        <v>862</v>
      </c>
      <c r="O166" s="140" t="s">
        <v>875</v>
      </c>
      <c r="P166" s="140" t="s">
        <v>876</v>
      </c>
    </row>
    <row r="167" spans="2:16" x14ac:dyDescent="0.3">
      <c r="B167" s="156" t="str">
        <f t="shared" si="12"/>
        <v>Vložený s integr. Blumotionem</v>
      </c>
      <c r="C167" s="137">
        <v>39</v>
      </c>
      <c r="D167" s="137"/>
      <c r="E167" s="137"/>
      <c r="F167" s="137"/>
      <c r="G167" s="137"/>
      <c r="H167" s="137"/>
      <c r="I167" s="137"/>
      <c r="J167" s="137"/>
      <c r="K167" s="137"/>
      <c r="L167" s="137"/>
      <c r="M167" s="158" t="s">
        <v>815</v>
      </c>
      <c r="N167" s="140" t="s">
        <v>863</v>
      </c>
      <c r="O167" s="140" t="s">
        <v>877</v>
      </c>
      <c r="P167" s="140" t="s">
        <v>878</v>
      </c>
    </row>
    <row r="168" spans="2:16" x14ac:dyDescent="0.3">
      <c r="B168" s="156" t="str">
        <f t="shared" si="12"/>
        <v>45° clip naložený</v>
      </c>
      <c r="C168" s="224">
        <v>40</v>
      </c>
      <c r="D168" s="137"/>
      <c r="E168" s="137"/>
      <c r="F168" s="137"/>
      <c r="G168" s="137"/>
      <c r="H168" s="137"/>
      <c r="I168" s="137"/>
      <c r="J168" s="137"/>
      <c r="K168" s="137"/>
      <c r="L168" s="137"/>
      <c r="M168" s="296" t="s">
        <v>205</v>
      </c>
      <c r="N168" s="140" t="s">
        <v>442</v>
      </c>
      <c r="O168" s="140" t="s">
        <v>506</v>
      </c>
      <c r="P168" s="140" t="s">
        <v>582</v>
      </c>
    </row>
    <row r="169" spans="2:16" x14ac:dyDescent="0.3">
      <c r="B169" s="156" t="str">
        <f t="shared" si="12"/>
        <v>45° clip polonaložený</v>
      </c>
      <c r="C169" s="137">
        <v>41</v>
      </c>
      <c r="D169" s="137"/>
      <c r="E169" s="137"/>
      <c r="F169" s="137"/>
      <c r="G169" s="137"/>
      <c r="H169" s="137"/>
      <c r="I169" s="137"/>
      <c r="J169" s="137"/>
      <c r="K169" s="137"/>
      <c r="L169" s="137"/>
      <c r="M169" s="296" t="s">
        <v>204</v>
      </c>
      <c r="N169" s="140" t="s">
        <v>204</v>
      </c>
      <c r="O169" s="140" t="s">
        <v>507</v>
      </c>
      <c r="P169" s="140" t="s">
        <v>583</v>
      </c>
    </row>
    <row r="170" spans="2:16" x14ac:dyDescent="0.3">
      <c r="B170" s="156" t="str">
        <f t="shared" si="12"/>
        <v>Naložený bez pružiny</v>
      </c>
      <c r="C170" s="137">
        <v>42</v>
      </c>
      <c r="D170" s="137"/>
      <c r="E170" s="137"/>
      <c r="F170" s="137"/>
      <c r="G170" s="137"/>
      <c r="H170" s="137"/>
      <c r="I170" s="137"/>
      <c r="J170" s="137"/>
      <c r="K170" s="137"/>
      <c r="L170" s="137"/>
      <c r="M170" s="296" t="s">
        <v>130</v>
      </c>
      <c r="N170" s="140" t="s">
        <v>130</v>
      </c>
      <c r="O170" s="140" t="s">
        <v>508</v>
      </c>
      <c r="P170" s="140" t="s">
        <v>584</v>
      </c>
    </row>
    <row r="171" spans="2:16" x14ac:dyDescent="0.3">
      <c r="B171" s="156" t="str">
        <f t="shared" si="12"/>
        <v>Naložený bez pružiny (TIP-ON)</v>
      </c>
      <c r="C171" s="137">
        <v>43</v>
      </c>
      <c r="D171" s="137"/>
      <c r="E171" s="137"/>
      <c r="F171" s="137"/>
      <c r="G171" s="137"/>
      <c r="H171" s="137"/>
      <c r="I171" s="137"/>
      <c r="J171" s="137"/>
      <c r="K171" s="137"/>
      <c r="L171" s="137"/>
      <c r="M171" s="296" t="s">
        <v>206</v>
      </c>
      <c r="N171" s="140" t="s">
        <v>443</v>
      </c>
      <c r="O171" s="140" t="s">
        <v>509</v>
      </c>
      <c r="P171" s="140" t="s">
        <v>585</v>
      </c>
    </row>
    <row r="172" spans="2:16" x14ac:dyDescent="0.3">
      <c r="B172" s="156" t="str">
        <f t="shared" si="12"/>
        <v>Clip na eurošroub</v>
      </c>
      <c r="C172" s="224">
        <v>44</v>
      </c>
      <c r="D172" s="137"/>
      <c r="E172" s="137"/>
      <c r="F172" s="137"/>
      <c r="G172" s="137"/>
      <c r="H172" s="137"/>
      <c r="I172" s="137"/>
      <c r="J172" s="137"/>
      <c r="K172" s="137"/>
      <c r="L172" s="137"/>
      <c r="M172" s="296" t="s">
        <v>208</v>
      </c>
      <c r="N172" s="140" t="s">
        <v>444</v>
      </c>
      <c r="O172" s="140" t="s">
        <v>510</v>
      </c>
      <c r="P172" s="140" t="s">
        <v>586</v>
      </c>
    </row>
    <row r="173" spans="2:16" x14ac:dyDescent="0.3">
      <c r="B173" s="156" t="str">
        <f t="shared" si="12"/>
        <v>Clip na vrut</v>
      </c>
      <c r="C173" s="137">
        <v>45</v>
      </c>
      <c r="D173" s="137"/>
      <c r="E173" s="137"/>
      <c r="F173" s="137"/>
      <c r="G173" s="137"/>
      <c r="H173" s="137"/>
      <c r="I173" s="137"/>
      <c r="J173" s="137"/>
      <c r="K173" s="137"/>
      <c r="L173" s="137"/>
      <c r="M173" s="296" t="s">
        <v>207</v>
      </c>
      <c r="N173" s="140" t="s">
        <v>445</v>
      </c>
      <c r="O173" s="140" t="s">
        <v>511</v>
      </c>
      <c r="P173" s="140" t="s">
        <v>587</v>
      </c>
    </row>
    <row r="174" spans="2:16" x14ac:dyDescent="0.3">
      <c r="B174" s="156" t="str">
        <f t="shared" si="12"/>
        <v xml:space="preserve">Zvýšená o 6 mm </v>
      </c>
      <c r="C174" s="137">
        <v>46</v>
      </c>
      <c r="D174" s="137"/>
      <c r="E174" s="137"/>
      <c r="F174" s="137"/>
      <c r="G174" s="137"/>
      <c r="H174" s="137"/>
      <c r="I174" s="137"/>
      <c r="J174" s="137"/>
      <c r="K174" s="137"/>
      <c r="L174" s="137"/>
      <c r="M174" s="22" t="s">
        <v>209</v>
      </c>
      <c r="N174" s="140" t="s">
        <v>446</v>
      </c>
      <c r="O174" s="140" t="s">
        <v>512</v>
      </c>
      <c r="P174" s="140" t="s">
        <v>588</v>
      </c>
    </row>
    <row r="175" spans="2:16" x14ac:dyDescent="0.3">
      <c r="B175" s="156" t="str">
        <f t="shared" si="12"/>
        <v>45° clip</v>
      </c>
      <c r="C175" s="137">
        <v>47</v>
      </c>
      <c r="D175" s="137"/>
      <c r="E175" s="137"/>
      <c r="F175" s="137"/>
      <c r="G175" s="137"/>
      <c r="H175" s="137"/>
      <c r="I175" s="137"/>
      <c r="J175" s="137"/>
      <c r="K175" s="137"/>
      <c r="L175" s="137"/>
      <c r="M175" s="296" t="s">
        <v>10</v>
      </c>
      <c r="N175" s="140" t="s">
        <v>447</v>
      </c>
      <c r="O175" s="140" t="s">
        <v>10</v>
      </c>
      <c r="P175" s="140" t="s">
        <v>10</v>
      </c>
    </row>
    <row r="176" spans="2:16" x14ac:dyDescent="0.3">
      <c r="B176" s="156" t="str">
        <f t="shared" si="12"/>
        <v xml:space="preserve">Clip na eurošroub H0 </v>
      </c>
      <c r="C176" s="224">
        <v>48</v>
      </c>
      <c r="D176" s="137"/>
      <c r="E176" s="137"/>
      <c r="F176" s="137"/>
      <c r="G176" s="137"/>
      <c r="H176" s="137"/>
      <c r="I176" s="137"/>
      <c r="J176" s="137"/>
      <c r="K176" s="137"/>
      <c r="L176" s="137"/>
      <c r="M176" s="296" t="s">
        <v>211</v>
      </c>
      <c r="N176" s="140" t="s">
        <v>448</v>
      </c>
      <c r="O176" s="140" t="s">
        <v>513</v>
      </c>
      <c r="P176" s="140" t="s">
        <v>589</v>
      </c>
    </row>
    <row r="177" spans="2:16" x14ac:dyDescent="0.3">
      <c r="B177" s="156" t="str">
        <f t="shared" si="12"/>
        <v>Clip na vrut H0</v>
      </c>
      <c r="C177" s="137">
        <v>49</v>
      </c>
      <c r="D177" s="137"/>
      <c r="E177" s="137"/>
      <c r="F177" s="137"/>
      <c r="G177" s="137"/>
      <c r="H177" s="137"/>
      <c r="I177" s="137"/>
      <c r="J177" s="137"/>
      <c r="K177" s="137"/>
      <c r="L177" s="137"/>
      <c r="M177" s="296" t="s">
        <v>210</v>
      </c>
      <c r="N177" s="140" t="s">
        <v>449</v>
      </c>
      <c r="O177" s="140" t="s">
        <v>514</v>
      </c>
      <c r="P177" s="140" t="s">
        <v>590</v>
      </c>
    </row>
    <row r="178" spans="2:16" x14ac:dyDescent="0.3">
      <c r="B178" s="156" t="str">
        <f t="shared" si="12"/>
        <v>Výběr pozice rámečku</v>
      </c>
      <c r="C178" s="137">
        <v>50</v>
      </c>
      <c r="D178" s="137"/>
      <c r="E178" s="137"/>
      <c r="F178" s="137"/>
      <c r="G178" s="137"/>
      <c r="H178" s="137"/>
      <c r="I178" s="137"/>
      <c r="J178" s="137"/>
      <c r="K178" s="137"/>
      <c r="L178" s="137"/>
      <c r="M178" s="296" t="s">
        <v>244</v>
      </c>
      <c r="N178" s="140" t="s">
        <v>450</v>
      </c>
      <c r="O178" s="140" t="s">
        <v>515</v>
      </c>
      <c r="P178" s="140" t="s">
        <v>591</v>
      </c>
    </row>
    <row r="179" spans="2:16" x14ac:dyDescent="0.3">
      <c r="B179" s="156" t="str">
        <f t="shared" si="12"/>
        <v>Výrobce závěsů</v>
      </c>
      <c r="C179" s="137">
        <v>51</v>
      </c>
      <c r="D179" s="137"/>
      <c r="E179" s="137"/>
      <c r="F179" s="137"/>
      <c r="G179" s="137"/>
      <c r="H179" s="137"/>
      <c r="I179" s="137"/>
      <c r="J179" s="137"/>
      <c r="K179" s="137"/>
      <c r="L179" s="137"/>
      <c r="M179" s="296" t="s">
        <v>222</v>
      </c>
      <c r="N179" s="140" t="s">
        <v>451</v>
      </c>
      <c r="O179" s="140" t="s">
        <v>516</v>
      </c>
      <c r="P179" s="140" t="s">
        <v>592</v>
      </c>
    </row>
    <row r="180" spans="2:16" x14ac:dyDescent="0.3">
      <c r="B180" s="156" t="str">
        <f t="shared" si="12"/>
        <v>Typ závěsů</v>
      </c>
      <c r="C180" s="224">
        <v>52</v>
      </c>
      <c r="D180" s="137"/>
      <c r="E180" s="137"/>
      <c r="F180" s="137"/>
      <c r="G180" s="137"/>
      <c r="H180" s="137"/>
      <c r="I180" s="137"/>
      <c r="J180" s="137"/>
      <c r="K180" s="137"/>
      <c r="L180" s="137"/>
      <c r="M180" s="153" t="s">
        <v>223</v>
      </c>
      <c r="N180" s="140" t="s">
        <v>452</v>
      </c>
      <c r="O180" s="140" t="s">
        <v>517</v>
      </c>
      <c r="P180" s="140" t="s">
        <v>593</v>
      </c>
    </row>
    <row r="181" spans="2:16" x14ac:dyDescent="0.3">
      <c r="B181" s="156" t="str">
        <f t="shared" si="12"/>
        <v>Typ Aventosu</v>
      </c>
      <c r="C181" s="137">
        <v>53</v>
      </c>
      <c r="D181" s="137"/>
      <c r="E181" s="137"/>
      <c r="F181" s="137"/>
      <c r="G181" s="137"/>
      <c r="H181" s="137"/>
      <c r="I181" s="137"/>
      <c r="J181" s="137"/>
      <c r="K181" s="137"/>
      <c r="L181" s="137"/>
      <c r="M181" s="158" t="s">
        <v>224</v>
      </c>
      <c r="N181" s="140" t="s">
        <v>224</v>
      </c>
      <c r="O181" s="140" t="s">
        <v>518</v>
      </c>
      <c r="P181" s="140" t="s">
        <v>594</v>
      </c>
    </row>
    <row r="182" spans="2:16" x14ac:dyDescent="0.3">
      <c r="B182" s="156" t="str">
        <f t="shared" si="12"/>
        <v>Typ podložky</v>
      </c>
      <c r="C182" s="137">
        <v>54</v>
      </c>
      <c r="D182" s="137"/>
      <c r="E182" s="137"/>
      <c r="F182" s="137"/>
      <c r="G182" s="137"/>
      <c r="H182" s="137"/>
      <c r="I182" s="137"/>
      <c r="J182" s="137"/>
      <c r="K182" s="137"/>
      <c r="L182" s="137"/>
      <c r="M182" s="158" t="s">
        <v>225</v>
      </c>
      <c r="N182" s="140" t="s">
        <v>225</v>
      </c>
      <c r="O182" s="140" t="s">
        <v>519</v>
      </c>
      <c r="P182" s="140" t="s">
        <v>595</v>
      </c>
    </row>
    <row r="183" spans="2:16" x14ac:dyDescent="0.3">
      <c r="B183" s="156" t="str">
        <f t="shared" si="12"/>
        <v>Počet závěsu na 1 rámeček</v>
      </c>
      <c r="C183" s="137">
        <v>55</v>
      </c>
      <c r="D183" s="137"/>
      <c r="E183" s="137"/>
      <c r="F183" s="137"/>
      <c r="G183" s="137"/>
      <c r="H183" s="137"/>
      <c r="I183" s="137"/>
      <c r="J183" s="137"/>
      <c r="K183" s="137"/>
      <c r="L183" s="137"/>
      <c r="M183" s="158" t="s">
        <v>373</v>
      </c>
      <c r="N183" s="140" t="s">
        <v>453</v>
      </c>
      <c r="O183" s="140" t="s">
        <v>520</v>
      </c>
      <c r="P183" s="140" t="s">
        <v>596</v>
      </c>
    </row>
    <row r="184" spans="2:16" x14ac:dyDescent="0.3">
      <c r="B184" s="156" t="str">
        <f t="shared" si="12"/>
        <v>Zvedací písty</v>
      </c>
      <c r="C184" s="224">
        <v>56</v>
      </c>
      <c r="D184" s="137"/>
      <c r="E184" s="137"/>
      <c r="F184" s="137"/>
      <c r="G184" s="137"/>
      <c r="H184" s="137"/>
      <c r="I184" s="137"/>
      <c r="J184" s="137"/>
      <c r="K184" s="137"/>
      <c r="L184" s="137"/>
      <c r="M184" s="158" t="s">
        <v>239</v>
      </c>
      <c r="N184" s="140" t="s">
        <v>454</v>
      </c>
      <c r="O184" s="140" t="s">
        <v>521</v>
      </c>
      <c r="P184" s="140" t="s">
        <v>597</v>
      </c>
    </row>
    <row r="185" spans="2:16" x14ac:dyDescent="0.3">
      <c r="B185" s="156" t="str">
        <f t="shared" si="12"/>
        <v>Dodat včetně uvedeného kování</v>
      </c>
      <c r="C185" s="137">
        <v>57</v>
      </c>
      <c r="D185" s="137"/>
      <c r="E185" s="137"/>
      <c r="F185" s="137"/>
      <c r="G185" s="137"/>
      <c r="H185" s="137"/>
      <c r="I185" s="137"/>
      <c r="J185" s="137"/>
      <c r="K185" s="137"/>
      <c r="L185" s="137"/>
      <c r="M185" s="158" t="s">
        <v>228</v>
      </c>
      <c r="N185" s="140" t="s">
        <v>455</v>
      </c>
      <c r="O185" s="140" t="s">
        <v>555</v>
      </c>
      <c r="P185" s="140" t="s">
        <v>598</v>
      </c>
    </row>
    <row r="186" spans="2:16" x14ac:dyDescent="0.3">
      <c r="B186" s="156" t="str">
        <f t="shared" si="12"/>
        <v>Umístění pístů</v>
      </c>
      <c r="C186" s="137">
        <v>58</v>
      </c>
      <c r="D186" s="137"/>
      <c r="E186" s="137"/>
      <c r="F186" s="137"/>
      <c r="G186" s="137"/>
      <c r="H186" s="137"/>
      <c r="I186" s="137"/>
      <c r="J186" s="137"/>
      <c r="K186" s="137"/>
      <c r="L186" s="137"/>
      <c r="M186" s="158" t="s">
        <v>240</v>
      </c>
      <c r="N186" s="140" t="s">
        <v>456</v>
      </c>
      <c r="O186" s="140" t="s">
        <v>522</v>
      </c>
      <c r="P186" s="140" t="s">
        <v>599</v>
      </c>
    </row>
    <row r="187" spans="2:16" x14ac:dyDescent="0.3">
      <c r="B187" s="156" t="str">
        <f t="shared" si="12"/>
        <v xml:space="preserve">Vpravo </v>
      </c>
      <c r="C187" s="137">
        <v>59</v>
      </c>
      <c r="D187" s="137"/>
      <c r="E187" s="137"/>
      <c r="F187" s="137"/>
      <c r="G187" s="137"/>
      <c r="H187" s="137"/>
      <c r="I187" s="137"/>
      <c r="J187" s="137"/>
      <c r="K187" s="137"/>
      <c r="L187" s="137"/>
      <c r="M187" s="158" t="s">
        <v>242</v>
      </c>
      <c r="N187" s="140" t="s">
        <v>457</v>
      </c>
      <c r="O187" s="140" t="s">
        <v>523</v>
      </c>
      <c r="P187" s="140" t="s">
        <v>600</v>
      </c>
    </row>
    <row r="188" spans="2:16" x14ac:dyDescent="0.3">
      <c r="B188" s="156" t="str">
        <f t="shared" si="12"/>
        <v>Vlevo</v>
      </c>
      <c r="C188" s="224">
        <v>60</v>
      </c>
      <c r="D188" s="137"/>
      <c r="E188" s="137"/>
      <c r="F188" s="137"/>
      <c r="G188" s="137"/>
      <c r="H188" s="137"/>
      <c r="I188" s="137"/>
      <c r="J188" s="137"/>
      <c r="K188" s="137"/>
      <c r="L188" s="137"/>
      <c r="M188" s="158" t="s">
        <v>241</v>
      </c>
      <c r="N188" s="140" t="s">
        <v>458</v>
      </c>
      <c r="O188" s="140" t="s">
        <v>524</v>
      </c>
      <c r="P188" s="140" t="s">
        <v>601</v>
      </c>
    </row>
    <row r="189" spans="2:16" x14ac:dyDescent="0.3">
      <c r="B189" s="156" t="str">
        <f t="shared" si="12"/>
        <v>2 Kusy (obě strany)</v>
      </c>
      <c r="C189" s="137">
        <v>61</v>
      </c>
      <c r="D189" s="137"/>
      <c r="E189" s="137"/>
      <c r="F189" s="137"/>
      <c r="G189" s="137"/>
      <c r="H189" s="137"/>
      <c r="I189" s="137"/>
      <c r="J189" s="137"/>
      <c r="K189" s="137"/>
      <c r="L189" s="137"/>
      <c r="M189" s="158" t="s">
        <v>243</v>
      </c>
      <c r="N189" s="140" t="s">
        <v>459</v>
      </c>
      <c r="O189" s="140" t="s">
        <v>525</v>
      </c>
      <c r="P189" s="140" t="s">
        <v>602</v>
      </c>
    </row>
    <row r="190" spans="2:16" x14ac:dyDescent="0.3">
      <c r="B190" s="156" t="str">
        <f t="shared" si="12"/>
        <v>Provedení druhého dvířka</v>
      </c>
      <c r="C190" s="137">
        <v>62</v>
      </c>
      <c r="D190" s="137"/>
      <c r="E190" s="137"/>
      <c r="F190" s="137"/>
      <c r="G190" s="137"/>
      <c r="H190" s="137"/>
      <c r="I190" s="137"/>
      <c r="J190" s="137"/>
      <c r="K190" s="137"/>
      <c r="L190" s="137"/>
      <c r="M190" s="158" t="s">
        <v>372</v>
      </c>
      <c r="N190" s="140" t="s">
        <v>460</v>
      </c>
      <c r="O190" s="140" t="s">
        <v>554</v>
      </c>
      <c r="P190" s="140" t="s">
        <v>603</v>
      </c>
    </row>
    <row r="191" spans="2:16" x14ac:dyDescent="0.3">
      <c r="B191" s="156" t="str">
        <f t="shared" si="12"/>
        <v>Úzký ALU rámeček</v>
      </c>
      <c r="C191" s="137">
        <v>63</v>
      </c>
      <c r="D191" s="137"/>
      <c r="E191" s="137"/>
      <c r="F191" s="137"/>
      <c r="G191" s="137"/>
      <c r="H191" s="137"/>
      <c r="I191" s="137"/>
      <c r="J191" s="137"/>
      <c r="K191" s="137"/>
      <c r="L191" s="137"/>
      <c r="M191" s="158" t="s">
        <v>245</v>
      </c>
      <c r="N191" s="140" t="s">
        <v>461</v>
      </c>
      <c r="O191" s="140" t="s">
        <v>526</v>
      </c>
      <c r="P191" s="140" t="s">
        <v>604</v>
      </c>
    </row>
    <row r="192" spans="2:16" x14ac:dyDescent="0.3">
      <c r="B192" s="156" t="str">
        <f t="shared" si="12"/>
        <v>Široký ALU rámeček</v>
      </c>
      <c r="C192" s="224">
        <v>64</v>
      </c>
      <c r="D192" s="137"/>
      <c r="E192" s="137"/>
      <c r="F192" s="137"/>
      <c r="G192" s="137"/>
      <c r="H192" s="137"/>
      <c r="I192" s="137"/>
      <c r="J192" s="137"/>
      <c r="K192" s="137"/>
      <c r="L192" s="137"/>
      <c r="M192" s="158" t="s">
        <v>246</v>
      </c>
      <c r="N192" s="140" t="s">
        <v>462</v>
      </c>
      <c r="O192" s="140" t="s">
        <v>527</v>
      </c>
      <c r="P192" s="140" t="s">
        <v>605</v>
      </c>
    </row>
    <row r="193" spans="2:16" x14ac:dyDescent="0.3">
      <c r="B193" s="156" t="str">
        <f t="shared" ref="B193:B225" si="13">IF($D$1=1,M193,IF($D$1=2,N193,IF($D$1=3,O193,IF($D$1=4,P193,0))))</f>
        <v>MDF tloušťky 16 mm</v>
      </c>
      <c r="C193" s="137">
        <v>65</v>
      </c>
      <c r="D193" s="137"/>
      <c r="E193" s="137"/>
      <c r="F193" s="137"/>
      <c r="G193" s="137"/>
      <c r="H193" s="137"/>
      <c r="I193" s="137"/>
      <c r="J193" s="137"/>
      <c r="K193" s="137"/>
      <c r="L193" s="137"/>
      <c r="M193" s="158" t="s">
        <v>248</v>
      </c>
      <c r="N193" s="140" t="s">
        <v>463</v>
      </c>
      <c r="O193" s="140" t="s">
        <v>528</v>
      </c>
      <c r="P193" s="140" t="s">
        <v>606</v>
      </c>
    </row>
    <row r="194" spans="2:16" x14ac:dyDescent="0.3">
      <c r="B194" s="156" t="str">
        <f t="shared" si="13"/>
        <v>MDF tloušťky 18 mm</v>
      </c>
      <c r="C194" s="137">
        <v>66</v>
      </c>
      <c r="D194" s="137"/>
      <c r="E194" s="137"/>
      <c r="F194" s="137"/>
      <c r="G194" s="137"/>
      <c r="H194" s="137"/>
      <c r="I194" s="137"/>
      <c r="J194" s="137"/>
      <c r="K194" s="137"/>
      <c r="L194" s="137"/>
      <c r="M194" s="158" t="s">
        <v>247</v>
      </c>
      <c r="N194" s="140" t="s">
        <v>464</v>
      </c>
      <c r="O194" s="140" t="s">
        <v>529</v>
      </c>
      <c r="P194" s="140" t="s">
        <v>607</v>
      </c>
    </row>
    <row r="195" spans="2:16" x14ac:dyDescent="0.3">
      <c r="B195" s="156" t="str">
        <f t="shared" si="13"/>
        <v>DTDL tloušťky 18 mm</v>
      </c>
      <c r="C195" s="137">
        <v>67</v>
      </c>
      <c r="D195" s="137"/>
      <c r="E195" s="137"/>
      <c r="F195" s="137"/>
      <c r="G195" s="137"/>
      <c r="H195" s="137"/>
      <c r="I195" s="137"/>
      <c r="J195" s="137"/>
      <c r="K195" s="137"/>
      <c r="L195" s="137"/>
      <c r="M195" s="158" t="s">
        <v>249</v>
      </c>
      <c r="N195" s="140" t="s">
        <v>465</v>
      </c>
      <c r="O195" s="140" t="s">
        <v>530</v>
      </c>
      <c r="P195" s="140" t="s">
        <v>608</v>
      </c>
    </row>
    <row r="196" spans="2:16" x14ac:dyDescent="0.3">
      <c r="B196" s="156" t="str">
        <f t="shared" si="13"/>
        <v>Umístění závěsů</v>
      </c>
      <c r="C196" s="224">
        <v>68</v>
      </c>
      <c r="D196" s="137"/>
      <c r="E196" s="137"/>
      <c r="F196" s="137"/>
      <c r="G196" s="137"/>
      <c r="H196" s="137"/>
      <c r="I196" s="137"/>
      <c r="J196" s="137"/>
      <c r="K196" s="137"/>
      <c r="L196" s="137"/>
      <c r="M196" s="158" t="s">
        <v>250</v>
      </c>
      <c r="N196" s="140" t="s">
        <v>466</v>
      </c>
      <c r="O196" s="140" t="s">
        <v>531</v>
      </c>
      <c r="P196" s="140" t="s">
        <v>609</v>
      </c>
    </row>
    <row r="197" spans="2:16" x14ac:dyDescent="0.3">
      <c r="B197" s="156" t="str">
        <f t="shared" si="13"/>
        <v>Nahoře</v>
      </c>
      <c r="C197" s="137">
        <v>69</v>
      </c>
      <c r="D197" s="137"/>
      <c r="E197" s="137"/>
      <c r="F197" s="137"/>
      <c r="G197" s="137"/>
      <c r="H197" s="137"/>
      <c r="I197" s="137"/>
      <c r="J197" s="137"/>
      <c r="K197" s="137"/>
      <c r="L197" s="137"/>
      <c r="M197" s="158" t="s">
        <v>251</v>
      </c>
      <c r="N197" s="140" t="s">
        <v>467</v>
      </c>
      <c r="O197" s="140" t="s">
        <v>532</v>
      </c>
      <c r="P197" s="140" t="s">
        <v>610</v>
      </c>
    </row>
    <row r="198" spans="2:16" x14ac:dyDescent="0.3">
      <c r="B198" s="156" t="str">
        <f t="shared" si="13"/>
        <v>Dole</v>
      </c>
      <c r="C198" s="137">
        <v>70</v>
      </c>
      <c r="D198" s="137"/>
      <c r="E198" s="137"/>
      <c r="F198" s="137"/>
      <c r="G198" s="137"/>
      <c r="H198" s="137"/>
      <c r="I198" s="137"/>
      <c r="J198" s="137"/>
      <c r="K198" s="137"/>
      <c r="L198" s="137"/>
      <c r="M198" s="158" t="s">
        <v>252</v>
      </c>
      <c r="N198" s="140" t="s">
        <v>252</v>
      </c>
      <c r="O198" s="140" t="s">
        <v>533</v>
      </c>
      <c r="P198" s="140" t="s">
        <v>611</v>
      </c>
    </row>
    <row r="199" spans="2:16" x14ac:dyDescent="0.3">
      <c r="B199" s="156" t="str">
        <f t="shared" si="13"/>
        <v>Vyberte ze seznamu</v>
      </c>
      <c r="C199" s="137">
        <v>71</v>
      </c>
      <c r="D199" s="137"/>
      <c r="E199" s="137"/>
      <c r="F199" s="137"/>
      <c r="G199" s="137"/>
      <c r="H199" s="137"/>
      <c r="I199" s="137"/>
      <c r="J199" s="137"/>
      <c r="K199" s="137"/>
      <c r="L199" s="137"/>
      <c r="M199" s="158" t="s">
        <v>258</v>
      </c>
      <c r="N199" s="140" t="s">
        <v>468</v>
      </c>
      <c r="O199" s="140" t="s">
        <v>534</v>
      </c>
      <c r="P199" s="140" t="s">
        <v>612</v>
      </c>
    </row>
    <row r="200" spans="2:16" x14ac:dyDescent="0.3">
      <c r="B200" s="156" t="str">
        <f t="shared" si="13"/>
        <v>Vzdálenost závěsu od kraje</v>
      </c>
      <c r="C200" s="224">
        <v>72</v>
      </c>
      <c r="D200" s="137"/>
      <c r="E200" s="137"/>
      <c r="F200" s="137"/>
      <c r="G200" s="137"/>
      <c r="H200" s="137"/>
      <c r="I200" s="137"/>
      <c r="J200" s="137"/>
      <c r="K200" s="137"/>
      <c r="L200" s="137"/>
      <c r="M200" s="158" t="s">
        <v>374</v>
      </c>
      <c r="N200" s="140" t="s">
        <v>469</v>
      </c>
      <c r="O200" s="140" t="s">
        <v>535</v>
      </c>
      <c r="P200" s="140" t="s">
        <v>613</v>
      </c>
    </row>
    <row r="201" spans="2:16" x14ac:dyDescent="0.3">
      <c r="B201" s="156" t="str">
        <f t="shared" si="13"/>
        <v>Vyplňte pouze pokud nebude vrtání symetricky na střed</v>
      </c>
      <c r="C201" s="137">
        <v>73</v>
      </c>
      <c r="D201" s="137"/>
      <c r="E201" s="137"/>
      <c r="F201" s="137"/>
      <c r="G201" s="137"/>
      <c r="H201" s="137"/>
      <c r="I201" s="137"/>
      <c r="J201" s="137"/>
      <c r="K201" s="137"/>
      <c r="L201" s="137"/>
      <c r="M201" s="158" t="s">
        <v>375</v>
      </c>
      <c r="N201" s="140" t="s">
        <v>470</v>
      </c>
      <c r="O201" s="140" t="s">
        <v>1737</v>
      </c>
      <c r="P201" s="140" t="s">
        <v>614</v>
      </c>
    </row>
    <row r="202" spans="2:16" x14ac:dyDescent="0.3">
      <c r="B202" s="156" t="str">
        <f t="shared" si="13"/>
        <v>Objednávkový formulář ALU rámečků</v>
      </c>
      <c r="C202" s="137">
        <v>74</v>
      </c>
      <c r="D202" s="137"/>
      <c r="E202" s="137"/>
      <c r="F202" s="137"/>
      <c r="G202" s="137"/>
      <c r="H202" s="137"/>
      <c r="I202" s="137"/>
      <c r="J202" s="137"/>
      <c r="K202" s="137"/>
      <c r="L202" s="137"/>
      <c r="M202" s="158" t="s">
        <v>376</v>
      </c>
      <c r="N202" s="140" t="s">
        <v>471</v>
      </c>
      <c r="O202" s="140" t="s">
        <v>536</v>
      </c>
      <c r="P202" s="140" t="s">
        <v>680</v>
      </c>
    </row>
    <row r="203" spans="2:16" x14ac:dyDescent="0.3">
      <c r="B203" s="156" t="str">
        <f t="shared" si="13"/>
        <v xml:space="preserve">Při vyplňování formuláře postupujte vždy shora dolů. Provedete li zpětně změnu, překontrolujte zda jsou následující položky správně. </v>
      </c>
      <c r="C203" s="137">
        <v>75</v>
      </c>
      <c r="D203" s="137"/>
      <c r="E203" s="137"/>
      <c r="F203" s="137"/>
      <c r="G203" s="137"/>
      <c r="H203" s="137"/>
      <c r="I203" s="137"/>
      <c r="J203" s="137"/>
      <c r="K203" s="137"/>
      <c r="L203" s="137"/>
      <c r="M203" s="158" t="s">
        <v>420</v>
      </c>
      <c r="N203" s="140" t="s">
        <v>478</v>
      </c>
      <c r="O203" s="140" t="s">
        <v>537</v>
      </c>
      <c r="P203" s="140" t="s">
        <v>615</v>
      </c>
    </row>
    <row r="204" spans="2:16" s="164" customFormat="1" x14ac:dyDescent="0.3">
      <c r="B204" s="163" t="str">
        <f t="shared" si="13"/>
        <v>Ceny jsou platné od 1.02.2020/Verze 20.01</v>
      </c>
      <c r="C204" s="224">
        <v>76</v>
      </c>
      <c r="M204" s="278" t="s">
        <v>1759</v>
      </c>
      <c r="N204" s="279" t="s">
        <v>1756</v>
      </c>
      <c r="O204" s="279" t="s">
        <v>1757</v>
      </c>
      <c r="P204" s="279" t="s">
        <v>1758</v>
      </c>
    </row>
    <row r="205" spans="2:16" x14ac:dyDescent="0.3">
      <c r="B205" s="156" t="str">
        <f t="shared" si="13"/>
        <v>Cena celkem</v>
      </c>
      <c r="C205" s="137">
        <v>77</v>
      </c>
      <c r="D205" s="137"/>
      <c r="E205" s="137"/>
      <c r="F205" s="137"/>
      <c r="G205" s="137"/>
      <c r="H205" s="137"/>
      <c r="I205" s="137"/>
      <c r="J205" s="137"/>
      <c r="K205" s="137"/>
      <c r="L205" s="137"/>
      <c r="M205" s="158" t="s">
        <v>29</v>
      </c>
      <c r="N205" s="140" t="s">
        <v>472</v>
      </c>
      <c r="O205" s="140" t="s">
        <v>538</v>
      </c>
      <c r="P205" s="140" t="s">
        <v>616</v>
      </c>
    </row>
    <row r="206" spans="2:16" x14ac:dyDescent="0.3">
      <c r="B206" s="156" t="str">
        <f t="shared" si="13"/>
        <v>Zákazník</v>
      </c>
      <c r="C206" s="137">
        <v>78</v>
      </c>
      <c r="D206" s="137"/>
      <c r="E206" s="137"/>
      <c r="F206" s="137"/>
      <c r="G206" s="137"/>
      <c r="H206" s="137"/>
      <c r="I206" s="137"/>
      <c r="J206" s="137"/>
      <c r="K206" s="137"/>
      <c r="L206" s="137"/>
      <c r="M206" s="158" t="s">
        <v>379</v>
      </c>
      <c r="N206" s="140" t="s">
        <v>379</v>
      </c>
      <c r="O206" s="140" t="s">
        <v>539</v>
      </c>
      <c r="P206" s="140" t="s">
        <v>617</v>
      </c>
    </row>
    <row r="207" spans="2:16" x14ac:dyDescent="0.3">
      <c r="B207" s="156" t="str">
        <f t="shared" si="13"/>
        <v>Kontaktní tel.</v>
      </c>
      <c r="C207" s="137">
        <v>79</v>
      </c>
      <c r="D207" s="137"/>
      <c r="E207" s="137"/>
      <c r="F207" s="137"/>
      <c r="G207" s="137"/>
      <c r="H207" s="137"/>
      <c r="I207" s="137"/>
      <c r="J207" s="137"/>
      <c r="K207" s="137"/>
      <c r="L207" s="137"/>
      <c r="M207" s="158" t="s">
        <v>381</v>
      </c>
      <c r="N207" s="140" t="s">
        <v>473</v>
      </c>
      <c r="O207" s="140" t="s">
        <v>540</v>
      </c>
      <c r="P207" s="140" t="s">
        <v>618</v>
      </c>
    </row>
    <row r="208" spans="2:16" x14ac:dyDescent="0.3">
      <c r="B208" s="156" t="str">
        <f t="shared" si="13"/>
        <v>Kontaktní e-mail</v>
      </c>
      <c r="C208" s="224">
        <v>80</v>
      </c>
      <c r="D208" s="137"/>
      <c r="E208" s="137"/>
      <c r="F208" s="137"/>
      <c r="G208" s="137"/>
      <c r="H208" s="137"/>
      <c r="I208" s="137"/>
      <c r="J208" s="137"/>
      <c r="K208" s="137"/>
      <c r="L208" s="137"/>
      <c r="M208" s="158" t="s">
        <v>382</v>
      </c>
      <c r="N208" s="140" t="s">
        <v>474</v>
      </c>
      <c r="O208" s="140" t="s">
        <v>541</v>
      </c>
      <c r="P208" s="140" t="s">
        <v>619</v>
      </c>
    </row>
    <row r="209" spans="2:257" x14ac:dyDescent="0.3">
      <c r="B209" s="156" t="str">
        <f t="shared" si="13"/>
        <v>Adresa provozovny</v>
      </c>
      <c r="C209" s="137">
        <v>81</v>
      </c>
      <c r="D209" s="137"/>
      <c r="E209" s="137"/>
      <c r="F209" s="137"/>
      <c r="G209" s="137"/>
      <c r="H209" s="137"/>
      <c r="I209" s="137"/>
      <c r="J209" s="137"/>
      <c r="K209" s="137"/>
      <c r="L209" s="137"/>
      <c r="M209" s="158" t="s">
        <v>380</v>
      </c>
      <c r="N209" s="140" t="s">
        <v>475</v>
      </c>
      <c r="O209" s="140" t="s">
        <v>542</v>
      </c>
      <c r="P209" s="140" t="s">
        <v>620</v>
      </c>
    </row>
    <row r="210" spans="2:257" x14ac:dyDescent="0.3">
      <c r="B210" s="156" t="str">
        <f t="shared" si="13"/>
        <v>IČ:</v>
      </c>
      <c r="C210" s="137">
        <v>82</v>
      </c>
      <c r="D210" s="137"/>
      <c r="E210" s="137"/>
      <c r="F210" s="137"/>
      <c r="G210" s="137"/>
      <c r="H210" s="137"/>
      <c r="I210" s="137"/>
      <c r="J210" s="137"/>
      <c r="K210" s="137"/>
      <c r="L210" s="137"/>
      <c r="M210" s="158" t="s">
        <v>378</v>
      </c>
      <c r="N210" s="140" t="s">
        <v>378</v>
      </c>
      <c r="O210" s="140" t="s">
        <v>543</v>
      </c>
      <c r="P210" s="140" t="s">
        <v>378</v>
      </c>
    </row>
    <row r="211" spans="2:257" x14ac:dyDescent="0.3">
      <c r="B211" s="156" t="str">
        <f t="shared" si="13"/>
        <v>Sleva na rámečky</v>
      </c>
      <c r="C211" s="137">
        <v>83</v>
      </c>
      <c r="D211" s="137"/>
      <c r="E211" s="137"/>
      <c r="F211" s="137"/>
      <c r="G211" s="137"/>
      <c r="H211" s="137"/>
      <c r="I211" s="137"/>
      <c r="J211" s="137"/>
      <c r="K211" s="137"/>
      <c r="L211" s="137"/>
      <c r="M211" s="158" t="s">
        <v>383</v>
      </c>
      <c r="N211" s="140" t="s">
        <v>476</v>
      </c>
      <c r="O211" s="140" t="s">
        <v>544</v>
      </c>
      <c r="P211" s="140" t="s">
        <v>621</v>
      </c>
    </row>
    <row r="212" spans="2:257" x14ac:dyDescent="0.3">
      <c r="B212" s="156" t="str">
        <f t="shared" si="13"/>
        <v>Sleva na kování</v>
      </c>
      <c r="C212" s="224">
        <v>84</v>
      </c>
      <c r="D212" s="137"/>
      <c r="E212" s="137"/>
      <c r="F212" s="137"/>
      <c r="G212" s="137"/>
      <c r="H212" s="137"/>
      <c r="I212" s="137"/>
      <c r="J212" s="137"/>
      <c r="K212" s="137"/>
      <c r="L212" s="137"/>
      <c r="M212" s="158" t="s">
        <v>384</v>
      </c>
      <c r="N212" s="140" t="s">
        <v>477</v>
      </c>
      <c r="O212" s="140" t="s">
        <v>545</v>
      </c>
      <c r="P212" s="140" t="s">
        <v>622</v>
      </c>
    </row>
    <row r="213" spans="2:257" x14ac:dyDescent="0.3">
      <c r="B213" s="156" t="str">
        <f t="shared" si="13"/>
        <v>Číslo objednávky</v>
      </c>
      <c r="C213" s="137">
        <v>85</v>
      </c>
      <c r="D213" s="137"/>
      <c r="E213" s="137"/>
      <c r="F213" s="137"/>
      <c r="G213" s="137"/>
      <c r="H213" s="137"/>
      <c r="I213" s="137"/>
      <c r="J213" s="137"/>
      <c r="K213" s="137"/>
      <c r="L213" s="137"/>
      <c r="M213" s="158" t="s">
        <v>411</v>
      </c>
      <c r="N213" s="140" t="s">
        <v>411</v>
      </c>
      <c r="O213" s="140" t="s">
        <v>25</v>
      </c>
      <c r="P213" s="140" t="s">
        <v>623</v>
      </c>
    </row>
    <row r="214" spans="2:257" x14ac:dyDescent="0.3">
      <c r="B214" s="156" t="str">
        <f t="shared" si="13"/>
        <v>Barevné náhledy u jednotlivých názvů RAL a REF jsou pouze orientační!!!!</v>
      </c>
      <c r="C214" s="137">
        <v>86</v>
      </c>
      <c r="D214" s="137"/>
      <c r="E214" s="137"/>
      <c r="F214" s="137"/>
      <c r="G214" s="137"/>
      <c r="H214" s="137"/>
      <c r="I214" s="137"/>
      <c r="J214" s="137"/>
      <c r="K214" s="137"/>
      <c r="L214" s="137"/>
      <c r="M214" s="158" t="s">
        <v>410</v>
      </c>
      <c r="N214" s="140" t="s">
        <v>480</v>
      </c>
      <c r="O214" s="140" t="s">
        <v>1738</v>
      </c>
      <c r="P214" s="140" t="s">
        <v>1388</v>
      </c>
    </row>
    <row r="215" spans="2:257" x14ac:dyDescent="0.3">
      <c r="B215" s="156" t="str">
        <f t="shared" si="13"/>
        <v>Typ kování</v>
      </c>
      <c r="C215" s="137">
        <v>87</v>
      </c>
      <c r="D215" s="137"/>
      <c r="E215" s="137"/>
      <c r="F215" s="137"/>
      <c r="G215" s="137"/>
      <c r="H215" s="137"/>
      <c r="I215" s="137"/>
      <c r="J215" s="137"/>
      <c r="K215" s="137"/>
      <c r="L215" s="137"/>
      <c r="M215" s="158" t="s">
        <v>95</v>
      </c>
      <c r="N215" s="140" t="s">
        <v>479</v>
      </c>
      <c r="O215" s="140" t="s">
        <v>553</v>
      </c>
      <c r="P215" s="140" t="s">
        <v>1734</v>
      </c>
    </row>
    <row r="216" spans="2:257" x14ac:dyDescent="0.3">
      <c r="B216" s="156" t="str">
        <f t="shared" si="13"/>
        <v>AVENTOS HF</v>
      </c>
      <c r="C216" s="224">
        <v>88</v>
      </c>
      <c r="D216" s="137"/>
      <c r="E216" s="137"/>
      <c r="F216" s="137"/>
      <c r="G216" s="137"/>
      <c r="H216" s="137"/>
      <c r="I216" s="137"/>
      <c r="J216" s="137"/>
      <c r="K216" s="137"/>
      <c r="L216" s="137"/>
      <c r="M216" s="158" t="s">
        <v>103</v>
      </c>
      <c r="N216" s="158" t="s">
        <v>103</v>
      </c>
      <c r="O216" s="158" t="s">
        <v>103</v>
      </c>
      <c r="P216" s="158" t="s">
        <v>103</v>
      </c>
    </row>
    <row r="217" spans="2:257" x14ac:dyDescent="0.3">
      <c r="B217" s="156" t="str">
        <f t="shared" si="13"/>
        <v>AVENTOS HK TOP</v>
      </c>
      <c r="C217" s="137">
        <v>89</v>
      </c>
      <c r="D217" s="137"/>
      <c r="E217" s="137"/>
      <c r="F217" s="137"/>
      <c r="G217" s="137"/>
      <c r="H217" s="137"/>
      <c r="I217" s="137"/>
      <c r="J217" s="137"/>
      <c r="K217" s="137"/>
      <c r="L217" s="137"/>
      <c r="M217" s="161" t="s">
        <v>1753</v>
      </c>
      <c r="N217" s="161" t="s">
        <v>1753</v>
      </c>
      <c r="O217" s="161" t="s">
        <v>1753</v>
      </c>
      <c r="P217" s="161" t="s">
        <v>1753</v>
      </c>
    </row>
    <row r="218" spans="2:257" x14ac:dyDescent="0.3">
      <c r="B218" s="156" t="str">
        <f t="shared" si="13"/>
        <v>AVENTOS HKS</v>
      </c>
      <c r="C218" s="137">
        <v>90</v>
      </c>
      <c r="D218" s="137"/>
      <c r="E218" s="137"/>
      <c r="F218" s="137"/>
      <c r="G218" s="137"/>
      <c r="H218" s="137"/>
      <c r="I218" s="137"/>
      <c r="J218" s="137"/>
      <c r="K218" s="137"/>
      <c r="L218" s="137"/>
      <c r="M218" s="161" t="s">
        <v>104</v>
      </c>
      <c r="N218" s="161" t="s">
        <v>104</v>
      </c>
      <c r="O218" s="161" t="s">
        <v>104</v>
      </c>
      <c r="P218" s="161" t="s">
        <v>104</v>
      </c>
    </row>
    <row r="219" spans="2:257" x14ac:dyDescent="0.3">
      <c r="B219" s="156" t="str">
        <f t="shared" si="13"/>
        <v>AVENTOS HL</v>
      </c>
      <c r="C219" s="137">
        <v>91</v>
      </c>
      <c r="D219" s="137"/>
      <c r="E219" s="137"/>
      <c r="F219" s="137"/>
      <c r="G219" s="137"/>
      <c r="H219" s="137"/>
      <c r="I219" s="137"/>
      <c r="J219" s="137"/>
      <c r="K219" s="137"/>
      <c r="L219" s="137"/>
      <c r="M219" s="161" t="s">
        <v>105</v>
      </c>
      <c r="N219" s="161" t="s">
        <v>105</v>
      </c>
      <c r="O219" s="161" t="s">
        <v>105</v>
      </c>
      <c r="P219" s="161" t="s">
        <v>105</v>
      </c>
    </row>
    <row r="220" spans="2:257" x14ac:dyDescent="0.3">
      <c r="B220" s="156" t="str">
        <f t="shared" si="13"/>
        <v>AVENTOS HS</v>
      </c>
      <c r="C220" s="224">
        <v>92</v>
      </c>
      <c r="D220" s="137"/>
      <c r="E220" s="137"/>
      <c r="F220" s="137"/>
      <c r="G220" s="137"/>
      <c r="H220" s="137"/>
      <c r="I220" s="137"/>
      <c r="J220" s="137"/>
      <c r="K220" s="137"/>
      <c r="L220" s="137"/>
      <c r="M220" s="161" t="s">
        <v>106</v>
      </c>
      <c r="N220" s="161" t="s">
        <v>106</v>
      </c>
      <c r="O220" s="161" t="s">
        <v>106</v>
      </c>
      <c r="P220" s="161" t="s">
        <v>106</v>
      </c>
    </row>
    <row r="221" spans="2:257" s="137" customFormat="1" x14ac:dyDescent="0.3">
      <c r="B221" s="156" t="str">
        <f t="shared" si="13"/>
        <v>AVENTOS HK-XS</v>
      </c>
      <c r="C221" s="137">
        <v>93</v>
      </c>
      <c r="M221" s="161" t="s">
        <v>1034</v>
      </c>
      <c r="N221" s="161" t="s">
        <v>1034</v>
      </c>
      <c r="O221" s="161" t="s">
        <v>1034</v>
      </c>
      <c r="P221" s="161" t="s">
        <v>1034</v>
      </c>
      <c r="IW221" s="156"/>
    </row>
    <row r="222" spans="2:257" s="137" customFormat="1" x14ac:dyDescent="0.3">
      <c r="B222" s="156" t="str">
        <f t="shared" si="13"/>
        <v>AVENTOS HK-XS TIP-ON</v>
      </c>
      <c r="C222" s="137">
        <v>94</v>
      </c>
      <c r="M222" s="161" t="s">
        <v>1063</v>
      </c>
      <c r="N222" s="161" t="s">
        <v>1063</v>
      </c>
      <c r="O222" s="161" t="s">
        <v>1063</v>
      </c>
      <c r="P222" s="161" t="s">
        <v>1063</v>
      </c>
      <c r="IW222" s="18"/>
    </row>
    <row r="223" spans="2:257" x14ac:dyDescent="0.3">
      <c r="B223" s="156" t="str">
        <f t="shared" si="13"/>
        <v>FGV</v>
      </c>
      <c r="C223" s="137">
        <v>95</v>
      </c>
      <c r="D223" s="137"/>
      <c r="E223" s="137"/>
      <c r="F223" s="137"/>
      <c r="G223" s="137"/>
      <c r="H223" s="137"/>
      <c r="I223" s="137"/>
      <c r="J223" s="137"/>
      <c r="K223" s="137"/>
      <c r="L223" s="137"/>
      <c r="M223" s="161" t="s">
        <v>13</v>
      </c>
      <c r="N223" s="161" t="s">
        <v>13</v>
      </c>
      <c r="O223" s="161" t="s">
        <v>13</v>
      </c>
      <c r="P223" s="161" t="s">
        <v>13</v>
      </c>
    </row>
    <row r="224" spans="2:257" x14ac:dyDescent="0.3">
      <c r="B224" s="156" t="str">
        <f t="shared" si="13"/>
        <v>BLUM</v>
      </c>
      <c r="C224" s="224">
        <v>96</v>
      </c>
      <c r="D224" s="137"/>
      <c r="E224" s="137"/>
      <c r="F224" s="137"/>
      <c r="G224" s="137"/>
      <c r="H224" s="137"/>
      <c r="I224" s="137"/>
      <c r="J224" s="137"/>
      <c r="K224" s="137"/>
      <c r="L224" s="137"/>
      <c r="M224" s="161" t="s">
        <v>14</v>
      </c>
      <c r="N224" s="161" t="s">
        <v>14</v>
      </c>
      <c r="O224" s="161" t="s">
        <v>14</v>
      </c>
      <c r="P224" s="161" t="s">
        <v>14</v>
      </c>
    </row>
    <row r="225" spans="2:16" x14ac:dyDescent="0.3">
      <c r="B225" s="156" t="str">
        <f t="shared" si="13"/>
        <v>STRONG bez tlumení</v>
      </c>
      <c r="C225" s="137">
        <v>97</v>
      </c>
      <c r="D225" s="137"/>
      <c r="E225" s="137"/>
      <c r="F225" s="137"/>
      <c r="G225" s="137"/>
      <c r="H225" s="137"/>
      <c r="I225" s="137"/>
      <c r="J225" s="137"/>
      <c r="K225" s="137"/>
      <c r="L225" s="137"/>
      <c r="M225" s="161" t="s">
        <v>1173</v>
      </c>
      <c r="N225" s="161" t="s">
        <v>1613</v>
      </c>
      <c r="O225" s="161" t="s">
        <v>1614</v>
      </c>
      <c r="P225" s="161" t="s">
        <v>1615</v>
      </c>
    </row>
    <row r="226" spans="2:16" s="137" customFormat="1" x14ac:dyDescent="0.3">
      <c r="B226" s="156" t="s">
        <v>1033</v>
      </c>
      <c r="C226" s="137">
        <v>98</v>
      </c>
      <c r="M226" s="161" t="s">
        <v>1033</v>
      </c>
      <c r="N226" s="161" t="s">
        <v>1033</v>
      </c>
      <c r="O226" s="161" t="s">
        <v>1033</v>
      </c>
      <c r="P226" s="161" t="s">
        <v>1033</v>
      </c>
    </row>
    <row r="227" spans="2:16" x14ac:dyDescent="0.3">
      <c r="B227" s="156" t="str">
        <f t="shared" ref="B227:B259" si="14">IF($D$1=1,M227,IF($D$1=2,N227,IF($D$1=3,O227,IF($D$1=4,P227,0))))</f>
        <v xml:space="preserve">Vyplňte pouze pokud nebude vrtání symetricky na střed </v>
      </c>
      <c r="C227" s="137">
        <v>99</v>
      </c>
      <c r="D227" s="137"/>
      <c r="E227" s="137"/>
      <c r="F227" s="137"/>
      <c r="G227" s="137"/>
      <c r="H227" s="137"/>
      <c r="I227" s="137"/>
      <c r="J227" s="137"/>
      <c r="K227" s="137"/>
      <c r="L227" s="137"/>
      <c r="M227" s="158" t="s">
        <v>552</v>
      </c>
      <c r="N227" s="161" t="s">
        <v>643</v>
      </c>
      <c r="O227" s="140" t="s">
        <v>648</v>
      </c>
      <c r="P227" s="140" t="s">
        <v>655</v>
      </c>
    </row>
    <row r="228" spans="2:16" x14ac:dyDescent="0.3">
      <c r="B228" s="156" t="str">
        <f t="shared" si="14"/>
        <v>Posuvné rámečky</v>
      </c>
      <c r="C228" s="224">
        <v>100</v>
      </c>
      <c r="D228" s="137"/>
      <c r="E228" s="137"/>
      <c r="F228" s="137"/>
      <c r="G228" s="137"/>
      <c r="H228" s="137"/>
      <c r="I228" s="137"/>
      <c r="J228" s="137"/>
      <c r="K228" s="137"/>
      <c r="L228" s="137"/>
      <c r="M228" s="158" t="s">
        <v>20</v>
      </c>
      <c r="N228" s="161" t="s">
        <v>644</v>
      </c>
      <c r="O228" s="140" t="s">
        <v>649</v>
      </c>
      <c r="P228" s="140" t="s">
        <v>656</v>
      </c>
    </row>
    <row r="229" spans="2:16" x14ac:dyDescent="0.3">
      <c r="B229" s="156" t="str">
        <f t="shared" si="14"/>
        <v>Standardně je objednávka dodána včetně kování a vodících profilů</v>
      </c>
      <c r="C229" s="137">
        <v>101</v>
      </c>
      <c r="D229" s="137"/>
      <c r="E229" s="137"/>
      <c r="F229" s="137"/>
      <c r="G229" s="137"/>
      <c r="H229" s="137"/>
      <c r="I229" s="137"/>
      <c r="J229" s="137"/>
      <c r="K229" s="137"/>
      <c r="L229" s="137"/>
      <c r="M229" s="158" t="s">
        <v>414</v>
      </c>
      <c r="N229" s="140" t="s">
        <v>637</v>
      </c>
      <c r="O229" s="140" t="s">
        <v>681</v>
      </c>
      <c r="P229" s="158" t="s">
        <v>657</v>
      </c>
    </row>
    <row r="230" spans="2:16" x14ac:dyDescent="0.3">
      <c r="B230" s="156" t="str">
        <f t="shared" si="14"/>
        <v xml:space="preserve">Vnitřní rozměr skříňky (mm)  </v>
      </c>
      <c r="C230" s="137">
        <v>102</v>
      </c>
      <c r="D230" s="137"/>
      <c r="E230" s="137"/>
      <c r="F230" s="137"/>
      <c r="G230" s="137"/>
      <c r="H230" s="137"/>
      <c r="I230" s="137"/>
      <c r="J230" s="137"/>
      <c r="K230" s="137"/>
      <c r="L230" s="137"/>
      <c r="M230" s="158" t="s">
        <v>640</v>
      </c>
      <c r="N230" s="140" t="s">
        <v>638</v>
      </c>
      <c r="O230" s="140" t="s">
        <v>650</v>
      </c>
      <c r="P230" s="140" t="s">
        <v>658</v>
      </c>
    </row>
    <row r="231" spans="2:16" x14ac:dyDescent="0.3">
      <c r="B231" s="156" t="str">
        <f t="shared" si="14"/>
        <v>Počet dvířek</v>
      </c>
      <c r="C231" s="137">
        <v>103</v>
      </c>
      <c r="D231" s="137"/>
      <c r="E231" s="137"/>
      <c r="F231" s="137"/>
      <c r="G231" s="137"/>
      <c r="H231" s="137"/>
      <c r="I231" s="137"/>
      <c r="J231" s="137"/>
      <c r="K231" s="137"/>
      <c r="L231" s="137"/>
      <c r="M231" s="158" t="s">
        <v>413</v>
      </c>
      <c r="N231" s="140" t="s">
        <v>639</v>
      </c>
      <c r="O231" s="140" t="s">
        <v>651</v>
      </c>
      <c r="P231" s="158" t="s">
        <v>659</v>
      </c>
    </row>
    <row r="232" spans="2:16" x14ac:dyDescent="0.3">
      <c r="B232" s="156" t="str">
        <f t="shared" si="14"/>
        <v>Zde jsou uvedeny standardní přesahy dvířek</v>
      </c>
      <c r="C232" s="224">
        <v>104</v>
      </c>
      <c r="D232" s="137"/>
      <c r="E232" s="137"/>
      <c r="F232" s="137"/>
      <c r="G232" s="137"/>
      <c r="H232" s="137"/>
      <c r="I232" s="137"/>
      <c r="J232" s="137"/>
      <c r="K232" s="137"/>
      <c r="L232" s="137"/>
      <c r="M232" s="158" t="s">
        <v>851</v>
      </c>
      <c r="N232" s="162" t="s">
        <v>641</v>
      </c>
      <c r="O232" s="140" t="s">
        <v>852</v>
      </c>
      <c r="P232" s="158" t="s">
        <v>853</v>
      </c>
    </row>
    <row r="233" spans="2:16" x14ac:dyDescent="0.3">
      <c r="B233" s="156" t="str">
        <f t="shared" si="14"/>
        <v>barva</v>
      </c>
      <c r="C233" s="137">
        <v>105</v>
      </c>
      <c r="D233" s="137"/>
      <c r="E233" s="137"/>
      <c r="F233" s="137"/>
      <c r="G233" s="137"/>
      <c r="H233" s="137"/>
      <c r="I233" s="137"/>
      <c r="J233" s="137"/>
      <c r="K233" s="137"/>
      <c r="L233" s="137"/>
      <c r="M233" s="158" t="s">
        <v>385</v>
      </c>
      <c r="N233" s="140" t="s">
        <v>642</v>
      </c>
      <c r="O233" s="140" t="s">
        <v>652</v>
      </c>
      <c r="P233" s="158" t="s">
        <v>660</v>
      </c>
    </row>
    <row r="234" spans="2:16" x14ac:dyDescent="0.3">
      <c r="B234" s="157" t="str">
        <f t="shared" si="14"/>
        <v>Objednávka ALU</v>
      </c>
      <c r="C234" s="137">
        <v>106</v>
      </c>
      <c r="D234" s="137"/>
      <c r="E234" s="137"/>
      <c r="F234" s="137"/>
      <c r="G234" s="137"/>
      <c r="H234" s="137"/>
      <c r="I234" s="137"/>
      <c r="J234" s="137"/>
      <c r="K234" s="137"/>
      <c r="L234" s="137"/>
      <c r="M234" s="158" t="s">
        <v>635</v>
      </c>
      <c r="N234" s="140" t="s">
        <v>635</v>
      </c>
      <c r="O234" s="140" t="s">
        <v>653</v>
      </c>
      <c r="P234" s="158" t="s">
        <v>661</v>
      </c>
    </row>
    <row r="235" spans="2:16" x14ac:dyDescent="0.3">
      <c r="B235" s="157" t="str">
        <f t="shared" si="14"/>
        <v>Posuvné rámečky</v>
      </c>
      <c r="C235" s="137">
        <v>107</v>
      </c>
      <c r="D235" s="137"/>
      <c r="E235" s="137"/>
      <c r="F235" s="137"/>
      <c r="G235" s="137"/>
      <c r="H235" s="137"/>
      <c r="I235" s="137"/>
      <c r="J235" s="137"/>
      <c r="K235" s="137"/>
      <c r="L235" s="137"/>
      <c r="M235" s="158" t="s">
        <v>20</v>
      </c>
      <c r="N235" s="161" t="s">
        <v>644</v>
      </c>
      <c r="O235" s="140" t="s">
        <v>649</v>
      </c>
      <c r="P235" s="140" t="s">
        <v>656</v>
      </c>
    </row>
    <row r="236" spans="2:16" x14ac:dyDescent="0.3">
      <c r="B236" s="157" t="str">
        <f t="shared" si="14"/>
        <v>Barvy LACOBEL A MATELAC</v>
      </c>
      <c r="C236" s="224">
        <v>108</v>
      </c>
      <c r="D236" s="137"/>
      <c r="E236" s="137"/>
      <c r="F236" s="137"/>
      <c r="G236" s="137"/>
      <c r="H236" s="137"/>
      <c r="I236" s="137"/>
      <c r="J236" s="137"/>
      <c r="K236" s="137"/>
      <c r="L236" s="137"/>
      <c r="M236" s="158" t="s">
        <v>636</v>
      </c>
      <c r="N236" s="140" t="s">
        <v>645</v>
      </c>
      <c r="O236" s="140" t="s">
        <v>654</v>
      </c>
      <c r="P236" s="158" t="s">
        <v>662</v>
      </c>
    </row>
    <row r="237" spans="2:16" s="137" customFormat="1" x14ac:dyDescent="0.3">
      <c r="B237" s="156" t="str">
        <f t="shared" si="14"/>
        <v>20L3200</v>
      </c>
      <c r="C237" s="137">
        <v>109</v>
      </c>
      <c r="M237" s="139" t="s">
        <v>664</v>
      </c>
      <c r="N237" s="139" t="s">
        <v>664</v>
      </c>
      <c r="O237" s="139" t="s">
        <v>664</v>
      </c>
      <c r="P237" s="139" t="s">
        <v>664</v>
      </c>
    </row>
    <row r="238" spans="2:16" s="137" customFormat="1" x14ac:dyDescent="0.3">
      <c r="B238" s="156" t="str">
        <f t="shared" si="14"/>
        <v>20L3500</v>
      </c>
      <c r="C238" s="137">
        <v>110</v>
      </c>
      <c r="M238" s="139" t="s">
        <v>665</v>
      </c>
      <c r="N238" s="139" t="s">
        <v>665</v>
      </c>
      <c r="O238" s="139" t="s">
        <v>665</v>
      </c>
      <c r="P238" s="139" t="s">
        <v>665</v>
      </c>
    </row>
    <row r="239" spans="2:16" x14ac:dyDescent="0.3">
      <c r="B239" s="156" t="str">
        <f t="shared" si="14"/>
        <v>20L3800</v>
      </c>
      <c r="C239" s="137">
        <v>111</v>
      </c>
      <c r="D239" s="137"/>
      <c r="E239" s="137"/>
      <c r="F239" s="137"/>
      <c r="G239" s="137"/>
      <c r="H239" s="137"/>
      <c r="I239" s="137"/>
      <c r="J239" s="137"/>
      <c r="K239" s="137"/>
      <c r="L239" s="137"/>
      <c r="M239" s="139" t="s">
        <v>666</v>
      </c>
      <c r="N239" s="139" t="s">
        <v>666</v>
      </c>
      <c r="O239" s="139" t="s">
        <v>666</v>
      </c>
      <c r="P239" s="139" t="s">
        <v>666</v>
      </c>
    </row>
    <row r="240" spans="2:16" x14ac:dyDescent="0.3">
      <c r="B240" s="156" t="str">
        <f t="shared" si="14"/>
        <v>20L3900</v>
      </c>
      <c r="C240" s="224">
        <v>112</v>
      </c>
      <c r="D240" s="137"/>
      <c r="E240" s="137"/>
      <c r="F240" s="137"/>
      <c r="G240" s="137"/>
      <c r="H240" s="137"/>
      <c r="I240" s="137"/>
      <c r="J240" s="137"/>
      <c r="K240" s="137"/>
      <c r="L240" s="137"/>
      <c r="M240" s="139" t="s">
        <v>667</v>
      </c>
      <c r="N240" s="139" t="s">
        <v>667</v>
      </c>
      <c r="O240" s="139" t="s">
        <v>667</v>
      </c>
      <c r="P240" s="139" t="s">
        <v>667</v>
      </c>
    </row>
    <row r="241" spans="2:16" s="137" customFormat="1" x14ac:dyDescent="0.3">
      <c r="B241" s="156" t="str">
        <f t="shared" si="14"/>
        <v>Typ ramene</v>
      </c>
      <c r="C241" s="137">
        <v>113</v>
      </c>
      <c r="M241" s="139" t="s">
        <v>668</v>
      </c>
      <c r="N241" s="139" t="s">
        <v>671</v>
      </c>
      <c r="O241" s="139" t="s">
        <v>672</v>
      </c>
      <c r="P241" s="139" t="s">
        <v>673</v>
      </c>
    </row>
    <row r="242" spans="2:16" s="137" customFormat="1" x14ac:dyDescent="0.3">
      <c r="B242" s="156" t="str">
        <f t="shared" si="14"/>
        <v>Hmotnost úchytky (g)</v>
      </c>
      <c r="C242" s="137">
        <v>114</v>
      </c>
      <c r="M242" s="139" t="s">
        <v>669</v>
      </c>
      <c r="N242" s="139" t="s">
        <v>674</v>
      </c>
      <c r="O242" s="139" t="s">
        <v>675</v>
      </c>
      <c r="P242" s="139" t="s">
        <v>676</v>
      </c>
    </row>
    <row r="243" spans="2:16" s="137" customFormat="1" x14ac:dyDescent="0.3">
      <c r="B243" s="156" t="str">
        <f t="shared" si="14"/>
        <v>Typy profilů</v>
      </c>
      <c r="C243" s="137">
        <v>115</v>
      </c>
      <c r="M243" s="139" t="s">
        <v>670</v>
      </c>
      <c r="N243" s="140" t="s">
        <v>677</v>
      </c>
      <c r="O243" s="140" t="s">
        <v>678</v>
      </c>
      <c r="P243" s="140" t="s">
        <v>679</v>
      </c>
    </row>
    <row r="244" spans="2:16" s="137" customFormat="1" x14ac:dyDescent="0.3">
      <c r="B244" s="156" t="str">
        <f t="shared" si="14"/>
        <v>AVENTOS HF Servo Drive</v>
      </c>
      <c r="C244" s="224">
        <v>116</v>
      </c>
      <c r="M244" s="158" t="s">
        <v>749</v>
      </c>
      <c r="N244" s="158" t="s">
        <v>749</v>
      </c>
      <c r="O244" s="158" t="s">
        <v>749</v>
      </c>
      <c r="P244" s="158" t="s">
        <v>749</v>
      </c>
    </row>
    <row r="245" spans="2:16" s="137" customFormat="1" x14ac:dyDescent="0.3">
      <c r="B245" s="156" t="str">
        <f t="shared" si="14"/>
        <v>AVENTOS HK TOP TIP ON</v>
      </c>
      <c r="C245" s="137">
        <v>117</v>
      </c>
      <c r="M245" s="158" t="s">
        <v>1755</v>
      </c>
      <c r="N245" s="158" t="s">
        <v>1755</v>
      </c>
      <c r="O245" s="158" t="s">
        <v>1755</v>
      </c>
      <c r="P245" s="158" t="s">
        <v>1755</v>
      </c>
    </row>
    <row r="246" spans="2:16" s="137" customFormat="1" x14ac:dyDescent="0.3">
      <c r="B246" s="156" t="str">
        <f t="shared" si="14"/>
        <v>AVENTOS HKS TIP ON</v>
      </c>
      <c r="C246" s="137">
        <v>118</v>
      </c>
      <c r="M246" s="158" t="s">
        <v>750</v>
      </c>
      <c r="N246" s="158" t="s">
        <v>750</v>
      </c>
      <c r="O246" s="158" t="s">
        <v>750</v>
      </c>
      <c r="P246" s="158" t="s">
        <v>750</v>
      </c>
    </row>
    <row r="247" spans="2:16" s="137" customFormat="1" x14ac:dyDescent="0.3">
      <c r="B247" s="156" t="str">
        <f t="shared" si="14"/>
        <v>AVENTOS HK TOP Servo Drive</v>
      </c>
      <c r="C247" s="137">
        <v>119</v>
      </c>
      <c r="M247" s="158" t="s">
        <v>1754</v>
      </c>
      <c r="N247" s="158" t="s">
        <v>1754</v>
      </c>
      <c r="O247" s="158" t="s">
        <v>1754</v>
      </c>
      <c r="P247" s="158" t="s">
        <v>1754</v>
      </c>
    </row>
    <row r="248" spans="2:16" s="137" customFormat="1" x14ac:dyDescent="0.3">
      <c r="B248" s="156" t="str">
        <f t="shared" si="14"/>
        <v>AVENTOS HL Servo Drive</v>
      </c>
      <c r="C248" s="224">
        <v>120</v>
      </c>
      <c r="M248" s="158" t="s">
        <v>751</v>
      </c>
      <c r="N248" s="158" t="s">
        <v>751</v>
      </c>
      <c r="O248" s="158" t="s">
        <v>751</v>
      </c>
      <c r="P248" s="158" t="s">
        <v>751</v>
      </c>
    </row>
    <row r="249" spans="2:16" s="137" customFormat="1" x14ac:dyDescent="0.3">
      <c r="B249" s="156" t="str">
        <f t="shared" si="14"/>
        <v>AVENTOS HS Servo Drive</v>
      </c>
      <c r="C249" s="137">
        <v>121</v>
      </c>
      <c r="M249" s="158" t="s">
        <v>752</v>
      </c>
      <c r="N249" s="158" t="s">
        <v>752</v>
      </c>
      <c r="O249" s="158" t="s">
        <v>752</v>
      </c>
      <c r="P249" s="158" t="s">
        <v>752</v>
      </c>
    </row>
    <row r="250" spans="2:16" s="137" customFormat="1" x14ac:dyDescent="0.3">
      <c r="B250" s="156" t="str">
        <f t="shared" si="14"/>
        <v>spodní</v>
      </c>
      <c r="C250" s="137">
        <v>122</v>
      </c>
      <c r="M250" s="158" t="s">
        <v>806</v>
      </c>
      <c r="N250" s="140" t="s">
        <v>807</v>
      </c>
      <c r="O250" s="140" t="s">
        <v>808</v>
      </c>
      <c r="P250" s="140" t="s">
        <v>809</v>
      </c>
    </row>
    <row r="251" spans="2:16" s="137" customFormat="1" x14ac:dyDescent="0.3">
      <c r="B251" s="156" t="str">
        <f t="shared" si="14"/>
        <v>Minimální vzdálenost umístění závěsů</v>
      </c>
      <c r="C251" s="137">
        <v>123</v>
      </c>
      <c r="M251" s="139" t="s">
        <v>811</v>
      </c>
      <c r="N251" s="140" t="s">
        <v>864</v>
      </c>
      <c r="O251" s="140" t="s">
        <v>879</v>
      </c>
      <c r="P251" s="140" t="s">
        <v>880</v>
      </c>
    </row>
    <row r="252" spans="2:16" s="137" customFormat="1" x14ac:dyDescent="0.3">
      <c r="B252" s="156" t="str">
        <f t="shared" si="14"/>
        <v>Naložený s integr. Blumotionem</v>
      </c>
      <c r="C252" s="224">
        <v>124</v>
      </c>
      <c r="M252" s="158" t="s">
        <v>813</v>
      </c>
      <c r="N252" s="140" t="s">
        <v>865</v>
      </c>
      <c r="O252" s="140" t="s">
        <v>881</v>
      </c>
      <c r="P252" s="140" t="s">
        <v>882</v>
      </c>
    </row>
    <row r="253" spans="2:16" s="137" customFormat="1" x14ac:dyDescent="0.3">
      <c r="B253" s="156" t="str">
        <f t="shared" si="14"/>
        <v>Standardní vrtání otvorů pro závěsy u všech typů kování Aventos HF, je 100 mm od kraje.</v>
      </c>
      <c r="C253" s="137">
        <v>125</v>
      </c>
      <c r="M253" s="18" t="s">
        <v>857</v>
      </c>
      <c r="N253" s="166" t="s">
        <v>866</v>
      </c>
      <c r="O253" s="166" t="s">
        <v>1739</v>
      </c>
      <c r="P253" s="166" t="s">
        <v>883</v>
      </c>
    </row>
    <row r="254" spans="2:16" s="137" customFormat="1" x14ac:dyDescent="0.3">
      <c r="B254" s="156" t="str">
        <f t="shared" si="14"/>
        <v>Standardní průměr otvorů pro úchytky je ve skle 7 mm a v rámečku 5 mm (distanční podložky jsou součástí balení).</v>
      </c>
      <c r="C254" s="137">
        <v>126</v>
      </c>
      <c r="M254" s="165" t="s">
        <v>817</v>
      </c>
      <c r="N254" s="166" t="s">
        <v>867</v>
      </c>
      <c r="O254" s="166" t="s">
        <v>884</v>
      </c>
      <c r="P254" s="166" t="s">
        <v>885</v>
      </c>
    </row>
    <row r="255" spans="2:16" s="137" customFormat="1" x14ac:dyDescent="0.3">
      <c r="B255" s="156" t="str">
        <f t="shared" si="14"/>
        <v xml:space="preserve">Pokud je váš požadavek jiný než je uvedeno výše, uveďte ho do poznámky. </v>
      </c>
      <c r="C255" s="137">
        <v>127</v>
      </c>
      <c r="M255" s="165" t="s">
        <v>818</v>
      </c>
      <c r="N255" s="166" t="s">
        <v>868</v>
      </c>
      <c r="O255" s="166" t="s">
        <v>886</v>
      </c>
      <c r="P255" s="166" t="s">
        <v>887</v>
      </c>
    </row>
    <row r="256" spans="2:16" s="137" customFormat="1" x14ac:dyDescent="0.3">
      <c r="B256" s="156" t="str">
        <f t="shared" si="14"/>
        <v>U určitých typů úchytek jsou závity pro šrouby zapuštěné a je nutné použít vhodné distanční podložky.</v>
      </c>
      <c r="C256" s="224">
        <v>128</v>
      </c>
      <c r="M256" s="165" t="s">
        <v>822</v>
      </c>
      <c r="N256" s="166" t="s">
        <v>869</v>
      </c>
      <c r="O256" s="166" t="s">
        <v>1740</v>
      </c>
      <c r="P256" s="166" t="s">
        <v>1733</v>
      </c>
    </row>
    <row r="257" spans="2:16" s="137" customFormat="1" x14ac:dyDescent="0.3">
      <c r="B257" s="156" t="str">
        <f t="shared" si="14"/>
        <v>Reklamace spojené s poškozením nelze uplatnit, pokud byl rámeček již namontován.</v>
      </c>
      <c r="C257" s="137">
        <v>129</v>
      </c>
      <c r="M257" s="165" t="s">
        <v>819</v>
      </c>
      <c r="N257" s="166" t="s">
        <v>870</v>
      </c>
      <c r="O257" s="166" t="s">
        <v>888</v>
      </c>
      <c r="P257" s="166" t="s">
        <v>889</v>
      </c>
    </row>
    <row r="258" spans="2:16" s="137" customFormat="1" x14ac:dyDescent="0.3">
      <c r="B258" s="156" t="str">
        <f t="shared" si="14"/>
        <v xml:space="preserve">Pro připevnění kování do ALU rámečku, je nutné používat vruty pro toto určené (např. kód 13681). </v>
      </c>
      <c r="C258" s="137">
        <v>130</v>
      </c>
      <c r="M258" s="165" t="s">
        <v>820</v>
      </c>
      <c r="N258" s="166" t="s">
        <v>871</v>
      </c>
      <c r="O258" s="166" t="s">
        <v>1741</v>
      </c>
      <c r="P258" s="166" t="s">
        <v>890</v>
      </c>
    </row>
    <row r="259" spans="2:16" s="137" customFormat="1" x14ac:dyDescent="0.3">
      <c r="B259" s="156" t="str">
        <f t="shared" si="14"/>
        <v>Vždy používejte aktuální verzi formuláře, který je dostupný na našich stánkách.</v>
      </c>
      <c r="C259" s="137">
        <v>131</v>
      </c>
      <c r="M259" s="165" t="s">
        <v>827</v>
      </c>
      <c r="N259" s="166" t="s">
        <v>872</v>
      </c>
      <c r="O259" s="166" t="s">
        <v>891</v>
      </c>
      <c r="P259" s="166" t="s">
        <v>892</v>
      </c>
    </row>
    <row r="260" spans="2:16" s="137" customFormat="1" x14ac:dyDescent="0.3">
      <c r="B260" s="156"/>
      <c r="C260" s="224">
        <v>132</v>
      </c>
      <c r="M260" s="165"/>
      <c r="N260" s="166"/>
      <c r="O260" s="166"/>
      <c r="P260" s="166"/>
    </row>
    <row r="261" spans="2:16" s="137" customFormat="1" x14ac:dyDescent="0.3">
      <c r="B261" s="18" t="str">
        <f t="shared" ref="B261:B324" si="15">IF($D$1=1,M261,IF($D$1=2,N261,IF($D$1=3,O261,IF($D$1=4,P261,0))))</f>
        <v xml:space="preserve">Objednávka může obsahovat i více typů (rozměrů) rámečků najednou, přičemž se taková objednávka bere jako platná. Proto doporučujeme před odeslání zkontrolovat formulář, zda obsahuje pouze vámi požadované rámečky.     </v>
      </c>
      <c r="C261" s="137">
        <v>133</v>
      </c>
      <c r="M261" s="165" t="s">
        <v>821</v>
      </c>
      <c r="N261" s="166" t="s">
        <v>893</v>
      </c>
      <c r="O261" s="166" t="s">
        <v>1742</v>
      </c>
      <c r="P261" s="166" t="s">
        <v>894</v>
      </c>
    </row>
    <row r="262" spans="2:16" s="137" customFormat="1" x14ac:dyDescent="0.3">
      <c r="B262" s="18" t="str">
        <f t="shared" si="15"/>
        <v>Formulář obsahuje několik listů, mezi kterými je možné se přepínat ve spodní části.</v>
      </c>
      <c r="C262" s="137">
        <v>134</v>
      </c>
      <c r="M262" s="165" t="s">
        <v>823</v>
      </c>
      <c r="N262" s="166" t="s">
        <v>895</v>
      </c>
      <c r="O262" s="166" t="s">
        <v>896</v>
      </c>
      <c r="P262" s="166" t="s">
        <v>897</v>
      </c>
    </row>
    <row r="263" spans="2:16" s="137" customFormat="1" x14ac:dyDescent="0.3">
      <c r="B263" s="18" t="str">
        <f t="shared" si="15"/>
        <v xml:space="preserve">Vyplňte prosím vaše kontaktní údaje a poté klikněte na požadované políčko níže. </v>
      </c>
      <c r="C263" s="137">
        <v>135</v>
      </c>
      <c r="M263" s="165" t="s">
        <v>969</v>
      </c>
      <c r="N263" s="166" t="s">
        <v>898</v>
      </c>
      <c r="O263" s="166" t="s">
        <v>899</v>
      </c>
      <c r="P263" s="166" t="s">
        <v>900</v>
      </c>
    </row>
    <row r="264" spans="2:16" s="137" customFormat="1" x14ac:dyDescent="0.3">
      <c r="B264" s="18" t="str">
        <f t="shared" si="15"/>
        <v>Vyplněním kontaktních údajů vyjadřujete současně souhlas, že jste se seznámil s informacemi uvedenými níže!</v>
      </c>
      <c r="C264" s="224">
        <v>136</v>
      </c>
      <c r="M264" s="165" t="s">
        <v>855</v>
      </c>
      <c r="N264" s="166" t="s">
        <v>901</v>
      </c>
      <c r="O264" s="166" t="s">
        <v>902</v>
      </c>
      <c r="P264" s="166" t="s">
        <v>903</v>
      </c>
    </row>
    <row r="265" spans="2:16" s="137" customFormat="1" x14ac:dyDescent="0.3">
      <c r="B265" s="18" t="str">
        <f t="shared" si="15"/>
        <v>Běžné rámečky</v>
      </c>
      <c r="C265" s="137">
        <v>137</v>
      </c>
      <c r="M265" s="165" t="s">
        <v>824</v>
      </c>
      <c r="N265" s="166" t="s">
        <v>904</v>
      </c>
      <c r="O265" s="166" t="s">
        <v>905</v>
      </c>
      <c r="P265" s="166" t="s">
        <v>906</v>
      </c>
    </row>
    <row r="266" spans="2:16" s="137" customFormat="1" x14ac:dyDescent="0.3">
      <c r="B266" s="18" t="str">
        <f t="shared" si="15"/>
        <v>Posuvné rámečky</v>
      </c>
      <c r="C266" s="137">
        <v>138</v>
      </c>
      <c r="M266" s="165" t="s">
        <v>20</v>
      </c>
      <c r="N266" s="166" t="s">
        <v>644</v>
      </c>
      <c r="O266" s="166" t="s">
        <v>907</v>
      </c>
      <c r="P266" s="166" t="s">
        <v>908</v>
      </c>
    </row>
    <row r="267" spans="2:16" s="137" customFormat="1" x14ac:dyDescent="0.3">
      <c r="B267" s="18" t="str">
        <f t="shared" si="15"/>
        <v>Nákresy profilů a spoj. kování</v>
      </c>
      <c r="C267" s="137">
        <v>139</v>
      </c>
      <c r="M267" s="165" t="s">
        <v>825</v>
      </c>
      <c r="N267" s="166" t="s">
        <v>909</v>
      </c>
      <c r="O267" s="166" t="s">
        <v>910</v>
      </c>
      <c r="P267" s="166" t="s">
        <v>911</v>
      </c>
    </row>
    <row r="268" spans="2:16" s="137" customFormat="1" x14ac:dyDescent="0.3">
      <c r="B268" s="18" t="str">
        <f t="shared" si="15"/>
        <v>Maximální doporučený rozměr rámečku je 2000 x 600 mm (v případě rámečků s nalepeným sklem 1800 x 600 mm)</v>
      </c>
      <c r="C268" s="224">
        <v>140</v>
      </c>
      <c r="M268" s="165" t="s">
        <v>828</v>
      </c>
      <c r="N268" s="166" t="s">
        <v>912</v>
      </c>
      <c r="O268" s="166" t="s">
        <v>1743</v>
      </c>
      <c r="P268" s="166" t="s">
        <v>913</v>
      </c>
    </row>
    <row r="269" spans="2:16" s="137" customFormat="1" x14ac:dyDescent="0.3">
      <c r="B269" s="18" t="str">
        <f t="shared" si="15"/>
        <v xml:space="preserve">Na požadavek zákazníka, je možné dodat rámečky s maximální délkou profilu 3m. Maximální rozměr skla je v tomto případě 2500 x 1300 mm. </v>
      </c>
      <c r="C269" s="137">
        <v>141</v>
      </c>
      <c r="M269" s="165" t="s">
        <v>970</v>
      </c>
      <c r="N269" s="166" t="s">
        <v>914</v>
      </c>
      <c r="O269" s="166" t="s">
        <v>915</v>
      </c>
      <c r="P269" s="166" t="s">
        <v>916</v>
      </c>
    </row>
    <row r="270" spans="2:16" s="137" customFormat="1" x14ac:dyDescent="0.3">
      <c r="B270" s="18" t="str">
        <f t="shared" si="15"/>
        <v>Všechny skla Lacobel a Matelac je možné podlepit bezpečnostní fólií (v případě potřeby uveďte do poznámky)</v>
      </c>
      <c r="C270" s="137">
        <v>142</v>
      </c>
      <c r="M270" s="165" t="s">
        <v>829</v>
      </c>
      <c r="N270" s="166" t="s">
        <v>917</v>
      </c>
      <c r="O270" s="166" t="s">
        <v>1744</v>
      </c>
      <c r="P270" s="166" t="s">
        <v>918</v>
      </c>
    </row>
    <row r="271" spans="2:16" s="137" customFormat="1" x14ac:dyDescent="0.3">
      <c r="B271" s="18" t="str">
        <f t="shared" si="15"/>
        <v xml:space="preserve">Vyplněnou objednávku zašlete na adresu </v>
      </c>
      <c r="C271" s="137">
        <v>143</v>
      </c>
      <c r="M271" s="165" t="s">
        <v>830</v>
      </c>
      <c r="N271" s="166" t="s">
        <v>919</v>
      </c>
      <c r="O271" s="166" t="s">
        <v>920</v>
      </c>
      <c r="P271" s="166" t="s">
        <v>921</v>
      </c>
    </row>
    <row r="272" spans="2:16" s="137" customFormat="1" x14ac:dyDescent="0.3">
      <c r="B272" s="18" t="str">
        <f t="shared" si="15"/>
        <v>objednavky@demos-trade.com</v>
      </c>
      <c r="C272" s="224">
        <v>144</v>
      </c>
      <c r="M272" s="171" t="s">
        <v>833</v>
      </c>
      <c r="N272" s="170" t="s">
        <v>833</v>
      </c>
      <c r="O272" s="170" t="s">
        <v>831</v>
      </c>
      <c r="P272" s="170" t="s">
        <v>832</v>
      </c>
    </row>
    <row r="273" spans="2:16" s="137" customFormat="1" x14ac:dyDescent="0.3">
      <c r="B273" s="18" t="str">
        <f t="shared" si="15"/>
        <v>Nákresy profilů</v>
      </c>
      <c r="C273" s="137">
        <v>145</v>
      </c>
      <c r="M273" s="165" t="s">
        <v>834</v>
      </c>
      <c r="N273" s="166" t="s">
        <v>922</v>
      </c>
      <c r="O273" s="166" t="s">
        <v>923</v>
      </c>
      <c r="P273" s="166" t="s">
        <v>924</v>
      </c>
    </row>
    <row r="274" spans="2:16" s="137" customFormat="1" x14ac:dyDescent="0.3">
      <c r="B274" s="18" t="str">
        <f t="shared" si="15"/>
        <v>Sada kování na úzký rámeček H27AL (88630)</v>
      </c>
      <c r="C274" s="137">
        <v>146</v>
      </c>
      <c r="M274" s="165" t="s">
        <v>836</v>
      </c>
      <c r="N274" s="166" t="s">
        <v>925</v>
      </c>
      <c r="O274" s="166" t="s">
        <v>926</v>
      </c>
      <c r="P274" s="166" t="s">
        <v>927</v>
      </c>
    </row>
    <row r="275" spans="2:16" s="137" customFormat="1" x14ac:dyDescent="0.3">
      <c r="B275" s="18" t="str">
        <f t="shared" si="15"/>
        <v>Sada kování na široký rámeček H37AL (88631)</v>
      </c>
      <c r="C275" s="137">
        <v>147</v>
      </c>
      <c r="M275" s="165" t="s">
        <v>837</v>
      </c>
      <c r="N275" s="166" t="s">
        <v>928</v>
      </c>
      <c r="O275" s="166" t="s">
        <v>929</v>
      </c>
      <c r="P275" s="166" t="s">
        <v>930</v>
      </c>
    </row>
    <row r="276" spans="2:16" s="137" customFormat="1" x14ac:dyDescent="0.3">
      <c r="B276" s="18" t="str">
        <f t="shared" si="15"/>
        <v>Výška rámečku je standardně o 6 mm menší, než uvedená vnitřní výška skříňky.</v>
      </c>
      <c r="C276" s="224">
        <v>148</v>
      </c>
      <c r="M276" s="165" t="s">
        <v>835</v>
      </c>
      <c r="N276" s="166" t="s">
        <v>931</v>
      </c>
      <c r="O276" s="166" t="s">
        <v>1745</v>
      </c>
      <c r="P276" s="166" t="s">
        <v>932</v>
      </c>
    </row>
    <row r="277" spans="2:16" s="137" customFormat="1" x14ac:dyDescent="0.3">
      <c r="B277" s="18" t="str">
        <f t="shared" si="15"/>
        <v>Standardně jsou rámečky připraveny pro posuvné kování H27AL (nosnost 25 kg na rámeček) a H37AL (nosnost 35 kg na rámeček)</v>
      </c>
      <c r="C277" s="137">
        <v>149</v>
      </c>
      <c r="M277" s="165" t="s">
        <v>838</v>
      </c>
      <c r="N277" s="166" t="s">
        <v>933</v>
      </c>
      <c r="O277" s="166" t="s">
        <v>1746</v>
      </c>
      <c r="P277" s="166" t="s">
        <v>934</v>
      </c>
    </row>
    <row r="278" spans="2:16" s="137" customFormat="1" x14ac:dyDescent="0.3">
      <c r="B278" s="18" t="str">
        <f t="shared" si="15"/>
        <v>Horní vedení délka 2 m (87313)</v>
      </c>
      <c r="C278" s="137">
        <v>150</v>
      </c>
      <c r="M278" s="165" t="s">
        <v>839</v>
      </c>
      <c r="N278" s="166" t="s">
        <v>935</v>
      </c>
      <c r="O278" s="166" t="s">
        <v>936</v>
      </c>
      <c r="P278" s="166" t="s">
        <v>937</v>
      </c>
    </row>
    <row r="279" spans="2:16" s="137" customFormat="1" x14ac:dyDescent="0.3">
      <c r="B279" s="18" t="str">
        <f t="shared" si="15"/>
        <v>Spodní vedení délka 2 m (87315)</v>
      </c>
      <c r="C279" s="137">
        <v>151</v>
      </c>
      <c r="M279" s="165" t="s">
        <v>841</v>
      </c>
      <c r="N279" s="166" t="s">
        <v>938</v>
      </c>
      <c r="O279" s="166" t="s">
        <v>939</v>
      </c>
      <c r="P279" s="166" t="s">
        <v>940</v>
      </c>
    </row>
    <row r="280" spans="2:16" s="137" customFormat="1" x14ac:dyDescent="0.3">
      <c r="B280" s="18" t="str">
        <f t="shared" si="15"/>
        <v>Horní vedení délka 3 m (87312)</v>
      </c>
      <c r="C280" s="224">
        <v>152</v>
      </c>
      <c r="M280" s="165" t="s">
        <v>840</v>
      </c>
      <c r="N280" s="166" t="s">
        <v>941</v>
      </c>
      <c r="O280" s="166" t="s">
        <v>942</v>
      </c>
      <c r="P280" s="166" t="s">
        <v>943</v>
      </c>
    </row>
    <row r="281" spans="2:16" s="137" customFormat="1" x14ac:dyDescent="0.3">
      <c r="B281" s="18" t="str">
        <f t="shared" si="15"/>
        <v>Spodní vedení délka 3 m (87314)</v>
      </c>
      <c r="C281" s="137">
        <v>153</v>
      </c>
      <c r="M281" s="165" t="s">
        <v>842</v>
      </c>
      <c r="N281" s="166" t="s">
        <v>944</v>
      </c>
      <c r="O281" s="166" t="s">
        <v>945</v>
      </c>
      <c r="P281" s="166" t="s">
        <v>946</v>
      </c>
    </row>
    <row r="282" spans="2:16" s="137" customFormat="1" x14ac:dyDescent="0.3">
      <c r="B282" s="18" t="str">
        <f t="shared" si="15"/>
        <v>Jiný požadavek (ks)</v>
      </c>
      <c r="C282" s="137">
        <v>154</v>
      </c>
      <c r="M282" s="165" t="s">
        <v>850</v>
      </c>
      <c r="N282" s="166" t="s">
        <v>947</v>
      </c>
      <c r="O282" s="166" t="s">
        <v>948</v>
      </c>
      <c r="P282" s="166" t="s">
        <v>949</v>
      </c>
    </row>
    <row r="283" spans="2:16" s="137" customFormat="1" x14ac:dyDescent="0.3">
      <c r="B283" s="18" t="str">
        <f t="shared" si="15"/>
        <v>Množství (ks)</v>
      </c>
      <c r="C283" s="137">
        <v>155</v>
      </c>
      <c r="M283" s="165" t="s">
        <v>854</v>
      </c>
      <c r="N283" s="166" t="s">
        <v>950</v>
      </c>
      <c r="O283" s="166" t="s">
        <v>951</v>
      </c>
      <c r="P283" s="166" t="s">
        <v>952</v>
      </c>
    </row>
    <row r="284" spans="2:16" s="137" customFormat="1" x14ac:dyDescent="0.3">
      <c r="B284" s="18" t="str">
        <f t="shared" si="15"/>
        <v>K nadrozměrným rámečkům (nad rozměr 1200 x 800 mm), může být účtován příplatek za speciální balení a dopravu (více informací na zákaznickém centru).</v>
      </c>
      <c r="C284" s="224">
        <v>156</v>
      </c>
      <c r="M284" s="165" t="s">
        <v>971</v>
      </c>
      <c r="N284" s="166" t="s">
        <v>953</v>
      </c>
      <c r="O284" s="166" t="s">
        <v>954</v>
      </c>
      <c r="P284" s="166" t="s">
        <v>955</v>
      </c>
    </row>
    <row r="285" spans="2:16" s="137" customFormat="1" x14ac:dyDescent="0.3">
      <c r="B285" s="18" t="str">
        <f t="shared" si="15"/>
        <v xml:space="preserve">Vhodné rozměry rámečku pro konkrétní typ kování je nutné ověřit před zadáním do objednávky (Aventplan, katalog, …), formulář nemá nastaveny omezení. </v>
      </c>
      <c r="C285" s="137">
        <v>157</v>
      </c>
      <c r="M285" s="165" t="s">
        <v>856</v>
      </c>
      <c r="N285" s="166" t="s">
        <v>956</v>
      </c>
      <c r="O285" s="166" t="s">
        <v>1747</v>
      </c>
      <c r="P285" s="166" t="s">
        <v>957</v>
      </c>
    </row>
    <row r="286" spans="2:16" s="137" customFormat="1" x14ac:dyDescent="0.3">
      <c r="B286" s="18" t="str">
        <f t="shared" si="15"/>
        <v>Vzorkovník skel je možné objednat pod kódy Lacebel VZK003P a Matelac VZK004P.</v>
      </c>
      <c r="C286" s="137">
        <v>158</v>
      </c>
      <c r="M286" s="165" t="s">
        <v>858</v>
      </c>
      <c r="N286" s="166" t="s">
        <v>959</v>
      </c>
      <c r="O286" s="166" t="s">
        <v>958</v>
      </c>
      <c r="P286" s="166" t="s">
        <v>960</v>
      </c>
    </row>
    <row r="287" spans="2:16" s="137" customFormat="1" x14ac:dyDescent="0.3">
      <c r="B287" s="18" t="str">
        <f t="shared" si="15"/>
        <v xml:space="preserve">Cena za posuvné rámečky je shodná jako cena za běžné rámečky. </v>
      </c>
      <c r="C287" s="137">
        <v>159</v>
      </c>
      <c r="M287" s="165" t="s">
        <v>968</v>
      </c>
      <c r="N287" s="166" t="s">
        <v>973</v>
      </c>
      <c r="O287" s="166" t="s">
        <v>972</v>
      </c>
      <c r="P287" s="166" t="s">
        <v>977</v>
      </c>
    </row>
    <row r="288" spans="2:16" s="137" customFormat="1" x14ac:dyDescent="0.3">
      <c r="B288" s="18" t="str">
        <f t="shared" si="15"/>
        <v>Pokud je úchytka připevněna skrz sklo, je nutné vždy použít distanční podložku (např. 144516, 191970, C0315)</v>
      </c>
      <c r="C288" s="224">
        <v>160</v>
      </c>
      <c r="M288" s="165" t="s">
        <v>1748</v>
      </c>
      <c r="N288" s="166" t="s">
        <v>1749</v>
      </c>
      <c r="O288" s="166" t="s">
        <v>1750</v>
      </c>
      <c r="P288" s="166" t="s">
        <v>1751</v>
      </c>
    </row>
    <row r="289" spans="1:16" s="137" customFormat="1" x14ac:dyDescent="0.3">
      <c r="B289" s="18" t="str">
        <f t="shared" si="15"/>
        <v>Uvedené nákresy dvířek jsou znázorněny při pohledu z přední strany.</v>
      </c>
      <c r="C289" s="137">
        <v>161</v>
      </c>
      <c r="M289" s="165" t="s">
        <v>1016</v>
      </c>
      <c r="N289" s="166" t="s">
        <v>1381</v>
      </c>
      <c r="O289" s="166" t="s">
        <v>1752</v>
      </c>
      <c r="P289" s="166" t="s">
        <v>1732</v>
      </c>
    </row>
    <row r="290" spans="1:16" s="137" customFormat="1" x14ac:dyDescent="0.3">
      <c r="B290" s="18" t="str">
        <f t="shared" si="15"/>
        <v>Nadrozměrný rámeček, může být účtováno vyšší dopravné</v>
      </c>
      <c r="C290" s="137">
        <v>162</v>
      </c>
      <c r="M290" s="165" t="s">
        <v>1017</v>
      </c>
      <c r="N290" s="166" t="s">
        <v>1018</v>
      </c>
      <c r="O290" s="166" t="s">
        <v>1019</v>
      </c>
      <c r="P290" s="166" t="s">
        <v>1020</v>
      </c>
    </row>
    <row r="291" spans="1:16" s="137" customFormat="1" x14ac:dyDescent="0.3">
      <c r="B291" s="18" t="str">
        <f t="shared" si="15"/>
        <v>Umístění ramene</v>
      </c>
      <c r="C291" s="137">
        <v>163</v>
      </c>
      <c r="M291" s="165" t="s">
        <v>1062</v>
      </c>
      <c r="N291" s="166" t="s">
        <v>1382</v>
      </c>
      <c r="O291" s="166" t="s">
        <v>1380</v>
      </c>
      <c r="P291" s="166" t="s">
        <v>1383</v>
      </c>
    </row>
    <row r="292" spans="1:16" s="137" customFormat="1" x14ac:dyDescent="0.3">
      <c r="B292" s="18" t="str">
        <f t="shared" si="15"/>
        <v>Maximální možný rozměr rámečku je 2500x1300mm</v>
      </c>
      <c r="C292" s="137">
        <v>164</v>
      </c>
      <c r="M292" s="165" t="s">
        <v>1219</v>
      </c>
      <c r="N292" s="166" t="s">
        <v>1227</v>
      </c>
      <c r="O292" s="166" t="s">
        <v>1228</v>
      </c>
      <c r="P292" s="166" t="s">
        <v>1229</v>
      </c>
    </row>
    <row r="293" spans="1:16" s="137" customFormat="1" x14ac:dyDescent="0.3">
      <c r="B293" s="18" t="str">
        <f t="shared" si="15"/>
        <v>Minimální vzdálenost závěsu od kraje rámečku je 70mm</v>
      </c>
      <c r="C293" s="137">
        <v>165</v>
      </c>
      <c r="M293" s="165" t="s">
        <v>1220</v>
      </c>
      <c r="N293" s="166" t="s">
        <v>1230</v>
      </c>
      <c r="O293" s="166" t="s">
        <v>1231</v>
      </c>
      <c r="P293" s="166" t="s">
        <v>1232</v>
      </c>
    </row>
    <row r="294" spans="1:16" s="137" customFormat="1" x14ac:dyDescent="0.3">
      <c r="B294" s="18" t="str">
        <f t="shared" si="15"/>
        <v>Minimální vzdálenost závěsu od kraje rámečku je 80mm</v>
      </c>
      <c r="C294" s="137">
        <v>166</v>
      </c>
      <c r="M294" s="165" t="s">
        <v>1221</v>
      </c>
      <c r="N294" s="166" t="s">
        <v>1233</v>
      </c>
      <c r="O294" s="166" t="s">
        <v>1234</v>
      </c>
      <c r="P294" s="166" t="s">
        <v>1235</v>
      </c>
    </row>
    <row r="295" spans="1:16" s="137" customFormat="1" x14ac:dyDescent="0.3">
      <c r="A295" s="137">
        <v>123517</v>
      </c>
      <c r="B295" s="18" t="str">
        <f t="shared" si="15"/>
        <v>Naložený clip</v>
      </c>
      <c r="C295" s="137">
        <v>167</v>
      </c>
      <c r="M295" s="165" t="s">
        <v>121</v>
      </c>
      <c r="N295" s="166" t="s">
        <v>121</v>
      </c>
      <c r="O295" s="166" t="s">
        <v>488</v>
      </c>
      <c r="P295" s="166" t="s">
        <v>564</v>
      </c>
    </row>
    <row r="296" spans="1:16" s="137" customFormat="1" x14ac:dyDescent="0.3">
      <c r="A296" s="137">
        <v>123518</v>
      </c>
      <c r="B296" s="18" t="str">
        <f t="shared" si="15"/>
        <v>Polonaložený clip</v>
      </c>
      <c r="C296" s="137">
        <v>168</v>
      </c>
      <c r="M296" s="165" t="s">
        <v>122</v>
      </c>
      <c r="N296" s="166" t="s">
        <v>122</v>
      </c>
      <c r="O296" s="166" t="s">
        <v>489</v>
      </c>
      <c r="P296" s="166" t="s">
        <v>565</v>
      </c>
    </row>
    <row r="297" spans="1:16" s="137" customFormat="1" x14ac:dyDescent="0.3">
      <c r="A297" s="137">
        <v>123519</v>
      </c>
      <c r="B297" s="18" t="str">
        <f t="shared" si="15"/>
        <v>Vložený clip</v>
      </c>
      <c r="C297" s="137">
        <v>169</v>
      </c>
      <c r="M297" s="165" t="s">
        <v>123</v>
      </c>
      <c r="N297" s="166" t="s">
        <v>123</v>
      </c>
      <c r="O297" s="166" t="s">
        <v>490</v>
      </c>
      <c r="P297" s="166" t="s">
        <v>566</v>
      </c>
    </row>
    <row r="298" spans="1:16" s="137" customFormat="1" x14ac:dyDescent="0.3">
      <c r="A298" s="137">
        <v>92991</v>
      </c>
      <c r="B298" s="18" t="str">
        <f t="shared" si="15"/>
        <v>Úhel 45°</v>
      </c>
      <c r="C298" s="137">
        <v>170</v>
      </c>
      <c r="M298" s="165" t="s">
        <v>124</v>
      </c>
      <c r="N298" s="166" t="s">
        <v>429</v>
      </c>
      <c r="O298" s="166" t="s">
        <v>491</v>
      </c>
      <c r="P298" s="166" t="s">
        <v>567</v>
      </c>
    </row>
    <row r="299" spans="1:16" s="137" customFormat="1" x14ac:dyDescent="0.3">
      <c r="A299" s="137">
        <v>92950</v>
      </c>
      <c r="B299" s="18" t="str">
        <f t="shared" si="15"/>
        <v>Naložený</v>
      </c>
      <c r="C299" s="137">
        <v>171</v>
      </c>
      <c r="M299" s="165" t="s">
        <v>125</v>
      </c>
      <c r="N299" s="166" t="s">
        <v>430</v>
      </c>
      <c r="O299" s="166" t="s">
        <v>492</v>
      </c>
      <c r="P299" s="166" t="s">
        <v>568</v>
      </c>
    </row>
    <row r="300" spans="1:16" s="137" customFormat="1" x14ac:dyDescent="0.3">
      <c r="A300" s="137">
        <v>92951</v>
      </c>
      <c r="B300" s="18" t="str">
        <f t="shared" si="15"/>
        <v>Polonaložený</v>
      </c>
      <c r="C300" s="137">
        <v>172</v>
      </c>
      <c r="M300" s="165" t="s">
        <v>126</v>
      </c>
      <c r="N300" s="166" t="s">
        <v>431</v>
      </c>
      <c r="O300" s="166" t="s">
        <v>493</v>
      </c>
      <c r="P300" s="166" t="s">
        <v>569</v>
      </c>
    </row>
    <row r="301" spans="1:16" s="137" customFormat="1" x14ac:dyDescent="0.3">
      <c r="A301" s="137">
        <v>92952</v>
      </c>
      <c r="B301" s="18" t="str">
        <f t="shared" si="15"/>
        <v>Vložený</v>
      </c>
      <c r="C301" s="137">
        <v>173</v>
      </c>
      <c r="M301" s="165" t="s">
        <v>127</v>
      </c>
      <c r="N301" s="166" t="s">
        <v>432</v>
      </c>
      <c r="O301" s="166" t="s">
        <v>494</v>
      </c>
      <c r="P301" s="166" t="s">
        <v>570</v>
      </c>
    </row>
    <row r="302" spans="1:16" s="137" customFormat="1" x14ac:dyDescent="0.3">
      <c r="A302" s="137">
        <v>92957</v>
      </c>
      <c r="B302" s="18" t="str">
        <f t="shared" si="15"/>
        <v>Úhel 45°</v>
      </c>
      <c r="C302" s="137">
        <v>174</v>
      </c>
      <c r="M302" s="165" t="s">
        <v>124</v>
      </c>
      <c r="N302" s="166" t="s">
        <v>429</v>
      </c>
      <c r="O302" s="166" t="s">
        <v>491</v>
      </c>
      <c r="P302" s="166" t="s">
        <v>567</v>
      </c>
    </row>
    <row r="303" spans="1:16" s="137" customFormat="1" x14ac:dyDescent="0.3">
      <c r="A303" s="137">
        <v>93000</v>
      </c>
      <c r="B303" s="18" t="str">
        <f t="shared" si="15"/>
        <v>Naložený s opačnou pružinou</v>
      </c>
      <c r="C303" s="137">
        <v>175</v>
      </c>
      <c r="M303" s="165" t="s">
        <v>128</v>
      </c>
      <c r="N303" s="166" t="s">
        <v>128</v>
      </c>
      <c r="O303" s="166" t="s">
        <v>495</v>
      </c>
      <c r="P303" s="166" t="s">
        <v>571</v>
      </c>
    </row>
    <row r="304" spans="1:16" s="137" customFormat="1" x14ac:dyDescent="0.3">
      <c r="A304" s="137">
        <v>93903</v>
      </c>
      <c r="B304" s="18" t="str">
        <f t="shared" si="15"/>
        <v>Vložený s opačnou pružinou</v>
      </c>
      <c r="C304" s="137">
        <v>176</v>
      </c>
      <c r="M304" s="165" t="s">
        <v>129</v>
      </c>
      <c r="N304" s="166" t="s">
        <v>129</v>
      </c>
      <c r="O304" s="166" t="s">
        <v>496</v>
      </c>
      <c r="P304" s="166" t="s">
        <v>572</v>
      </c>
    </row>
    <row r="305" spans="1:16" s="137" customFormat="1" x14ac:dyDescent="0.3">
      <c r="A305" s="137">
        <v>92975</v>
      </c>
      <c r="B305" s="18" t="str">
        <f t="shared" si="15"/>
        <v>Clip na vrut H2</v>
      </c>
      <c r="C305" s="137">
        <v>177</v>
      </c>
      <c r="M305" s="165" t="s">
        <v>212</v>
      </c>
      <c r="N305" s="166" t="s">
        <v>433</v>
      </c>
      <c r="O305" s="166" t="s">
        <v>497</v>
      </c>
      <c r="P305" s="166" t="s">
        <v>573</v>
      </c>
    </row>
    <row r="306" spans="1:16" s="137" customFormat="1" x14ac:dyDescent="0.3">
      <c r="A306" s="137">
        <v>92961</v>
      </c>
      <c r="B306" s="18" t="str">
        <f t="shared" si="15"/>
        <v>Clip na vrut H4</v>
      </c>
      <c r="C306" s="137">
        <v>178</v>
      </c>
      <c r="M306" s="165" t="s">
        <v>213</v>
      </c>
      <c r="N306" s="166" t="s">
        <v>434</v>
      </c>
      <c r="O306" s="166" t="s">
        <v>498</v>
      </c>
      <c r="P306" s="166" t="s">
        <v>574</v>
      </c>
    </row>
    <row r="307" spans="1:16" s="137" customFormat="1" x14ac:dyDescent="0.3">
      <c r="A307" s="137">
        <v>92962</v>
      </c>
      <c r="B307" s="18" t="str">
        <f t="shared" si="15"/>
        <v>Clip na eurošroub H2</v>
      </c>
      <c r="C307" s="137">
        <v>179</v>
      </c>
      <c r="M307" s="165" t="s">
        <v>214</v>
      </c>
      <c r="N307" s="166" t="s">
        <v>435</v>
      </c>
      <c r="O307" s="166" t="s">
        <v>499</v>
      </c>
      <c r="P307" s="166" t="s">
        <v>575</v>
      </c>
    </row>
    <row r="308" spans="1:16" s="137" customFormat="1" x14ac:dyDescent="0.3">
      <c r="A308" s="137">
        <v>92969</v>
      </c>
      <c r="B308" s="18" t="str">
        <f t="shared" si="15"/>
        <v>Clip na eurošroub H4</v>
      </c>
      <c r="C308" s="137">
        <v>180</v>
      </c>
      <c r="M308" s="165" t="s">
        <v>215</v>
      </c>
      <c r="N308" s="166" t="s">
        <v>436</v>
      </c>
      <c r="O308" s="166" t="s">
        <v>500</v>
      </c>
      <c r="P308" s="166" t="s">
        <v>576</v>
      </c>
    </row>
    <row r="309" spans="1:16" s="137" customFormat="1" x14ac:dyDescent="0.3">
      <c r="A309" s="137">
        <v>92960</v>
      </c>
      <c r="B309" s="18" t="str">
        <f t="shared" si="15"/>
        <v>Slide on na vrut H2</v>
      </c>
      <c r="C309" s="137">
        <v>181</v>
      </c>
      <c r="M309" s="165" t="s">
        <v>216</v>
      </c>
      <c r="N309" s="166" t="s">
        <v>437</v>
      </c>
      <c r="O309" s="166" t="s">
        <v>501</v>
      </c>
      <c r="P309" s="166" t="s">
        <v>577</v>
      </c>
    </row>
    <row r="310" spans="1:16" s="137" customFormat="1" x14ac:dyDescent="0.3">
      <c r="A310" s="137">
        <v>92961</v>
      </c>
      <c r="B310" s="18" t="str">
        <f t="shared" si="15"/>
        <v>Slide on na vrut H4</v>
      </c>
      <c r="C310" s="137">
        <v>182</v>
      </c>
      <c r="M310" s="165" t="s">
        <v>217</v>
      </c>
      <c r="N310" s="166" t="s">
        <v>438</v>
      </c>
      <c r="O310" s="166" t="s">
        <v>502</v>
      </c>
      <c r="P310" s="166" t="s">
        <v>578</v>
      </c>
    </row>
    <row r="311" spans="1:16" s="137" customFormat="1" x14ac:dyDescent="0.3">
      <c r="A311" s="137">
        <v>92962</v>
      </c>
      <c r="B311" s="18" t="str">
        <f t="shared" si="15"/>
        <v>Slide on na eurošroub H2</v>
      </c>
      <c r="C311" s="137">
        <v>183</v>
      </c>
      <c r="M311" s="165" t="s">
        <v>218</v>
      </c>
      <c r="N311" s="166" t="s">
        <v>439</v>
      </c>
      <c r="O311" s="166" t="s">
        <v>503</v>
      </c>
      <c r="P311" s="166" t="s">
        <v>579</v>
      </c>
    </row>
    <row r="312" spans="1:16" s="137" customFormat="1" x14ac:dyDescent="0.3">
      <c r="A312" s="137">
        <v>92963</v>
      </c>
      <c r="B312" s="18" t="str">
        <f t="shared" si="15"/>
        <v>Slide on na eurošroub H4</v>
      </c>
      <c r="C312" s="137">
        <v>184</v>
      </c>
      <c r="M312" s="165" t="s">
        <v>219</v>
      </c>
      <c r="N312" s="166" t="s">
        <v>440</v>
      </c>
      <c r="O312" s="166" t="s">
        <v>504</v>
      </c>
      <c r="P312" s="166" t="s">
        <v>580</v>
      </c>
    </row>
    <row r="313" spans="1:16" s="137" customFormat="1" x14ac:dyDescent="0.3">
      <c r="A313" s="137">
        <v>92584</v>
      </c>
      <c r="B313" s="18" t="str">
        <f t="shared" si="15"/>
        <v>Naložený clip</v>
      </c>
      <c r="C313" s="137">
        <v>185</v>
      </c>
      <c r="M313" s="165" t="s">
        <v>121</v>
      </c>
      <c r="N313" s="166" t="s">
        <v>121</v>
      </c>
      <c r="O313" s="166" t="s">
        <v>488</v>
      </c>
      <c r="P313" s="166" t="s">
        <v>564</v>
      </c>
    </row>
    <row r="314" spans="1:16" s="137" customFormat="1" x14ac:dyDescent="0.3">
      <c r="A314" s="137">
        <v>92585</v>
      </c>
      <c r="B314" s="18" t="str">
        <f t="shared" si="15"/>
        <v>Polonaložený clip</v>
      </c>
      <c r="C314" s="137">
        <v>186</v>
      </c>
      <c r="M314" s="165" t="s">
        <v>122</v>
      </c>
      <c r="N314" s="166" t="s">
        <v>122</v>
      </c>
      <c r="O314" s="166" t="s">
        <v>489</v>
      </c>
      <c r="P314" s="166" t="s">
        <v>565</v>
      </c>
    </row>
    <row r="315" spans="1:16" s="137" customFormat="1" x14ac:dyDescent="0.3">
      <c r="A315" s="137">
        <v>92586</v>
      </c>
      <c r="B315" s="18" t="str">
        <f t="shared" si="15"/>
        <v>Vložený clip</v>
      </c>
      <c r="C315" s="137">
        <v>187</v>
      </c>
      <c r="M315" s="165" t="s">
        <v>123</v>
      </c>
      <c r="N315" s="166" t="s">
        <v>123</v>
      </c>
      <c r="O315" s="166" t="s">
        <v>490</v>
      </c>
      <c r="P315" s="166" t="s">
        <v>566</v>
      </c>
    </row>
    <row r="316" spans="1:16" s="137" customFormat="1" x14ac:dyDescent="0.3">
      <c r="A316" s="137">
        <v>92588</v>
      </c>
      <c r="B316" s="18" t="str">
        <f t="shared" si="15"/>
        <v>45° clip</v>
      </c>
      <c r="C316" s="137">
        <v>188</v>
      </c>
      <c r="M316" s="165" t="s">
        <v>10</v>
      </c>
      <c r="N316" s="166" t="s">
        <v>447</v>
      </c>
      <c r="O316" s="166" t="s">
        <v>10</v>
      </c>
      <c r="P316" s="166" t="s">
        <v>10</v>
      </c>
    </row>
    <row r="317" spans="1:16" s="137" customFormat="1" x14ac:dyDescent="0.3">
      <c r="A317" s="137">
        <v>92597</v>
      </c>
      <c r="B317" s="18" t="str">
        <f t="shared" si="15"/>
        <v xml:space="preserve">Strong Plus Clip na eurošroub H0 </v>
      </c>
      <c r="C317" s="137">
        <v>189</v>
      </c>
      <c r="M317" s="165" t="s">
        <v>1703</v>
      </c>
      <c r="N317" s="166" t="s">
        <v>1705</v>
      </c>
      <c r="O317" s="166" t="s">
        <v>1707</v>
      </c>
      <c r="P317" s="166" t="s">
        <v>1709</v>
      </c>
    </row>
    <row r="318" spans="1:16" s="137" customFormat="1" x14ac:dyDescent="0.3">
      <c r="A318" s="137">
        <v>92596</v>
      </c>
      <c r="B318" s="18" t="str">
        <f t="shared" si="15"/>
        <v>Strong Plus Clip na vrut H0</v>
      </c>
      <c r="C318" s="137">
        <v>190</v>
      </c>
      <c r="M318" s="165" t="s">
        <v>1704</v>
      </c>
      <c r="N318" s="166" t="s">
        <v>1706</v>
      </c>
      <c r="O318" s="166" t="s">
        <v>1708</v>
      </c>
      <c r="P318" s="166" t="s">
        <v>1710</v>
      </c>
    </row>
    <row r="319" spans="1:16" s="137" customFormat="1" x14ac:dyDescent="0.3">
      <c r="A319" s="137">
        <v>92599</v>
      </c>
      <c r="B319" s="18" t="str">
        <f t="shared" si="15"/>
        <v>Strong Plus Clip na eurošroub H2</v>
      </c>
      <c r="C319" s="137">
        <v>191</v>
      </c>
      <c r="M319" s="165" t="s">
        <v>1695</v>
      </c>
      <c r="N319" s="166" t="s">
        <v>1696</v>
      </c>
      <c r="O319" s="166" t="s">
        <v>1697</v>
      </c>
      <c r="P319" s="166" t="s">
        <v>1698</v>
      </c>
    </row>
    <row r="320" spans="1:16" s="137" customFormat="1" x14ac:dyDescent="0.3">
      <c r="A320" s="137">
        <v>92598</v>
      </c>
      <c r="B320" s="18" t="str">
        <f t="shared" si="15"/>
        <v>Strong Plus Clip na vrut H2</v>
      </c>
      <c r="C320" s="137">
        <v>192</v>
      </c>
      <c r="M320" s="165" t="s">
        <v>1700</v>
      </c>
      <c r="N320" s="166" t="s">
        <v>1699</v>
      </c>
      <c r="O320" s="166" t="s">
        <v>1701</v>
      </c>
      <c r="P320" s="166" t="s">
        <v>1702</v>
      </c>
    </row>
    <row r="321" spans="1:16" s="137" customFormat="1" x14ac:dyDescent="0.3">
      <c r="A321" s="137" t="s">
        <v>810</v>
      </c>
      <c r="B321" s="18" t="str">
        <f t="shared" si="15"/>
        <v>Naložený clip</v>
      </c>
      <c r="C321" s="137">
        <v>193</v>
      </c>
      <c r="M321" s="165" t="s">
        <v>121</v>
      </c>
      <c r="N321" s="166" t="s">
        <v>121</v>
      </c>
      <c r="O321" s="166" t="s">
        <v>488</v>
      </c>
      <c r="P321" s="166" t="s">
        <v>564</v>
      </c>
    </row>
    <row r="322" spans="1:16" s="137" customFormat="1" x14ac:dyDescent="0.3">
      <c r="A322" s="137" t="s">
        <v>114</v>
      </c>
      <c r="B322" s="18" t="str">
        <f t="shared" si="15"/>
        <v>Naložený clip</v>
      </c>
      <c r="C322" s="137">
        <v>194</v>
      </c>
      <c r="M322" s="165" t="s">
        <v>121</v>
      </c>
      <c r="N322" s="166" t="s">
        <v>121</v>
      </c>
      <c r="O322" s="166" t="s">
        <v>488</v>
      </c>
      <c r="P322" s="166" t="s">
        <v>564</v>
      </c>
    </row>
    <row r="323" spans="1:16" s="137" customFormat="1" x14ac:dyDescent="0.3">
      <c r="A323" s="137" t="s">
        <v>115</v>
      </c>
      <c r="B323" s="18" t="str">
        <f t="shared" si="15"/>
        <v>Polonaložený clip</v>
      </c>
      <c r="C323" s="137">
        <v>195</v>
      </c>
      <c r="M323" s="165" t="s">
        <v>122</v>
      </c>
      <c r="N323" s="166" t="s">
        <v>122</v>
      </c>
      <c r="O323" s="166" t="s">
        <v>489</v>
      </c>
      <c r="P323" s="166" t="s">
        <v>565</v>
      </c>
    </row>
    <row r="324" spans="1:16" s="137" customFormat="1" x14ac:dyDescent="0.3">
      <c r="A324" s="137" t="s">
        <v>116</v>
      </c>
      <c r="B324" s="18" t="str">
        <f t="shared" si="15"/>
        <v>Vložený clip</v>
      </c>
      <c r="C324" s="137">
        <v>196</v>
      </c>
      <c r="M324" s="165" t="s">
        <v>123</v>
      </c>
      <c r="N324" s="166" t="s">
        <v>123</v>
      </c>
      <c r="O324" s="166" t="s">
        <v>490</v>
      </c>
      <c r="P324" s="166" t="s">
        <v>566</v>
      </c>
    </row>
    <row r="325" spans="1:16" s="137" customFormat="1" x14ac:dyDescent="0.3">
      <c r="A325" s="137" t="s">
        <v>118</v>
      </c>
      <c r="B325" s="18" t="str">
        <f t="shared" ref="B325:B388" si="16">IF($D$1=1,M325,IF($D$1=2,N325,IF($D$1=3,O325,IF($D$1=4,P325,0))))</f>
        <v>45° clip</v>
      </c>
      <c r="C325" s="137">
        <v>197</v>
      </c>
      <c r="M325" s="165" t="s">
        <v>10</v>
      </c>
      <c r="N325" s="166" t="s">
        <v>447</v>
      </c>
      <c r="O325" s="166" t="s">
        <v>10</v>
      </c>
      <c r="P325" s="166" t="s">
        <v>10</v>
      </c>
    </row>
    <row r="326" spans="1:16" s="137" customFormat="1" x14ac:dyDescent="0.3">
      <c r="A326" s="137" t="s">
        <v>119</v>
      </c>
      <c r="B326" s="18" t="str">
        <f t="shared" si="16"/>
        <v xml:space="preserve">Clip na eurošroub H0 </v>
      </c>
      <c r="C326" s="137">
        <v>198</v>
      </c>
      <c r="M326" s="165" t="s">
        <v>211</v>
      </c>
      <c r="N326" s="166" t="s">
        <v>448</v>
      </c>
      <c r="O326" s="166" t="s">
        <v>513</v>
      </c>
      <c r="P326" s="166" t="s">
        <v>589</v>
      </c>
    </row>
    <row r="327" spans="1:16" s="137" customFormat="1" x14ac:dyDescent="0.3">
      <c r="A327" s="137" t="s">
        <v>113</v>
      </c>
      <c r="B327" s="18" t="str">
        <f t="shared" si="16"/>
        <v>Clip na vrut H0</v>
      </c>
      <c r="C327" s="137">
        <v>199</v>
      </c>
      <c r="M327" s="165" t="s">
        <v>210</v>
      </c>
      <c r="N327" s="166" t="s">
        <v>449</v>
      </c>
      <c r="O327" s="166" t="s">
        <v>514</v>
      </c>
      <c r="P327" s="166" t="s">
        <v>590</v>
      </c>
    </row>
    <row r="328" spans="1:16" s="137" customFormat="1" x14ac:dyDescent="0.3">
      <c r="A328" s="137" t="s">
        <v>146</v>
      </c>
      <c r="B328" s="18" t="str">
        <f t="shared" si="16"/>
        <v>Clip na eurošroub H2</v>
      </c>
      <c r="C328" s="137">
        <v>200</v>
      </c>
      <c r="M328" s="165" t="s">
        <v>214</v>
      </c>
      <c r="N328" s="166" t="s">
        <v>435</v>
      </c>
      <c r="O328" s="166" t="s">
        <v>499</v>
      </c>
      <c r="P328" s="166" t="s">
        <v>575</v>
      </c>
    </row>
    <row r="329" spans="1:16" s="137" customFormat="1" x14ac:dyDescent="0.3">
      <c r="A329" s="137">
        <v>104717</v>
      </c>
      <c r="B329" s="18" t="str">
        <f t="shared" si="16"/>
        <v>Sensys naložený tlumený</v>
      </c>
      <c r="C329" s="137">
        <v>201</v>
      </c>
      <c r="M329" s="165" t="s">
        <v>1035</v>
      </c>
      <c r="N329" s="166" t="s">
        <v>1236</v>
      </c>
      <c r="O329" s="166" t="s">
        <v>1237</v>
      </c>
      <c r="P329" s="166" t="s">
        <v>1238</v>
      </c>
    </row>
    <row r="330" spans="1:16" s="137" customFormat="1" x14ac:dyDescent="0.3">
      <c r="A330" s="137">
        <v>104718</v>
      </c>
      <c r="B330" s="18" t="str">
        <f t="shared" si="16"/>
        <v>Sensys polonaložený tlumený</v>
      </c>
      <c r="C330" s="137">
        <v>202</v>
      </c>
      <c r="M330" s="165" t="s">
        <v>1036</v>
      </c>
      <c r="N330" s="166" t="s">
        <v>1239</v>
      </c>
      <c r="O330" s="166" t="s">
        <v>1240</v>
      </c>
      <c r="P330" s="166" t="s">
        <v>1241</v>
      </c>
    </row>
    <row r="331" spans="1:16" s="137" customFormat="1" x14ac:dyDescent="0.3">
      <c r="A331" s="137">
        <v>104719</v>
      </c>
      <c r="B331" s="18" t="str">
        <f t="shared" si="16"/>
        <v>Sensys vložený tlumený</v>
      </c>
      <c r="C331" s="137">
        <v>203</v>
      </c>
      <c r="M331" s="165" t="s">
        <v>1037</v>
      </c>
      <c r="N331" s="166" t="s">
        <v>1242</v>
      </c>
      <c r="O331" s="166" t="s">
        <v>1243</v>
      </c>
      <c r="P331" s="166" t="s">
        <v>1244</v>
      </c>
    </row>
    <row r="332" spans="1:16" s="137" customFormat="1" x14ac:dyDescent="0.3">
      <c r="A332" s="137">
        <v>104802</v>
      </c>
      <c r="B332" s="18" t="str">
        <f t="shared" si="16"/>
        <v>Sensys příložný tlumený</v>
      </c>
      <c r="C332" s="137">
        <v>204</v>
      </c>
      <c r="M332" s="165" t="s">
        <v>1039</v>
      </c>
      <c r="N332" s="166" t="s">
        <v>1245</v>
      </c>
      <c r="O332" s="166" t="s">
        <v>1246</v>
      </c>
      <c r="P332" s="166" t="s">
        <v>1247</v>
      </c>
    </row>
    <row r="333" spans="1:16" s="137" customFormat="1" x14ac:dyDescent="0.3">
      <c r="A333" s="137">
        <v>232346</v>
      </c>
      <c r="B333" s="18" t="str">
        <f t="shared" si="16"/>
        <v>Sensys naložený netlumený</v>
      </c>
      <c r="C333" s="137">
        <v>205</v>
      </c>
      <c r="M333" s="165" t="s">
        <v>1041</v>
      </c>
      <c r="N333" s="166" t="s">
        <v>1248</v>
      </c>
      <c r="O333" s="166" t="s">
        <v>1249</v>
      </c>
      <c r="P333" s="166" t="s">
        <v>1250</v>
      </c>
    </row>
    <row r="334" spans="1:16" s="137" customFormat="1" x14ac:dyDescent="0.3">
      <c r="A334" s="137">
        <v>104189</v>
      </c>
      <c r="B334" s="18" t="str">
        <f t="shared" si="16"/>
        <v>Intermat naložený</v>
      </c>
      <c r="C334" s="137">
        <v>206</v>
      </c>
      <c r="M334" s="165" t="s">
        <v>1044</v>
      </c>
      <c r="N334" s="166" t="s">
        <v>1044</v>
      </c>
      <c r="O334" s="166" t="s">
        <v>1251</v>
      </c>
      <c r="P334" s="166" t="s">
        <v>1252</v>
      </c>
    </row>
    <row r="335" spans="1:16" s="137" customFormat="1" x14ac:dyDescent="0.3">
      <c r="A335" s="137">
        <v>104257</v>
      </c>
      <c r="B335" s="18" t="str">
        <f t="shared" si="16"/>
        <v>Intermat naložený 125°</v>
      </c>
      <c r="C335" s="137">
        <v>207</v>
      </c>
      <c r="M335" s="165" t="s">
        <v>1045</v>
      </c>
      <c r="N335" s="166" t="s">
        <v>1045</v>
      </c>
      <c r="O335" s="166" t="s">
        <v>1253</v>
      </c>
      <c r="P335" s="166" t="s">
        <v>1254</v>
      </c>
    </row>
    <row r="336" spans="1:16" s="137" customFormat="1" x14ac:dyDescent="0.3">
      <c r="A336" s="137">
        <v>104190</v>
      </c>
      <c r="B336" s="18" t="str">
        <f t="shared" si="16"/>
        <v>Intermat polonaložený</v>
      </c>
      <c r="C336" s="137">
        <v>208</v>
      </c>
      <c r="M336" s="165" t="s">
        <v>1046</v>
      </c>
      <c r="N336" s="166" t="s">
        <v>1046</v>
      </c>
      <c r="O336" s="166" t="s">
        <v>1255</v>
      </c>
      <c r="P336" s="166" t="s">
        <v>1256</v>
      </c>
    </row>
    <row r="337" spans="1:16" s="137" customFormat="1" x14ac:dyDescent="0.3">
      <c r="A337" s="137">
        <v>104191</v>
      </c>
      <c r="B337" s="18" t="str">
        <f t="shared" si="16"/>
        <v>Intermat vložený</v>
      </c>
      <c r="C337" s="137">
        <v>209</v>
      </c>
      <c r="M337" s="165" t="s">
        <v>1047</v>
      </c>
      <c r="N337" s="166" t="s">
        <v>1047</v>
      </c>
      <c r="O337" s="166" t="s">
        <v>1257</v>
      </c>
      <c r="P337" s="166" t="s">
        <v>1258</v>
      </c>
    </row>
    <row r="338" spans="1:16" s="137" customFormat="1" x14ac:dyDescent="0.3">
      <c r="A338" s="137">
        <v>104574</v>
      </c>
      <c r="B338" s="18" t="str">
        <f t="shared" si="16"/>
        <v>Intermat příložný</v>
      </c>
      <c r="C338" s="137">
        <v>210</v>
      </c>
      <c r="M338" s="165" t="s">
        <v>1053</v>
      </c>
      <c r="N338" s="166" t="s">
        <v>1259</v>
      </c>
      <c r="O338" s="166" t="s">
        <v>1260</v>
      </c>
      <c r="P338" s="166" t="s">
        <v>1261</v>
      </c>
    </row>
    <row r="339" spans="1:16" s="137" customFormat="1" x14ac:dyDescent="0.3">
      <c r="A339" s="137">
        <v>300282</v>
      </c>
      <c r="B339" s="18" t="str">
        <f t="shared" si="16"/>
        <v>Sensys naložený bez tlumení</v>
      </c>
      <c r="C339" s="137">
        <v>211</v>
      </c>
      <c r="M339" s="165" t="s">
        <v>1080</v>
      </c>
      <c r="N339" s="166" t="s">
        <v>1262</v>
      </c>
      <c r="O339" s="166" t="s">
        <v>1249</v>
      </c>
      <c r="P339" s="166" t="s">
        <v>1250</v>
      </c>
    </row>
    <row r="340" spans="1:16" s="137" customFormat="1" x14ac:dyDescent="0.3">
      <c r="A340" s="137">
        <v>300284</v>
      </c>
      <c r="B340" s="18" t="str">
        <f t="shared" si="16"/>
        <v>Sensys vložený bez tlumení</v>
      </c>
      <c r="C340" s="137">
        <v>212</v>
      </c>
      <c r="M340" s="165" t="s">
        <v>1081</v>
      </c>
      <c r="N340" s="166" t="s">
        <v>1263</v>
      </c>
      <c r="O340" s="166" t="s">
        <v>1264</v>
      </c>
      <c r="P340" s="166" t="s">
        <v>1265</v>
      </c>
    </row>
    <row r="341" spans="1:16" s="137" customFormat="1" x14ac:dyDescent="0.3">
      <c r="A341" s="137">
        <v>300279</v>
      </c>
      <c r="B341" s="18" t="str">
        <f t="shared" si="16"/>
        <v>Sensys naložený tlumený</v>
      </c>
      <c r="C341" s="137">
        <v>213</v>
      </c>
      <c r="M341" s="165" t="s">
        <v>1035</v>
      </c>
      <c r="N341" s="166" t="s">
        <v>1236</v>
      </c>
      <c r="O341" s="166" t="s">
        <v>1237</v>
      </c>
      <c r="P341" s="166" t="s">
        <v>1238</v>
      </c>
    </row>
    <row r="342" spans="1:16" s="137" customFormat="1" x14ac:dyDescent="0.3">
      <c r="A342" s="137">
        <v>300281</v>
      </c>
      <c r="B342" s="18" t="str">
        <f t="shared" si="16"/>
        <v>Sensys vložený tlumený</v>
      </c>
      <c r="C342" s="137">
        <v>214</v>
      </c>
      <c r="M342" s="165" t="s">
        <v>1037</v>
      </c>
      <c r="N342" s="166" t="s">
        <v>1242</v>
      </c>
      <c r="O342" s="166" t="s">
        <v>1243</v>
      </c>
      <c r="P342" s="166" t="s">
        <v>1244</v>
      </c>
    </row>
    <row r="343" spans="1:16" s="137" customFormat="1" x14ac:dyDescent="0.3">
      <c r="A343" s="137">
        <v>300801</v>
      </c>
      <c r="B343" s="18" t="str">
        <f t="shared" si="16"/>
        <v>Intermat naložený</v>
      </c>
      <c r="C343" s="137">
        <v>215</v>
      </c>
      <c r="M343" s="165" t="s">
        <v>1044</v>
      </c>
      <c r="N343" s="166" t="s">
        <v>1044</v>
      </c>
      <c r="O343" s="166" t="s">
        <v>1251</v>
      </c>
      <c r="P343" s="166" t="s">
        <v>1252</v>
      </c>
    </row>
    <row r="344" spans="1:16" s="137" customFormat="1" x14ac:dyDescent="0.3">
      <c r="A344" s="137">
        <v>300803</v>
      </c>
      <c r="B344" s="18" t="str">
        <f t="shared" si="16"/>
        <v>Intermat vložený</v>
      </c>
      <c r="C344" s="137">
        <v>216</v>
      </c>
      <c r="M344" s="165" t="s">
        <v>1047</v>
      </c>
      <c r="N344" s="166" t="s">
        <v>1047</v>
      </c>
      <c r="O344" s="166" t="s">
        <v>1257</v>
      </c>
      <c r="P344" s="166" t="s">
        <v>1258</v>
      </c>
    </row>
    <row r="345" spans="1:16" s="137" customFormat="1" x14ac:dyDescent="0.3">
      <c r="A345" s="137">
        <v>106403</v>
      </c>
      <c r="B345" s="18" t="str">
        <f t="shared" si="16"/>
        <v>podložka na vrut</v>
      </c>
      <c r="C345" s="137">
        <v>217</v>
      </c>
      <c r="M345" s="165" t="s">
        <v>1192</v>
      </c>
      <c r="N345" s="166" t="s">
        <v>1192</v>
      </c>
      <c r="O345" s="166" t="s">
        <v>1266</v>
      </c>
      <c r="P345" s="166" t="s">
        <v>1267</v>
      </c>
    </row>
    <row r="346" spans="1:16" s="137" customFormat="1" x14ac:dyDescent="0.3">
      <c r="A346" s="137">
        <v>119240</v>
      </c>
      <c r="B346" s="18" t="str">
        <f t="shared" si="16"/>
        <v>podložka na Eurovrut</v>
      </c>
      <c r="C346" s="137">
        <v>218</v>
      </c>
      <c r="M346" s="165" t="s">
        <v>1060</v>
      </c>
      <c r="N346" s="166" t="s">
        <v>1060</v>
      </c>
      <c r="O346" s="166" t="s">
        <v>1268</v>
      </c>
      <c r="P346" s="166" t="s">
        <v>1269</v>
      </c>
    </row>
    <row r="347" spans="1:16" s="137" customFormat="1" x14ac:dyDescent="0.3">
      <c r="A347" s="137">
        <v>136276</v>
      </c>
      <c r="B347" s="18" t="str">
        <f t="shared" si="16"/>
        <v>podložka na rozpěrnou hmoždinku</v>
      </c>
      <c r="C347" s="137">
        <v>219</v>
      </c>
      <c r="M347" s="165" t="s">
        <v>1061</v>
      </c>
      <c r="N347" s="166" t="s">
        <v>1270</v>
      </c>
      <c r="O347" s="166" t="s">
        <v>1271</v>
      </c>
      <c r="P347" s="166" t="s">
        <v>1272</v>
      </c>
    </row>
    <row r="348" spans="1:16" s="137" customFormat="1" x14ac:dyDescent="0.3">
      <c r="A348" s="137">
        <v>12002</v>
      </c>
      <c r="B348" s="18" t="str">
        <f t="shared" si="16"/>
        <v>naložený clip</v>
      </c>
      <c r="C348" s="137">
        <v>220</v>
      </c>
      <c r="M348" s="165" t="s">
        <v>1193</v>
      </c>
      <c r="N348" s="166" t="s">
        <v>121</v>
      </c>
      <c r="O348" s="166" t="s">
        <v>488</v>
      </c>
      <c r="P348" s="166" t="s">
        <v>564</v>
      </c>
    </row>
    <row r="349" spans="1:16" s="137" customFormat="1" x14ac:dyDescent="0.3">
      <c r="A349" s="137">
        <v>12005</v>
      </c>
      <c r="B349" s="18" t="str">
        <f t="shared" si="16"/>
        <v>polonaložený clip</v>
      </c>
      <c r="C349" s="137">
        <v>221</v>
      </c>
      <c r="M349" s="165" t="s">
        <v>1194</v>
      </c>
      <c r="N349" s="166" t="s">
        <v>122</v>
      </c>
      <c r="O349" s="166" t="s">
        <v>489</v>
      </c>
      <c r="P349" s="166" t="s">
        <v>565</v>
      </c>
    </row>
    <row r="350" spans="1:16" s="137" customFormat="1" x14ac:dyDescent="0.3">
      <c r="A350" s="137">
        <v>12008</v>
      </c>
      <c r="B350" s="18" t="str">
        <f t="shared" si="16"/>
        <v>Vložený clip</v>
      </c>
      <c r="C350" s="137">
        <v>222</v>
      </c>
      <c r="M350" s="165" t="s">
        <v>123</v>
      </c>
      <c r="N350" s="166" t="s">
        <v>123</v>
      </c>
      <c r="O350" s="166" t="s">
        <v>490</v>
      </c>
      <c r="P350" s="166" t="s">
        <v>566</v>
      </c>
    </row>
    <row r="351" spans="1:16" s="137" customFormat="1" x14ac:dyDescent="0.3">
      <c r="A351" s="137">
        <v>12047</v>
      </c>
      <c r="B351" s="18" t="str">
        <f t="shared" si="16"/>
        <v>naložený s tlumením clip 110°</v>
      </c>
      <c r="C351" s="137">
        <v>223</v>
      </c>
      <c r="M351" s="165" t="s">
        <v>1065</v>
      </c>
      <c r="N351" s="166" t="s">
        <v>1273</v>
      </c>
      <c r="O351" s="166" t="s">
        <v>1274</v>
      </c>
      <c r="P351" s="166" t="s">
        <v>1568</v>
      </c>
    </row>
    <row r="352" spans="1:16" s="137" customFormat="1" x14ac:dyDescent="0.3">
      <c r="A352" s="137">
        <v>12048</v>
      </c>
      <c r="B352" s="18" t="str">
        <f t="shared" si="16"/>
        <v>polonaložený s tlumením clip 110°</v>
      </c>
      <c r="C352" s="137">
        <v>224</v>
      </c>
      <c r="M352" s="165" t="s">
        <v>1066</v>
      </c>
      <c r="N352" s="166" t="s">
        <v>1275</v>
      </c>
      <c r="O352" s="166" t="s">
        <v>1276</v>
      </c>
      <c r="P352" s="166" t="s">
        <v>1569</v>
      </c>
    </row>
    <row r="353" spans="1:16" s="137" customFormat="1" x14ac:dyDescent="0.3">
      <c r="A353" s="137">
        <v>12049</v>
      </c>
      <c r="B353" s="18" t="str">
        <f t="shared" si="16"/>
        <v>vložený s tlumením clip 110°</v>
      </c>
      <c r="C353" s="137">
        <v>225</v>
      </c>
      <c r="M353" s="165" t="s">
        <v>1067</v>
      </c>
      <c r="N353" s="166" t="s">
        <v>1277</v>
      </c>
      <c r="O353" s="166" t="s">
        <v>1278</v>
      </c>
      <c r="P353" s="166" t="s">
        <v>1593</v>
      </c>
    </row>
    <row r="354" spans="1:16" s="137" customFormat="1" x14ac:dyDescent="0.3">
      <c r="A354" s="137">
        <v>12052</v>
      </c>
      <c r="B354" s="18" t="str">
        <f t="shared" si="16"/>
        <v>naložený bez tlumení clip 110°</v>
      </c>
      <c r="C354" s="137">
        <v>226</v>
      </c>
      <c r="M354" s="165" t="s">
        <v>1068</v>
      </c>
      <c r="N354" s="166" t="s">
        <v>1279</v>
      </c>
      <c r="O354" s="166" t="s">
        <v>1280</v>
      </c>
      <c r="P354" s="166" t="s">
        <v>1570</v>
      </c>
    </row>
    <row r="355" spans="1:16" s="137" customFormat="1" x14ac:dyDescent="0.3">
      <c r="A355" s="137">
        <v>12053</v>
      </c>
      <c r="B355" s="18" t="str">
        <f t="shared" si="16"/>
        <v>polonaložený bez tlumení clip 110°</v>
      </c>
      <c r="C355" s="137">
        <v>227</v>
      </c>
      <c r="M355" s="165" t="s">
        <v>1069</v>
      </c>
      <c r="N355" s="166" t="s">
        <v>1281</v>
      </c>
      <c r="O355" s="166" t="s">
        <v>1282</v>
      </c>
      <c r="P355" s="166" t="s">
        <v>1571</v>
      </c>
    </row>
    <row r="356" spans="1:16" s="137" customFormat="1" x14ac:dyDescent="0.3">
      <c r="A356" s="137">
        <v>12059</v>
      </c>
      <c r="B356" s="18" t="str">
        <f t="shared" si="16"/>
        <v>vložený bez tlumení clip 110°</v>
      </c>
      <c r="C356" s="137">
        <v>228</v>
      </c>
      <c r="M356" s="165" t="s">
        <v>1070</v>
      </c>
      <c r="N356" s="166" t="s">
        <v>1283</v>
      </c>
      <c r="O356" s="166" t="s">
        <v>1284</v>
      </c>
      <c r="P356" s="166" t="s">
        <v>1594</v>
      </c>
    </row>
    <row r="357" spans="1:16" s="137" customFormat="1" x14ac:dyDescent="0.3">
      <c r="A357" s="137">
        <v>226668</v>
      </c>
      <c r="B357" s="18" t="str">
        <f t="shared" si="16"/>
        <v>naložený TIP-ON clip 110°</v>
      </c>
      <c r="C357" s="137">
        <v>229</v>
      </c>
      <c r="M357" s="165" t="s">
        <v>1071</v>
      </c>
      <c r="N357" s="166" t="s">
        <v>1071</v>
      </c>
      <c r="O357" s="166" t="s">
        <v>1285</v>
      </c>
      <c r="P357" s="166" t="s">
        <v>1572</v>
      </c>
    </row>
    <row r="358" spans="1:16" s="137" customFormat="1" x14ac:dyDescent="0.3">
      <c r="A358" s="137">
        <v>226670</v>
      </c>
      <c r="B358" s="18" t="str">
        <f t="shared" si="16"/>
        <v>polonaložený TIP-ON clip 110°</v>
      </c>
      <c r="C358" s="137">
        <v>230</v>
      </c>
      <c r="M358" s="165" t="s">
        <v>1072</v>
      </c>
      <c r="N358" s="166" t="s">
        <v>1072</v>
      </c>
      <c r="O358" s="166" t="s">
        <v>1286</v>
      </c>
      <c r="P358" s="166" t="s">
        <v>1573</v>
      </c>
    </row>
    <row r="359" spans="1:16" s="137" customFormat="1" x14ac:dyDescent="0.3">
      <c r="A359" s="137">
        <v>226671</v>
      </c>
      <c r="B359" s="18" t="str">
        <f t="shared" si="16"/>
        <v>vložený TIP-ON clip 110°</v>
      </c>
      <c r="C359" s="137">
        <v>231</v>
      </c>
      <c r="M359" s="165" t="s">
        <v>1073</v>
      </c>
      <c r="N359" s="166" t="s">
        <v>1073</v>
      </c>
      <c r="O359" s="166" t="s">
        <v>1287</v>
      </c>
      <c r="P359" s="166" t="s">
        <v>1595</v>
      </c>
    </row>
    <row r="360" spans="1:16" s="137" customFormat="1" x14ac:dyDescent="0.3">
      <c r="A360" s="137">
        <v>12106</v>
      </c>
      <c r="B360" s="18" t="str">
        <f t="shared" si="16"/>
        <v>naložený clip</v>
      </c>
      <c r="C360" s="137">
        <v>232</v>
      </c>
      <c r="M360" s="165" t="s">
        <v>1193</v>
      </c>
      <c r="N360" s="166" t="s">
        <v>121</v>
      </c>
      <c r="O360" s="166" t="s">
        <v>488</v>
      </c>
      <c r="P360" s="166" t="s">
        <v>564</v>
      </c>
    </row>
    <row r="361" spans="1:16" s="137" customFormat="1" x14ac:dyDescent="0.3">
      <c r="A361" s="137">
        <v>12107</v>
      </c>
      <c r="B361" s="18" t="str">
        <f t="shared" si="16"/>
        <v>polonaložený clip</v>
      </c>
      <c r="C361" s="137">
        <v>233</v>
      </c>
      <c r="M361" s="165" t="s">
        <v>1194</v>
      </c>
      <c r="N361" s="166" t="s">
        <v>122</v>
      </c>
      <c r="O361" s="166" t="s">
        <v>489</v>
      </c>
      <c r="P361" s="166" t="s">
        <v>565</v>
      </c>
    </row>
    <row r="362" spans="1:16" s="137" customFormat="1" x14ac:dyDescent="0.3">
      <c r="A362" s="137">
        <v>12108</v>
      </c>
      <c r="B362" s="18" t="str">
        <f t="shared" si="16"/>
        <v>Vložený clip</v>
      </c>
      <c r="C362" s="137">
        <v>234</v>
      </c>
      <c r="M362" s="165" t="s">
        <v>123</v>
      </c>
      <c r="N362" s="166" t="s">
        <v>123</v>
      </c>
      <c r="O362" s="166" t="s">
        <v>490</v>
      </c>
      <c r="P362" s="166" t="s">
        <v>566</v>
      </c>
    </row>
    <row r="363" spans="1:16" s="137" customFormat="1" x14ac:dyDescent="0.3">
      <c r="A363" s="137">
        <v>118033</v>
      </c>
      <c r="B363" s="18" t="str">
        <f t="shared" si="16"/>
        <v>naložený s tlumením clip 95°</v>
      </c>
      <c r="C363" s="137">
        <v>235</v>
      </c>
      <c r="M363" s="165" t="s">
        <v>1075</v>
      </c>
      <c r="N363" s="166" t="s">
        <v>1288</v>
      </c>
      <c r="O363" s="166" t="s">
        <v>1289</v>
      </c>
      <c r="P363" s="166" t="s">
        <v>1574</v>
      </c>
    </row>
    <row r="364" spans="1:16" s="137" customFormat="1" x14ac:dyDescent="0.3">
      <c r="A364" s="137">
        <v>118120</v>
      </c>
      <c r="B364" s="18" t="str">
        <f t="shared" si="16"/>
        <v>polonaložený s tlumením clip 95°</v>
      </c>
      <c r="C364" s="137">
        <v>236</v>
      </c>
      <c r="M364" s="165" t="s">
        <v>1076</v>
      </c>
      <c r="N364" s="166" t="s">
        <v>1290</v>
      </c>
      <c r="O364" s="166" t="s">
        <v>1291</v>
      </c>
      <c r="P364" s="166" t="s">
        <v>1575</v>
      </c>
    </row>
    <row r="365" spans="1:16" s="137" customFormat="1" x14ac:dyDescent="0.3">
      <c r="A365" s="137">
        <v>118121</v>
      </c>
      <c r="B365" s="18" t="str">
        <f t="shared" si="16"/>
        <v>vložený s tlumením clip 95°</v>
      </c>
      <c r="C365" s="137">
        <v>237</v>
      </c>
      <c r="M365" s="165" t="s">
        <v>1077</v>
      </c>
      <c r="N365" s="166" t="s">
        <v>1292</v>
      </c>
      <c r="O365" s="166" t="s">
        <v>1293</v>
      </c>
      <c r="P365" s="166" t="s">
        <v>1596</v>
      </c>
    </row>
    <row r="366" spans="1:16" s="137" customFormat="1" x14ac:dyDescent="0.3">
      <c r="A366" s="137">
        <v>12109</v>
      </c>
      <c r="B366" s="18" t="str">
        <f t="shared" si="16"/>
        <v>naložený TIP-ON clip 95°</v>
      </c>
      <c r="C366" s="137">
        <v>238</v>
      </c>
      <c r="M366" s="165" t="s">
        <v>1078</v>
      </c>
      <c r="N366" s="166" t="s">
        <v>1078</v>
      </c>
      <c r="O366" s="166" t="s">
        <v>1294</v>
      </c>
      <c r="P366" s="166" t="s">
        <v>1576</v>
      </c>
    </row>
    <row r="367" spans="1:16" s="137" customFormat="1" x14ac:dyDescent="0.3">
      <c r="A367" s="137">
        <v>13764</v>
      </c>
      <c r="B367" s="18" t="str">
        <f t="shared" si="16"/>
        <v>naložený TIP-ON clip 120°</v>
      </c>
      <c r="C367" s="137">
        <v>239</v>
      </c>
      <c r="M367" s="165" t="s">
        <v>1079</v>
      </c>
      <c r="N367" s="166" t="s">
        <v>1079</v>
      </c>
      <c r="O367" s="166" t="s">
        <v>1295</v>
      </c>
      <c r="P367" s="166" t="s">
        <v>1577</v>
      </c>
    </row>
    <row r="368" spans="1:16" s="137" customFormat="1" x14ac:dyDescent="0.3">
      <c r="A368" s="137">
        <v>12318</v>
      </c>
      <c r="B368" s="18" t="str">
        <f t="shared" si="16"/>
        <v>Clip na eurošroub</v>
      </c>
      <c r="C368" s="137">
        <v>240</v>
      </c>
      <c r="M368" s="165" t="s">
        <v>208</v>
      </c>
      <c r="N368" s="166" t="s">
        <v>444</v>
      </c>
      <c r="O368" s="166" t="s">
        <v>510</v>
      </c>
      <c r="P368" s="166" t="s">
        <v>586</v>
      </c>
    </row>
    <row r="369" spans="1:16" s="137" customFormat="1" x14ac:dyDescent="0.3">
      <c r="A369" s="137">
        <v>12306</v>
      </c>
      <c r="B369" s="18" t="str">
        <f t="shared" si="16"/>
        <v>Clip na vrut</v>
      </c>
      <c r="C369" s="137">
        <v>241</v>
      </c>
      <c r="M369" s="165" t="s">
        <v>207</v>
      </c>
      <c r="N369" s="166" t="s">
        <v>445</v>
      </c>
      <c r="O369" s="166" t="s">
        <v>511</v>
      </c>
      <c r="P369" s="166" t="s">
        <v>587</v>
      </c>
    </row>
    <row r="370" spans="1:16" s="137" customFormat="1" x14ac:dyDescent="0.3">
      <c r="A370" s="137">
        <v>12319</v>
      </c>
      <c r="B370" s="18" t="str">
        <f t="shared" si="16"/>
        <v xml:space="preserve">Zvýšená o 6 mm </v>
      </c>
      <c r="C370" s="137">
        <v>242</v>
      </c>
      <c r="M370" s="165" t="s">
        <v>209</v>
      </c>
      <c r="N370" s="166" t="s">
        <v>446</v>
      </c>
      <c r="O370" s="166" t="s">
        <v>512</v>
      </c>
      <c r="P370" s="166" t="s">
        <v>588</v>
      </c>
    </row>
    <row r="371" spans="1:16" s="137" customFormat="1" x14ac:dyDescent="0.3">
      <c r="A371" s="137">
        <v>92580</v>
      </c>
      <c r="B371" s="18" t="str">
        <f t="shared" si="16"/>
        <v>naložený k nasunutí</v>
      </c>
      <c r="C371" s="137">
        <v>243</v>
      </c>
      <c r="M371" s="137" t="s">
        <v>1170</v>
      </c>
      <c r="N371" s="166" t="s">
        <v>1296</v>
      </c>
      <c r="O371" s="166" t="s">
        <v>1297</v>
      </c>
      <c r="P371" s="166" t="s">
        <v>1298</v>
      </c>
    </row>
    <row r="372" spans="1:16" s="137" customFormat="1" x14ac:dyDescent="0.3">
      <c r="A372" s="137">
        <v>92582</v>
      </c>
      <c r="B372" s="18" t="str">
        <f t="shared" si="16"/>
        <v>polonaložený k nasunutí</v>
      </c>
      <c r="C372" s="137">
        <v>244</v>
      </c>
      <c r="M372" s="137" t="s">
        <v>1171</v>
      </c>
      <c r="N372" s="166" t="s">
        <v>1299</v>
      </c>
      <c r="O372" s="166" t="s">
        <v>1300</v>
      </c>
      <c r="P372" s="166" t="s">
        <v>1301</v>
      </c>
    </row>
    <row r="373" spans="1:16" s="137" customFormat="1" x14ac:dyDescent="0.3">
      <c r="A373" s="137">
        <v>92583</v>
      </c>
      <c r="B373" s="18" t="str">
        <f t="shared" si="16"/>
        <v>vložený k nasunutí</v>
      </c>
      <c r="C373" s="137">
        <v>245</v>
      </c>
      <c r="M373" s="166" t="s">
        <v>1172</v>
      </c>
      <c r="N373" s="166" t="s">
        <v>1302</v>
      </c>
      <c r="O373" s="166" t="s">
        <v>1303</v>
      </c>
      <c r="P373" s="166" t="s">
        <v>1304</v>
      </c>
    </row>
    <row r="374" spans="1:16" s="137" customFormat="1" x14ac:dyDescent="0.3">
      <c r="A374" s="137" t="s">
        <v>1086</v>
      </c>
      <c r="B374" s="18" t="str">
        <f t="shared" si="16"/>
        <v>STRONG 30N bílý Automatický</v>
      </c>
      <c r="C374" s="137">
        <v>246</v>
      </c>
      <c r="M374" s="166" t="s">
        <v>1087</v>
      </c>
      <c r="N374" s="166" t="s">
        <v>1305</v>
      </c>
      <c r="O374" s="166" t="s">
        <v>1306</v>
      </c>
      <c r="P374" s="166" t="s">
        <v>1307</v>
      </c>
    </row>
    <row r="375" spans="1:16" s="137" customFormat="1" x14ac:dyDescent="0.3">
      <c r="A375" s="137" t="s">
        <v>1088</v>
      </c>
      <c r="B375" s="18" t="str">
        <f t="shared" si="16"/>
        <v>STRONG 60N bílý Automatický</v>
      </c>
      <c r="C375" s="137">
        <v>247</v>
      </c>
      <c r="M375" s="166" t="s">
        <v>1089</v>
      </c>
      <c r="N375" s="166" t="s">
        <v>1308</v>
      </c>
      <c r="O375" s="166" t="s">
        <v>1309</v>
      </c>
      <c r="P375" s="166" t="s">
        <v>1310</v>
      </c>
    </row>
    <row r="376" spans="1:16" s="137" customFormat="1" x14ac:dyDescent="0.3">
      <c r="A376" s="137" t="s">
        <v>1090</v>
      </c>
      <c r="B376" s="18" t="str">
        <f t="shared" si="16"/>
        <v>STRONG 80N bílý Automatický</v>
      </c>
      <c r="C376" s="137">
        <v>248</v>
      </c>
      <c r="M376" s="166" t="s">
        <v>1091</v>
      </c>
      <c r="N376" s="166" t="s">
        <v>1311</v>
      </c>
      <c r="O376" s="166" t="s">
        <v>1312</v>
      </c>
      <c r="P376" s="166" t="s">
        <v>1313</v>
      </c>
    </row>
    <row r="377" spans="1:16" s="137" customFormat="1" x14ac:dyDescent="0.3">
      <c r="A377" s="137" t="s">
        <v>1092</v>
      </c>
      <c r="B377" s="18" t="str">
        <f t="shared" si="16"/>
        <v>STRONG 100N bílý Automatický</v>
      </c>
      <c r="C377" s="137">
        <v>249</v>
      </c>
      <c r="M377" s="166" t="s">
        <v>1093</v>
      </c>
      <c r="N377" s="166" t="s">
        <v>1314</v>
      </c>
      <c r="O377" s="166" t="s">
        <v>1315</v>
      </c>
      <c r="P377" s="166" t="s">
        <v>1316</v>
      </c>
    </row>
    <row r="378" spans="1:16" s="137" customFormat="1" x14ac:dyDescent="0.3">
      <c r="A378" s="137" t="s">
        <v>1094</v>
      </c>
      <c r="B378" s="18" t="str">
        <f t="shared" si="16"/>
        <v>STRONG 120N bílý Automatický</v>
      </c>
      <c r="C378" s="137">
        <v>250</v>
      </c>
      <c r="M378" s="166" t="s">
        <v>1095</v>
      </c>
      <c r="N378" s="166" t="s">
        <v>1317</v>
      </c>
      <c r="O378" s="166" t="s">
        <v>1318</v>
      </c>
      <c r="P378" s="166" t="s">
        <v>1319</v>
      </c>
    </row>
    <row r="379" spans="1:16" s="137" customFormat="1" x14ac:dyDescent="0.3">
      <c r="A379" s="137" t="s">
        <v>1096</v>
      </c>
      <c r="B379" s="18" t="str">
        <f t="shared" si="16"/>
        <v>STRONG 60N bílý Polohovací</v>
      </c>
      <c r="C379" s="137">
        <v>251</v>
      </c>
      <c r="M379" s="166" t="s">
        <v>1097</v>
      </c>
      <c r="N379" s="166" t="s">
        <v>1320</v>
      </c>
      <c r="O379" s="166" t="s">
        <v>1321</v>
      </c>
      <c r="P379" s="166" t="s">
        <v>1322</v>
      </c>
    </row>
    <row r="380" spans="1:16" s="137" customFormat="1" x14ac:dyDescent="0.3">
      <c r="A380" s="137" t="s">
        <v>1098</v>
      </c>
      <c r="B380" s="18" t="str">
        <f t="shared" si="16"/>
        <v>STRONG 80N bílý Polohovací</v>
      </c>
      <c r="C380" s="137">
        <v>252</v>
      </c>
      <c r="M380" s="166" t="s">
        <v>1099</v>
      </c>
      <c r="N380" s="166" t="s">
        <v>1323</v>
      </c>
      <c r="O380" s="166" t="s">
        <v>1324</v>
      </c>
      <c r="P380" s="166" t="s">
        <v>1325</v>
      </c>
    </row>
    <row r="381" spans="1:16" s="137" customFormat="1" x14ac:dyDescent="0.3">
      <c r="A381" s="137" t="s">
        <v>1100</v>
      </c>
      <c r="B381" s="18" t="str">
        <f t="shared" si="16"/>
        <v>STRONG 100N bílý Polohovací</v>
      </c>
      <c r="C381" s="137">
        <v>253</v>
      </c>
      <c r="M381" s="166" t="s">
        <v>1101</v>
      </c>
      <c r="N381" s="166" t="s">
        <v>1326</v>
      </c>
      <c r="O381" s="166" t="s">
        <v>1327</v>
      </c>
      <c r="P381" s="166" t="s">
        <v>1328</v>
      </c>
    </row>
    <row r="382" spans="1:16" s="137" customFormat="1" x14ac:dyDescent="0.3">
      <c r="A382" s="137" t="s">
        <v>1102</v>
      </c>
      <c r="B382" s="18" t="str">
        <f t="shared" si="16"/>
        <v>STRONG 120N bílý Polohovací</v>
      </c>
      <c r="C382" s="137">
        <v>254</v>
      </c>
      <c r="M382" s="166" t="s">
        <v>1103</v>
      </c>
      <c r="N382" s="166" t="s">
        <v>1329</v>
      </c>
      <c r="O382" s="166" t="s">
        <v>1330</v>
      </c>
      <c r="P382" s="166" t="s">
        <v>1331</v>
      </c>
    </row>
    <row r="383" spans="1:16" s="137" customFormat="1" x14ac:dyDescent="0.3">
      <c r="A383" s="137" t="s">
        <v>1104</v>
      </c>
      <c r="B383" s="18" t="str">
        <f t="shared" si="16"/>
        <v>STRONG 30N šedý Automatický</v>
      </c>
      <c r="C383" s="137">
        <v>255</v>
      </c>
      <c r="M383" s="166" t="s">
        <v>1105</v>
      </c>
      <c r="N383" s="166" t="s">
        <v>1105</v>
      </c>
      <c r="O383" s="166" t="s">
        <v>1332</v>
      </c>
      <c r="P383" s="166" t="s">
        <v>1333</v>
      </c>
    </row>
    <row r="384" spans="1:16" s="137" customFormat="1" x14ac:dyDescent="0.3">
      <c r="A384" s="137" t="s">
        <v>1106</v>
      </c>
      <c r="B384" s="18" t="str">
        <f t="shared" si="16"/>
        <v>STRONG 60N šedý Automatický</v>
      </c>
      <c r="C384" s="137">
        <v>256</v>
      </c>
      <c r="M384" s="166" t="s">
        <v>1107</v>
      </c>
      <c r="N384" s="166" t="s">
        <v>1107</v>
      </c>
      <c r="O384" s="166" t="s">
        <v>1334</v>
      </c>
      <c r="P384" s="166" t="s">
        <v>1335</v>
      </c>
    </row>
    <row r="385" spans="1:16" s="137" customFormat="1" x14ac:dyDescent="0.3">
      <c r="A385" s="137" t="s">
        <v>1108</v>
      </c>
      <c r="B385" s="18" t="str">
        <f t="shared" si="16"/>
        <v>STRONG 80N šedý Automatický</v>
      </c>
      <c r="C385" s="137">
        <v>257</v>
      </c>
      <c r="M385" s="166" t="s">
        <v>1109</v>
      </c>
      <c r="N385" s="166" t="s">
        <v>1109</v>
      </c>
      <c r="O385" s="166" t="s">
        <v>1336</v>
      </c>
      <c r="P385" s="166" t="s">
        <v>1337</v>
      </c>
    </row>
    <row r="386" spans="1:16" s="137" customFormat="1" x14ac:dyDescent="0.3">
      <c r="A386" s="137" t="s">
        <v>1110</v>
      </c>
      <c r="B386" s="18" t="str">
        <f t="shared" si="16"/>
        <v>STRONG 100N šedý Automatický</v>
      </c>
      <c r="C386" s="137">
        <v>258</v>
      </c>
      <c r="M386" s="166" t="s">
        <v>1111</v>
      </c>
      <c r="N386" s="166" t="s">
        <v>1111</v>
      </c>
      <c r="O386" s="166" t="s">
        <v>1338</v>
      </c>
      <c r="P386" s="166" t="s">
        <v>1339</v>
      </c>
    </row>
    <row r="387" spans="1:16" s="137" customFormat="1" x14ac:dyDescent="0.3">
      <c r="A387" s="137" t="s">
        <v>1112</v>
      </c>
      <c r="B387" s="18" t="str">
        <f t="shared" si="16"/>
        <v>STRONG 120N šedý Automatický</v>
      </c>
      <c r="C387" s="137">
        <v>259</v>
      </c>
      <c r="M387" s="166" t="s">
        <v>1113</v>
      </c>
      <c r="N387" s="166" t="s">
        <v>1113</v>
      </c>
      <c r="O387" s="166" t="s">
        <v>1340</v>
      </c>
      <c r="P387" s="166" t="s">
        <v>1341</v>
      </c>
    </row>
    <row r="388" spans="1:16" s="137" customFormat="1" x14ac:dyDescent="0.3">
      <c r="A388" s="137" t="s">
        <v>1114</v>
      </c>
      <c r="B388" s="18" t="str">
        <f t="shared" si="16"/>
        <v>STRONG 60N šedý Polohovací</v>
      </c>
      <c r="C388" s="137">
        <v>260</v>
      </c>
      <c r="M388" s="166" t="s">
        <v>1115</v>
      </c>
      <c r="N388" s="166" t="s">
        <v>1115</v>
      </c>
      <c r="O388" s="166" t="s">
        <v>1342</v>
      </c>
      <c r="P388" s="166" t="s">
        <v>1343</v>
      </c>
    </row>
    <row r="389" spans="1:16" s="137" customFormat="1" x14ac:dyDescent="0.3">
      <c r="A389" s="137" t="s">
        <v>1116</v>
      </c>
      <c r="B389" s="18" t="str">
        <f t="shared" ref="B389:B452" si="17">IF($D$1=1,M389,IF($D$1=2,N389,IF($D$1=3,O389,IF($D$1=4,P389,0))))</f>
        <v>STRONG 80N šedý Polohovací</v>
      </c>
      <c r="C389" s="137">
        <v>261</v>
      </c>
      <c r="M389" s="166" t="s">
        <v>1117</v>
      </c>
      <c r="N389" s="166" t="s">
        <v>1117</v>
      </c>
      <c r="O389" s="166" t="s">
        <v>1344</v>
      </c>
      <c r="P389" s="166" t="s">
        <v>1345</v>
      </c>
    </row>
    <row r="390" spans="1:16" s="137" customFormat="1" x14ac:dyDescent="0.3">
      <c r="A390" s="137" t="s">
        <v>1118</v>
      </c>
      <c r="B390" s="18" t="str">
        <f t="shared" si="17"/>
        <v>STRONG 100N šedý Polohovací</v>
      </c>
      <c r="C390" s="137">
        <v>262</v>
      </c>
      <c r="M390" s="166" t="s">
        <v>1119</v>
      </c>
      <c r="N390" s="166" t="s">
        <v>1119</v>
      </c>
      <c r="O390" s="166" t="s">
        <v>1346</v>
      </c>
      <c r="P390" s="166" t="s">
        <v>1347</v>
      </c>
    </row>
    <row r="391" spans="1:16" s="137" customFormat="1" x14ac:dyDescent="0.3">
      <c r="A391" s="137" t="s">
        <v>1120</v>
      </c>
      <c r="B391" s="18" t="str">
        <f t="shared" si="17"/>
        <v>STRONG 120N šedý Polohovací</v>
      </c>
      <c r="C391" s="137">
        <v>263</v>
      </c>
      <c r="M391" s="166" t="s">
        <v>1121</v>
      </c>
      <c r="N391" s="166" t="s">
        <v>1121</v>
      </c>
      <c r="O391" s="166" t="s">
        <v>1348</v>
      </c>
      <c r="P391" s="166" t="s">
        <v>1349</v>
      </c>
    </row>
    <row r="392" spans="1:16" s="137" customFormat="1" x14ac:dyDescent="0.3">
      <c r="A392" s="137" t="s">
        <v>1122</v>
      </c>
      <c r="B392" s="18" t="str">
        <f t="shared" si="17"/>
        <v>HUWIL DUO</v>
      </c>
      <c r="C392" s="137">
        <v>264</v>
      </c>
      <c r="M392" s="137" t="s">
        <v>1123</v>
      </c>
      <c r="N392" s="137" t="s">
        <v>1123</v>
      </c>
      <c r="O392" s="137" t="s">
        <v>1123</v>
      </c>
      <c r="P392" s="137" t="s">
        <v>1123</v>
      </c>
    </row>
    <row r="393" spans="1:16" s="137" customFormat="1" x14ac:dyDescent="0.3">
      <c r="A393" s="137" t="s">
        <v>1124</v>
      </c>
      <c r="B393" s="18" t="str">
        <f t="shared" si="17"/>
        <v>HUWIL DUO FORTE</v>
      </c>
      <c r="C393" s="137">
        <v>265</v>
      </c>
      <c r="M393" s="137" t="s">
        <v>1125</v>
      </c>
      <c r="N393" s="137" t="s">
        <v>1125</v>
      </c>
      <c r="O393" s="137" t="s">
        <v>1125</v>
      </c>
      <c r="P393" s="137" t="s">
        <v>1125</v>
      </c>
    </row>
    <row r="394" spans="1:16" s="137" customFormat="1" x14ac:dyDescent="0.3">
      <c r="A394" s="137" t="s">
        <v>1126</v>
      </c>
      <c r="B394" s="18" t="str">
        <f t="shared" si="17"/>
        <v>HUWILIFT MAXI</v>
      </c>
      <c r="C394" s="137">
        <v>266</v>
      </c>
      <c r="M394" s="137" t="s">
        <v>1127</v>
      </c>
      <c r="N394" s="137" t="s">
        <v>1127</v>
      </c>
      <c r="O394" s="137" t="s">
        <v>1127</v>
      </c>
      <c r="P394" s="137" t="s">
        <v>1127</v>
      </c>
    </row>
    <row r="395" spans="1:16" s="137" customFormat="1" x14ac:dyDescent="0.3">
      <c r="A395" s="137" t="s">
        <v>1128</v>
      </c>
      <c r="B395" s="18" t="str">
        <f t="shared" si="17"/>
        <v>KRABY 164 45N</v>
      </c>
      <c r="C395" s="137">
        <v>267</v>
      </c>
      <c r="M395" s="137" t="s">
        <v>756</v>
      </c>
      <c r="N395" s="137" t="s">
        <v>756</v>
      </c>
      <c r="O395" s="137" t="s">
        <v>756</v>
      </c>
      <c r="P395" s="137" t="s">
        <v>756</v>
      </c>
    </row>
    <row r="396" spans="1:16" s="137" customFormat="1" x14ac:dyDescent="0.3">
      <c r="A396" s="137" t="s">
        <v>1129</v>
      </c>
      <c r="B396" s="18" t="str">
        <f t="shared" si="17"/>
        <v>KRABY 164 60N</v>
      </c>
      <c r="C396" s="137">
        <v>268</v>
      </c>
      <c r="M396" s="137" t="s">
        <v>757</v>
      </c>
      <c r="N396" s="137" t="s">
        <v>757</v>
      </c>
      <c r="O396" s="137" t="s">
        <v>757</v>
      </c>
      <c r="P396" s="137" t="s">
        <v>757</v>
      </c>
    </row>
    <row r="397" spans="1:16" s="137" customFormat="1" x14ac:dyDescent="0.3">
      <c r="A397" s="137" t="s">
        <v>1130</v>
      </c>
      <c r="B397" s="18" t="str">
        <f t="shared" si="17"/>
        <v>KRABY 244 45N</v>
      </c>
      <c r="C397" s="137">
        <v>269</v>
      </c>
      <c r="M397" s="137" t="s">
        <v>758</v>
      </c>
      <c r="N397" s="137" t="s">
        <v>758</v>
      </c>
      <c r="O397" s="137" t="s">
        <v>758</v>
      </c>
      <c r="P397" s="137" t="s">
        <v>758</v>
      </c>
    </row>
    <row r="398" spans="1:16" s="137" customFormat="1" x14ac:dyDescent="0.3">
      <c r="A398" s="137" t="s">
        <v>1131</v>
      </c>
      <c r="B398" s="18" t="str">
        <f t="shared" si="17"/>
        <v>KRABY 244 60N</v>
      </c>
      <c r="C398" s="137">
        <v>270</v>
      </c>
      <c r="M398" s="137" t="s">
        <v>759</v>
      </c>
      <c r="N398" s="137" t="s">
        <v>759</v>
      </c>
      <c r="O398" s="137" t="s">
        <v>759</v>
      </c>
      <c r="P398" s="137" t="s">
        <v>759</v>
      </c>
    </row>
    <row r="399" spans="1:16" s="137" customFormat="1" x14ac:dyDescent="0.3">
      <c r="A399" s="137" t="s">
        <v>1132</v>
      </c>
      <c r="B399" s="18" t="str">
        <f t="shared" si="17"/>
        <v>KRABY 244 90N</v>
      </c>
      <c r="C399" s="137">
        <v>271</v>
      </c>
      <c r="M399" s="137" t="s">
        <v>760</v>
      </c>
      <c r="N399" s="137" t="s">
        <v>760</v>
      </c>
      <c r="O399" s="137" t="s">
        <v>760</v>
      </c>
      <c r="P399" s="137" t="s">
        <v>760</v>
      </c>
    </row>
    <row r="400" spans="1:16" s="137" customFormat="1" x14ac:dyDescent="0.3">
      <c r="A400" s="137" t="s">
        <v>1133</v>
      </c>
      <c r="B400" s="18" t="str">
        <f t="shared" si="17"/>
        <v>KRABY 244 120N</v>
      </c>
      <c r="C400" s="137">
        <v>272</v>
      </c>
      <c r="M400" s="137" t="s">
        <v>761</v>
      </c>
      <c r="N400" s="137" t="s">
        <v>761</v>
      </c>
      <c r="O400" s="137" t="s">
        <v>761</v>
      </c>
      <c r="P400" s="137" t="s">
        <v>761</v>
      </c>
    </row>
    <row r="401" spans="1:16" s="137" customFormat="1" x14ac:dyDescent="0.3">
      <c r="A401" s="137" t="s">
        <v>1134</v>
      </c>
      <c r="B401" s="18" t="str">
        <f t="shared" si="17"/>
        <v>KRABY 355 45N</v>
      </c>
      <c r="C401" s="137">
        <v>273</v>
      </c>
      <c r="M401" s="137" t="s">
        <v>762</v>
      </c>
      <c r="N401" s="137" t="s">
        <v>762</v>
      </c>
      <c r="O401" s="137" t="s">
        <v>762</v>
      </c>
      <c r="P401" s="137" t="s">
        <v>762</v>
      </c>
    </row>
    <row r="402" spans="1:16" s="137" customFormat="1" x14ac:dyDescent="0.3">
      <c r="A402" s="137" t="s">
        <v>1135</v>
      </c>
      <c r="B402" s="18" t="str">
        <f t="shared" si="17"/>
        <v>KRABY 355 60N</v>
      </c>
      <c r="C402" s="137">
        <v>274</v>
      </c>
      <c r="M402" s="137" t="s">
        <v>763</v>
      </c>
      <c r="N402" s="137" t="s">
        <v>763</v>
      </c>
      <c r="O402" s="137" t="s">
        <v>763</v>
      </c>
      <c r="P402" s="137" t="s">
        <v>763</v>
      </c>
    </row>
    <row r="403" spans="1:16" s="137" customFormat="1" x14ac:dyDescent="0.3">
      <c r="A403" s="137" t="s">
        <v>1136</v>
      </c>
      <c r="B403" s="18" t="str">
        <f t="shared" si="17"/>
        <v>KRABY 355 90N</v>
      </c>
      <c r="C403" s="137">
        <v>275</v>
      </c>
      <c r="M403" s="137" t="s">
        <v>764</v>
      </c>
      <c r="N403" s="137" t="s">
        <v>764</v>
      </c>
      <c r="O403" s="137" t="s">
        <v>764</v>
      </c>
      <c r="P403" s="137" t="s">
        <v>764</v>
      </c>
    </row>
    <row r="404" spans="1:16" s="137" customFormat="1" x14ac:dyDescent="0.3">
      <c r="A404" s="137" t="s">
        <v>1137</v>
      </c>
      <c r="B404" s="18" t="str">
        <f t="shared" si="17"/>
        <v>KRABY 355 120N</v>
      </c>
      <c r="C404" s="137">
        <v>276</v>
      </c>
      <c r="M404" s="137" t="s">
        <v>765</v>
      </c>
      <c r="N404" s="137" t="s">
        <v>765</v>
      </c>
      <c r="O404" s="137" t="s">
        <v>765</v>
      </c>
      <c r="P404" s="137" t="s">
        <v>765</v>
      </c>
    </row>
    <row r="405" spans="1:16" s="137" customFormat="1" x14ac:dyDescent="0.3">
      <c r="A405" s="137" t="s">
        <v>1138</v>
      </c>
      <c r="B405" s="18" t="str">
        <f t="shared" si="17"/>
        <v>K12 244 50N</v>
      </c>
      <c r="C405" s="137">
        <v>277</v>
      </c>
      <c r="M405" s="137" t="s">
        <v>1139</v>
      </c>
      <c r="N405" s="137" t="s">
        <v>1139</v>
      </c>
      <c r="O405" s="137" t="s">
        <v>1139</v>
      </c>
      <c r="P405" s="137" t="s">
        <v>1139</v>
      </c>
    </row>
    <row r="406" spans="1:16" s="137" customFormat="1" x14ac:dyDescent="0.3">
      <c r="A406" s="137" t="s">
        <v>1140</v>
      </c>
      <c r="B406" s="18" t="str">
        <f t="shared" si="17"/>
        <v>K12 244 80N</v>
      </c>
      <c r="C406" s="137">
        <v>278</v>
      </c>
      <c r="M406" s="137" t="s">
        <v>1141</v>
      </c>
      <c r="N406" s="137" t="s">
        <v>1141</v>
      </c>
      <c r="O406" s="137" t="s">
        <v>1141</v>
      </c>
      <c r="P406" s="137" t="s">
        <v>1141</v>
      </c>
    </row>
    <row r="407" spans="1:16" s="137" customFormat="1" x14ac:dyDescent="0.3">
      <c r="A407" s="137" t="s">
        <v>1142</v>
      </c>
      <c r="B407" s="18" t="str">
        <f t="shared" si="17"/>
        <v>K12 244 100N</v>
      </c>
      <c r="C407" s="137">
        <v>279</v>
      </c>
      <c r="M407" s="137" t="s">
        <v>1143</v>
      </c>
      <c r="N407" s="137" t="s">
        <v>1143</v>
      </c>
      <c r="O407" s="137" t="s">
        <v>1143</v>
      </c>
      <c r="P407" s="137" t="s">
        <v>1143</v>
      </c>
    </row>
    <row r="408" spans="1:16" s="137" customFormat="1" x14ac:dyDescent="0.3">
      <c r="A408" s="137" t="s">
        <v>1144</v>
      </c>
      <c r="B408" s="18" t="str">
        <f t="shared" si="17"/>
        <v>K12 244 120N</v>
      </c>
      <c r="C408" s="137">
        <v>280</v>
      </c>
      <c r="M408" s="137" t="s">
        <v>1145</v>
      </c>
      <c r="N408" s="137" t="s">
        <v>1145</v>
      </c>
      <c r="O408" s="137" t="s">
        <v>1145</v>
      </c>
      <c r="P408" s="137" t="s">
        <v>1145</v>
      </c>
    </row>
    <row r="409" spans="1:16" s="137" customFormat="1" x14ac:dyDescent="0.3">
      <c r="A409" s="137" t="s">
        <v>1146</v>
      </c>
      <c r="B409" s="18" t="str">
        <f t="shared" si="17"/>
        <v>K12 355 60N</v>
      </c>
      <c r="C409" s="137">
        <v>281</v>
      </c>
      <c r="M409" s="137" t="s">
        <v>1147</v>
      </c>
      <c r="N409" s="137" t="s">
        <v>1147</v>
      </c>
      <c r="O409" s="137" t="s">
        <v>1147</v>
      </c>
      <c r="P409" s="137" t="s">
        <v>1147</v>
      </c>
    </row>
    <row r="410" spans="1:16" s="137" customFormat="1" x14ac:dyDescent="0.3">
      <c r="A410" s="137" t="s">
        <v>1148</v>
      </c>
      <c r="B410" s="18" t="str">
        <f t="shared" si="17"/>
        <v>K12 355 90N</v>
      </c>
      <c r="C410" s="137">
        <v>282</v>
      </c>
      <c r="M410" s="137" t="s">
        <v>1149</v>
      </c>
      <c r="N410" s="137" t="s">
        <v>1149</v>
      </c>
      <c r="O410" s="137" t="s">
        <v>1149</v>
      </c>
      <c r="P410" s="137" t="s">
        <v>1149</v>
      </c>
    </row>
    <row r="411" spans="1:16" s="137" customFormat="1" x14ac:dyDescent="0.3">
      <c r="A411" s="137" t="s">
        <v>1150</v>
      </c>
      <c r="B411" s="18" t="str">
        <f t="shared" si="17"/>
        <v>K12 355 110N</v>
      </c>
      <c r="C411" s="137">
        <v>283</v>
      </c>
      <c r="M411" s="137" t="s">
        <v>1151</v>
      </c>
      <c r="N411" s="137" t="s">
        <v>1151</v>
      </c>
      <c r="O411" s="137" t="s">
        <v>1151</v>
      </c>
      <c r="P411" s="137" t="s">
        <v>1151</v>
      </c>
    </row>
    <row r="412" spans="1:16" s="137" customFormat="1" x14ac:dyDescent="0.3">
      <c r="A412" s="137" t="s">
        <v>1152</v>
      </c>
      <c r="B412" s="18" t="str">
        <f t="shared" si="17"/>
        <v>K12 355 130N</v>
      </c>
      <c r="C412" s="137">
        <v>284</v>
      </c>
      <c r="M412" s="137" t="s">
        <v>1153</v>
      </c>
      <c r="N412" s="137" t="s">
        <v>1153</v>
      </c>
      <c r="O412" s="137" t="s">
        <v>1153</v>
      </c>
      <c r="P412" s="137" t="s">
        <v>1153</v>
      </c>
    </row>
    <row r="413" spans="1:16" s="137" customFormat="1" x14ac:dyDescent="0.3">
      <c r="A413" s="137" t="s">
        <v>1154</v>
      </c>
      <c r="B413" s="18" t="str">
        <f t="shared" si="17"/>
        <v>STRONG spodní bílý</v>
      </c>
      <c r="C413" s="137">
        <v>285</v>
      </c>
      <c r="M413" s="166" t="s">
        <v>1155</v>
      </c>
      <c r="N413" s="166" t="s">
        <v>1350</v>
      </c>
      <c r="O413" s="166" t="s">
        <v>1351</v>
      </c>
      <c r="P413" s="166" t="s">
        <v>1352</v>
      </c>
    </row>
    <row r="414" spans="1:16" s="137" customFormat="1" x14ac:dyDescent="0.3">
      <c r="A414" s="137" t="s">
        <v>1156</v>
      </c>
      <c r="B414" s="18" t="str">
        <f t="shared" si="17"/>
        <v>STRONG spodní šedý</v>
      </c>
      <c r="C414" s="137">
        <v>286</v>
      </c>
      <c r="M414" s="166" t="s">
        <v>1157</v>
      </c>
      <c r="N414" s="166" t="s">
        <v>1353</v>
      </c>
      <c r="O414" s="166" t="s">
        <v>1354</v>
      </c>
      <c r="P414" s="166" t="s">
        <v>1355</v>
      </c>
    </row>
    <row r="415" spans="1:16" s="137" customFormat="1" x14ac:dyDescent="0.3">
      <c r="A415" s="137" t="s">
        <v>1158</v>
      </c>
      <c r="B415" s="18" t="str">
        <f t="shared" si="17"/>
        <v xml:space="preserve">HUWIL DUO (90°) </v>
      </c>
      <c r="C415" s="137">
        <v>287</v>
      </c>
      <c r="M415" s="137" t="s">
        <v>1159</v>
      </c>
      <c r="N415" s="137" t="s">
        <v>1159</v>
      </c>
      <c r="O415" s="137" t="s">
        <v>1159</v>
      </c>
      <c r="P415" s="137" t="s">
        <v>1159</v>
      </c>
    </row>
    <row r="416" spans="1:16" s="137" customFormat="1" x14ac:dyDescent="0.3">
      <c r="A416" s="137" t="s">
        <v>1160</v>
      </c>
      <c r="B416" s="18" t="str">
        <f t="shared" si="17"/>
        <v>HUWIL DUO FORTE</v>
      </c>
      <c r="C416" s="137">
        <v>288</v>
      </c>
      <c r="M416" s="137" t="s">
        <v>1125</v>
      </c>
      <c r="N416" s="137" t="s">
        <v>1125</v>
      </c>
      <c r="O416" s="137" t="s">
        <v>1125</v>
      </c>
      <c r="P416" s="137" t="s">
        <v>1125</v>
      </c>
    </row>
    <row r="417" spans="1:16" s="137" customFormat="1" x14ac:dyDescent="0.3">
      <c r="A417" s="137" t="s">
        <v>1161</v>
      </c>
      <c r="B417" s="18" t="str">
        <f t="shared" si="17"/>
        <v>KRABY 164 spodní</v>
      </c>
      <c r="C417" s="137">
        <v>289</v>
      </c>
      <c r="M417" s="137" t="s">
        <v>1162</v>
      </c>
      <c r="N417" s="166" t="s">
        <v>1356</v>
      </c>
      <c r="O417" s="166" t="s">
        <v>1357</v>
      </c>
      <c r="P417" s="166" t="s">
        <v>1358</v>
      </c>
    </row>
    <row r="418" spans="1:16" s="137" customFormat="1" x14ac:dyDescent="0.3">
      <c r="A418" s="137" t="s">
        <v>1163</v>
      </c>
      <c r="B418" s="18" t="str">
        <f t="shared" si="17"/>
        <v>KRABY 244 spodní</v>
      </c>
      <c r="C418" s="137">
        <v>290</v>
      </c>
      <c r="M418" s="137" t="s">
        <v>1164</v>
      </c>
      <c r="N418" s="166" t="s">
        <v>1359</v>
      </c>
      <c r="O418" s="166" t="s">
        <v>1360</v>
      </c>
      <c r="P418" s="166" t="s">
        <v>1361</v>
      </c>
    </row>
    <row r="419" spans="1:16" s="137" customFormat="1" x14ac:dyDescent="0.3">
      <c r="A419" s="137" t="s">
        <v>1165</v>
      </c>
      <c r="B419" s="18" t="str">
        <f t="shared" si="17"/>
        <v>KRABY 355 spodní</v>
      </c>
      <c r="C419" s="137">
        <v>291</v>
      </c>
      <c r="M419" s="137" t="s">
        <v>1166</v>
      </c>
      <c r="N419" s="166" t="s">
        <v>1362</v>
      </c>
      <c r="O419" s="166" t="s">
        <v>1363</v>
      </c>
      <c r="P419" s="166" t="s">
        <v>1364</v>
      </c>
    </row>
    <row r="420" spans="1:16" s="137" customFormat="1" x14ac:dyDescent="0.3">
      <c r="A420" s="137">
        <v>248162</v>
      </c>
      <c r="B420" s="18" t="str">
        <f t="shared" si="17"/>
        <v>STRONG 30N bílý Automatický</v>
      </c>
      <c r="C420" s="137">
        <v>292</v>
      </c>
      <c r="M420" s="166" t="s">
        <v>1087</v>
      </c>
      <c r="N420" s="166" t="s">
        <v>1305</v>
      </c>
      <c r="O420" s="166" t="s">
        <v>1306</v>
      </c>
      <c r="P420" s="166" t="s">
        <v>1307</v>
      </c>
    </row>
    <row r="421" spans="1:16" s="137" customFormat="1" x14ac:dyDescent="0.3">
      <c r="A421" s="137">
        <v>248163</v>
      </c>
      <c r="B421" s="18" t="str">
        <f t="shared" si="17"/>
        <v>STRONG 60N bílý Automatický</v>
      </c>
      <c r="C421" s="137">
        <v>293</v>
      </c>
      <c r="M421" s="166" t="s">
        <v>1089</v>
      </c>
      <c r="N421" s="166" t="s">
        <v>1308</v>
      </c>
      <c r="O421" s="166" t="s">
        <v>1309</v>
      </c>
      <c r="P421" s="166" t="s">
        <v>1310</v>
      </c>
    </row>
    <row r="422" spans="1:16" s="137" customFormat="1" x14ac:dyDescent="0.3">
      <c r="A422" s="137">
        <v>248164</v>
      </c>
      <c r="B422" s="18" t="str">
        <f t="shared" si="17"/>
        <v>STRONG 80N bílý Automatický</v>
      </c>
      <c r="C422" s="137">
        <v>294</v>
      </c>
      <c r="M422" s="166" t="s">
        <v>1091</v>
      </c>
      <c r="N422" s="166" t="s">
        <v>1311</v>
      </c>
      <c r="O422" s="166" t="s">
        <v>1312</v>
      </c>
      <c r="P422" s="166" t="s">
        <v>1313</v>
      </c>
    </row>
    <row r="423" spans="1:16" s="137" customFormat="1" x14ac:dyDescent="0.3">
      <c r="A423" s="137">
        <v>248165</v>
      </c>
      <c r="B423" s="18" t="str">
        <f t="shared" si="17"/>
        <v>STRONG 100N bílý Automatický</v>
      </c>
      <c r="C423" s="137">
        <v>295</v>
      </c>
      <c r="M423" s="166" t="s">
        <v>1093</v>
      </c>
      <c r="N423" s="166" t="s">
        <v>1314</v>
      </c>
      <c r="O423" s="166" t="s">
        <v>1315</v>
      </c>
      <c r="P423" s="166" t="s">
        <v>1316</v>
      </c>
    </row>
    <row r="424" spans="1:16" s="137" customFormat="1" x14ac:dyDescent="0.3">
      <c r="A424" s="137">
        <v>248166</v>
      </c>
      <c r="B424" s="18" t="str">
        <f t="shared" si="17"/>
        <v>STRONG 120N bílý Automatický</v>
      </c>
      <c r="C424" s="137">
        <v>296</v>
      </c>
      <c r="M424" s="166" t="s">
        <v>1095</v>
      </c>
      <c r="N424" s="166" t="s">
        <v>1317</v>
      </c>
      <c r="O424" s="166" t="s">
        <v>1318</v>
      </c>
      <c r="P424" s="166" t="s">
        <v>1319</v>
      </c>
    </row>
    <row r="425" spans="1:16" s="137" customFormat="1" x14ac:dyDescent="0.3">
      <c r="A425" s="137">
        <v>284254</v>
      </c>
      <c r="B425" s="18" t="str">
        <f t="shared" si="17"/>
        <v>STRONG 60N bílý Polohovací</v>
      </c>
      <c r="C425" s="137">
        <v>297</v>
      </c>
      <c r="M425" s="166" t="s">
        <v>1097</v>
      </c>
      <c r="N425" s="166" t="s">
        <v>1320</v>
      </c>
      <c r="O425" s="166" t="s">
        <v>1321</v>
      </c>
      <c r="P425" s="166" t="s">
        <v>1322</v>
      </c>
    </row>
    <row r="426" spans="1:16" s="137" customFormat="1" x14ac:dyDescent="0.3">
      <c r="A426" s="137">
        <v>284255</v>
      </c>
      <c r="B426" s="18" t="str">
        <f t="shared" si="17"/>
        <v>STRONG 80N bílý Polohovací</v>
      </c>
      <c r="C426" s="137">
        <v>298</v>
      </c>
      <c r="M426" s="166" t="s">
        <v>1099</v>
      </c>
      <c r="N426" s="166" t="s">
        <v>1323</v>
      </c>
      <c r="O426" s="166" t="s">
        <v>1324</v>
      </c>
      <c r="P426" s="166" t="s">
        <v>1325</v>
      </c>
    </row>
    <row r="427" spans="1:16" s="137" customFormat="1" x14ac:dyDescent="0.3">
      <c r="A427" s="137">
        <v>284256</v>
      </c>
      <c r="B427" s="18" t="str">
        <f t="shared" si="17"/>
        <v>STRONG 100N bílý Polohovací</v>
      </c>
      <c r="C427" s="137">
        <v>299</v>
      </c>
      <c r="M427" s="166" t="s">
        <v>1101</v>
      </c>
      <c r="N427" s="166" t="s">
        <v>1326</v>
      </c>
      <c r="O427" s="166" t="s">
        <v>1327</v>
      </c>
      <c r="P427" s="166" t="s">
        <v>1328</v>
      </c>
    </row>
    <row r="428" spans="1:16" s="137" customFormat="1" x14ac:dyDescent="0.3">
      <c r="A428" s="137">
        <v>284257</v>
      </c>
      <c r="B428" s="18" t="str">
        <f t="shared" si="17"/>
        <v>STRONG 120N bílý Polohovací</v>
      </c>
      <c r="C428" s="137">
        <v>300</v>
      </c>
      <c r="M428" s="166" t="s">
        <v>1103</v>
      </c>
      <c r="N428" s="166" t="s">
        <v>1329</v>
      </c>
      <c r="O428" s="166" t="s">
        <v>1330</v>
      </c>
      <c r="P428" s="166" t="s">
        <v>1331</v>
      </c>
    </row>
    <row r="429" spans="1:16" s="137" customFormat="1" x14ac:dyDescent="0.3">
      <c r="A429" s="137">
        <v>275672</v>
      </c>
      <c r="B429" s="18" t="str">
        <f t="shared" si="17"/>
        <v>STRONG 30N šedý Automatický</v>
      </c>
      <c r="C429" s="137">
        <v>301</v>
      </c>
      <c r="M429" s="166" t="s">
        <v>1105</v>
      </c>
      <c r="N429" s="166" t="s">
        <v>1105</v>
      </c>
      <c r="O429" s="166" t="s">
        <v>1332</v>
      </c>
      <c r="P429" s="166" t="s">
        <v>1333</v>
      </c>
    </row>
    <row r="430" spans="1:16" s="137" customFormat="1" x14ac:dyDescent="0.3">
      <c r="A430" s="137">
        <v>275673</v>
      </c>
      <c r="B430" s="18" t="str">
        <f t="shared" si="17"/>
        <v>STRONG 60N šedý Automatický</v>
      </c>
      <c r="C430" s="137">
        <v>302</v>
      </c>
      <c r="M430" s="166" t="s">
        <v>1107</v>
      </c>
      <c r="N430" s="166" t="s">
        <v>1107</v>
      </c>
      <c r="O430" s="166" t="s">
        <v>1334</v>
      </c>
      <c r="P430" s="166" t="s">
        <v>1335</v>
      </c>
    </row>
    <row r="431" spans="1:16" s="137" customFormat="1" x14ac:dyDescent="0.3">
      <c r="A431" s="137">
        <v>275674</v>
      </c>
      <c r="B431" s="18" t="str">
        <f t="shared" si="17"/>
        <v>STRONG 80N šedý Automatický</v>
      </c>
      <c r="C431" s="137">
        <v>303</v>
      </c>
      <c r="M431" s="166" t="s">
        <v>1109</v>
      </c>
      <c r="N431" s="166" t="s">
        <v>1109</v>
      </c>
      <c r="O431" s="166" t="s">
        <v>1336</v>
      </c>
      <c r="P431" s="166" t="s">
        <v>1337</v>
      </c>
    </row>
    <row r="432" spans="1:16" s="137" customFormat="1" x14ac:dyDescent="0.3">
      <c r="A432" s="137">
        <v>275675</v>
      </c>
      <c r="B432" s="18" t="str">
        <f t="shared" si="17"/>
        <v>STRONG 100N šedý Automatický</v>
      </c>
      <c r="C432" s="137">
        <v>304</v>
      </c>
      <c r="M432" s="166" t="s">
        <v>1111</v>
      </c>
      <c r="N432" s="166" t="s">
        <v>1111</v>
      </c>
      <c r="O432" s="166" t="s">
        <v>1338</v>
      </c>
      <c r="P432" s="166" t="s">
        <v>1339</v>
      </c>
    </row>
    <row r="433" spans="1:16" s="137" customFormat="1" x14ac:dyDescent="0.3">
      <c r="A433" s="137">
        <v>275676</v>
      </c>
      <c r="B433" s="18" t="str">
        <f t="shared" si="17"/>
        <v>STRONG 120N šedý Automatický</v>
      </c>
      <c r="C433" s="137">
        <v>305</v>
      </c>
      <c r="M433" s="166" t="s">
        <v>1113</v>
      </c>
      <c r="N433" s="166" t="s">
        <v>1113</v>
      </c>
      <c r="O433" s="166" t="s">
        <v>1340</v>
      </c>
      <c r="P433" s="166" t="s">
        <v>1341</v>
      </c>
    </row>
    <row r="434" spans="1:16" s="137" customFormat="1" x14ac:dyDescent="0.3">
      <c r="A434" s="137">
        <v>284250</v>
      </c>
      <c r="B434" s="18" t="str">
        <f t="shared" si="17"/>
        <v>STRONG 60N šedý Polohovací</v>
      </c>
      <c r="C434" s="137">
        <v>306</v>
      </c>
      <c r="M434" s="166" t="s">
        <v>1115</v>
      </c>
      <c r="N434" s="166" t="s">
        <v>1115</v>
      </c>
      <c r="O434" s="166" t="s">
        <v>1342</v>
      </c>
      <c r="P434" s="166" t="s">
        <v>1343</v>
      </c>
    </row>
    <row r="435" spans="1:16" s="137" customFormat="1" x14ac:dyDescent="0.3">
      <c r="A435" s="137">
        <v>284251</v>
      </c>
      <c r="B435" s="18" t="str">
        <f t="shared" si="17"/>
        <v>STRONG 80N šedý Polohovací</v>
      </c>
      <c r="C435" s="137">
        <v>307</v>
      </c>
      <c r="M435" s="166" t="s">
        <v>1117</v>
      </c>
      <c r="N435" s="166" t="s">
        <v>1117</v>
      </c>
      <c r="O435" s="166" t="s">
        <v>1344</v>
      </c>
      <c r="P435" s="166" t="s">
        <v>1345</v>
      </c>
    </row>
    <row r="436" spans="1:16" s="137" customFormat="1" x14ac:dyDescent="0.3">
      <c r="A436" s="137">
        <v>284252</v>
      </c>
      <c r="B436" s="18" t="str">
        <f t="shared" si="17"/>
        <v>STRONG 100N šedý Polohovací</v>
      </c>
      <c r="C436" s="137">
        <v>308</v>
      </c>
      <c r="M436" s="166" t="s">
        <v>1119</v>
      </c>
      <c r="N436" s="166" t="s">
        <v>1119</v>
      </c>
      <c r="O436" s="166" t="s">
        <v>1346</v>
      </c>
      <c r="P436" s="166" t="s">
        <v>1347</v>
      </c>
    </row>
    <row r="437" spans="1:16" s="137" customFormat="1" x14ac:dyDescent="0.3">
      <c r="A437" s="137">
        <v>284253</v>
      </c>
      <c r="B437" s="18" t="str">
        <f t="shared" si="17"/>
        <v>STRONG 120N šedý Polohovací</v>
      </c>
      <c r="C437" s="137">
        <v>309</v>
      </c>
      <c r="M437" s="166" t="s">
        <v>1121</v>
      </c>
      <c r="N437" s="166" t="s">
        <v>1121</v>
      </c>
      <c r="O437" s="166" t="s">
        <v>1348</v>
      </c>
      <c r="P437" s="166" t="s">
        <v>1349</v>
      </c>
    </row>
    <row r="438" spans="1:16" s="137" customFormat="1" x14ac:dyDescent="0.3">
      <c r="A438" s="137" t="s">
        <v>1167</v>
      </c>
      <c r="B438" s="18" t="str">
        <f t="shared" si="17"/>
        <v>HUWIL DUO</v>
      </c>
      <c r="C438" s="137">
        <v>310</v>
      </c>
      <c r="M438" s="137" t="s">
        <v>1123</v>
      </c>
      <c r="N438" s="137" t="s">
        <v>1123</v>
      </c>
      <c r="O438" s="137" t="s">
        <v>1123</v>
      </c>
      <c r="P438" s="137" t="s">
        <v>1123</v>
      </c>
    </row>
    <row r="439" spans="1:16" s="137" customFormat="1" x14ac:dyDescent="0.3">
      <c r="A439" s="137" t="s">
        <v>1168</v>
      </c>
      <c r="B439" s="18" t="str">
        <f t="shared" si="17"/>
        <v>HUWILIFT MAXI</v>
      </c>
      <c r="C439" s="137">
        <v>311</v>
      </c>
      <c r="M439" s="137" t="s">
        <v>1127</v>
      </c>
      <c r="N439" s="137" t="s">
        <v>1127</v>
      </c>
      <c r="O439" s="137" t="s">
        <v>1127</v>
      </c>
      <c r="P439" s="137" t="s">
        <v>1127</v>
      </c>
    </row>
    <row r="440" spans="1:16" s="137" customFormat="1" x14ac:dyDescent="0.3">
      <c r="A440" s="137">
        <v>135006</v>
      </c>
      <c r="B440" s="18" t="str">
        <f t="shared" si="17"/>
        <v>KRABY 164 45N</v>
      </c>
      <c r="C440" s="137">
        <v>312</v>
      </c>
      <c r="M440" s="137" t="s">
        <v>756</v>
      </c>
      <c r="N440" s="137" t="s">
        <v>756</v>
      </c>
      <c r="O440" s="137" t="s">
        <v>756</v>
      </c>
      <c r="P440" s="137" t="s">
        <v>756</v>
      </c>
    </row>
    <row r="441" spans="1:16" s="137" customFormat="1" x14ac:dyDescent="0.3">
      <c r="A441" s="137">
        <v>135007</v>
      </c>
      <c r="B441" s="18" t="str">
        <f t="shared" si="17"/>
        <v>KRABY 164 60N</v>
      </c>
      <c r="C441" s="137">
        <v>313</v>
      </c>
      <c r="M441" s="137" t="s">
        <v>757</v>
      </c>
      <c r="N441" s="137" t="s">
        <v>757</v>
      </c>
      <c r="O441" s="137" t="s">
        <v>757</v>
      </c>
      <c r="P441" s="137" t="s">
        <v>757</v>
      </c>
    </row>
    <row r="442" spans="1:16" s="137" customFormat="1" x14ac:dyDescent="0.3">
      <c r="A442" s="137">
        <v>15590</v>
      </c>
      <c r="B442" s="18" t="str">
        <f t="shared" si="17"/>
        <v>KRABY 244 45N</v>
      </c>
      <c r="C442" s="137">
        <v>314</v>
      </c>
      <c r="M442" s="137" t="s">
        <v>758</v>
      </c>
      <c r="N442" s="137" t="s">
        <v>758</v>
      </c>
      <c r="O442" s="137" t="s">
        <v>758</v>
      </c>
      <c r="P442" s="137" t="s">
        <v>758</v>
      </c>
    </row>
    <row r="443" spans="1:16" s="137" customFormat="1" x14ac:dyDescent="0.3">
      <c r="A443" s="137">
        <v>15591</v>
      </c>
      <c r="B443" s="18" t="str">
        <f t="shared" si="17"/>
        <v>KRABY 244 60N</v>
      </c>
      <c r="C443" s="137">
        <v>315</v>
      </c>
      <c r="M443" s="137" t="s">
        <v>759</v>
      </c>
      <c r="N443" s="137" t="s">
        <v>759</v>
      </c>
      <c r="O443" s="137" t="s">
        <v>759</v>
      </c>
      <c r="P443" s="137" t="s">
        <v>759</v>
      </c>
    </row>
    <row r="444" spans="1:16" s="137" customFormat="1" x14ac:dyDescent="0.3">
      <c r="A444" s="137">
        <v>15592</v>
      </c>
      <c r="B444" s="18" t="str">
        <f t="shared" si="17"/>
        <v>KRABY 244 90N</v>
      </c>
      <c r="C444" s="137">
        <v>316</v>
      </c>
      <c r="M444" s="137" t="s">
        <v>760</v>
      </c>
      <c r="N444" s="137" t="s">
        <v>760</v>
      </c>
      <c r="O444" s="137" t="s">
        <v>760</v>
      </c>
      <c r="P444" s="137" t="s">
        <v>760</v>
      </c>
    </row>
    <row r="445" spans="1:16" s="137" customFormat="1" x14ac:dyDescent="0.3">
      <c r="A445" s="137">
        <v>15593</v>
      </c>
      <c r="B445" s="18" t="str">
        <f t="shared" si="17"/>
        <v>KRABY 244 120N</v>
      </c>
      <c r="C445" s="137">
        <v>317</v>
      </c>
      <c r="M445" s="137" t="s">
        <v>761</v>
      </c>
      <c r="N445" s="137" t="s">
        <v>761</v>
      </c>
      <c r="O445" s="137" t="s">
        <v>761</v>
      </c>
      <c r="P445" s="137" t="s">
        <v>761</v>
      </c>
    </row>
    <row r="446" spans="1:16" s="137" customFormat="1" x14ac:dyDescent="0.3">
      <c r="A446" s="137">
        <v>135008</v>
      </c>
      <c r="B446" s="18" t="str">
        <f t="shared" si="17"/>
        <v>KRABY 355 45N</v>
      </c>
      <c r="C446" s="137">
        <v>318</v>
      </c>
      <c r="M446" s="137" t="s">
        <v>762</v>
      </c>
      <c r="N446" s="137" t="s">
        <v>762</v>
      </c>
      <c r="O446" s="137" t="s">
        <v>762</v>
      </c>
      <c r="P446" s="137" t="s">
        <v>762</v>
      </c>
    </row>
    <row r="447" spans="1:16" s="137" customFormat="1" x14ac:dyDescent="0.3">
      <c r="A447" s="137">
        <v>135009</v>
      </c>
      <c r="B447" s="18" t="str">
        <f t="shared" si="17"/>
        <v>KRABY 355 60N</v>
      </c>
      <c r="C447" s="137">
        <v>319</v>
      </c>
      <c r="M447" s="137" t="s">
        <v>763</v>
      </c>
      <c r="N447" s="137" t="s">
        <v>763</v>
      </c>
      <c r="O447" s="137" t="s">
        <v>763</v>
      </c>
      <c r="P447" s="137" t="s">
        <v>763</v>
      </c>
    </row>
    <row r="448" spans="1:16" s="137" customFormat="1" x14ac:dyDescent="0.3">
      <c r="A448" s="137">
        <v>135010</v>
      </c>
      <c r="B448" s="18" t="str">
        <f t="shared" si="17"/>
        <v>KRABY 355 90N</v>
      </c>
      <c r="C448" s="137">
        <v>320</v>
      </c>
      <c r="M448" s="137" t="s">
        <v>764</v>
      </c>
      <c r="N448" s="137" t="s">
        <v>764</v>
      </c>
      <c r="O448" s="137" t="s">
        <v>764</v>
      </c>
      <c r="P448" s="137" t="s">
        <v>764</v>
      </c>
    </row>
    <row r="449" spans="1:16" s="137" customFormat="1" x14ac:dyDescent="0.3">
      <c r="A449" s="137">
        <v>135011</v>
      </c>
      <c r="B449" s="18" t="str">
        <f t="shared" si="17"/>
        <v>KRABY 355 120N</v>
      </c>
      <c r="C449" s="137">
        <v>321</v>
      </c>
      <c r="M449" s="137" t="s">
        <v>765</v>
      </c>
      <c r="N449" s="137" t="s">
        <v>765</v>
      </c>
      <c r="O449" s="137" t="s">
        <v>765</v>
      </c>
      <c r="P449" s="137" t="s">
        <v>765</v>
      </c>
    </row>
    <row r="450" spans="1:16" s="137" customFormat="1" x14ac:dyDescent="0.3">
      <c r="A450" s="137">
        <v>282471</v>
      </c>
      <c r="B450" s="18" t="str">
        <f t="shared" si="17"/>
        <v>K12 244 50N</v>
      </c>
      <c r="C450" s="137">
        <v>322</v>
      </c>
      <c r="M450" s="137" t="s">
        <v>1139</v>
      </c>
      <c r="N450" s="137" t="s">
        <v>1139</v>
      </c>
      <c r="O450" s="137" t="s">
        <v>1139</v>
      </c>
      <c r="P450" s="137" t="s">
        <v>1139</v>
      </c>
    </row>
    <row r="451" spans="1:16" s="137" customFormat="1" x14ac:dyDescent="0.3">
      <c r="A451" s="137">
        <v>282472</v>
      </c>
      <c r="B451" s="18" t="str">
        <f t="shared" si="17"/>
        <v>K12 244 80N</v>
      </c>
      <c r="C451" s="137">
        <v>323</v>
      </c>
      <c r="M451" s="137" t="s">
        <v>1141</v>
      </c>
      <c r="N451" s="137" t="s">
        <v>1141</v>
      </c>
      <c r="O451" s="137" t="s">
        <v>1141</v>
      </c>
      <c r="P451" s="137" t="s">
        <v>1141</v>
      </c>
    </row>
    <row r="452" spans="1:16" s="137" customFormat="1" x14ac:dyDescent="0.3">
      <c r="A452" s="137">
        <v>282473</v>
      </c>
      <c r="B452" s="18" t="str">
        <f t="shared" si="17"/>
        <v>K12 244 100N</v>
      </c>
      <c r="C452" s="137">
        <v>324</v>
      </c>
      <c r="M452" s="137" t="s">
        <v>1143</v>
      </c>
      <c r="N452" s="137" t="s">
        <v>1143</v>
      </c>
      <c r="O452" s="137" t="s">
        <v>1143</v>
      </c>
      <c r="P452" s="137" t="s">
        <v>1143</v>
      </c>
    </row>
    <row r="453" spans="1:16" s="137" customFormat="1" x14ac:dyDescent="0.3">
      <c r="A453" s="137">
        <v>282474</v>
      </c>
      <c r="B453" s="18" t="str">
        <f t="shared" ref="B453:B498" si="18">IF($D$1=1,M453,IF($D$1=2,N453,IF($D$1=3,O453,IF($D$1=4,P453,0))))</f>
        <v>K12 244 120N</v>
      </c>
      <c r="C453" s="137">
        <v>325</v>
      </c>
      <c r="M453" s="137" t="s">
        <v>1145</v>
      </c>
      <c r="N453" s="137" t="s">
        <v>1145</v>
      </c>
      <c r="O453" s="137" t="s">
        <v>1145</v>
      </c>
      <c r="P453" s="137" t="s">
        <v>1145</v>
      </c>
    </row>
    <row r="454" spans="1:16" s="137" customFormat="1" x14ac:dyDescent="0.3">
      <c r="A454" s="137">
        <v>282475</v>
      </c>
      <c r="B454" s="18" t="str">
        <f t="shared" si="18"/>
        <v>K12 355 60N</v>
      </c>
      <c r="C454" s="137">
        <v>326</v>
      </c>
      <c r="M454" s="137" t="s">
        <v>1147</v>
      </c>
      <c r="N454" s="137" t="s">
        <v>1147</v>
      </c>
      <c r="O454" s="137" t="s">
        <v>1147</v>
      </c>
      <c r="P454" s="137" t="s">
        <v>1147</v>
      </c>
    </row>
    <row r="455" spans="1:16" s="137" customFormat="1" x14ac:dyDescent="0.3">
      <c r="A455" s="137">
        <v>282476</v>
      </c>
      <c r="B455" s="18" t="str">
        <f t="shared" si="18"/>
        <v>K12 355 90N</v>
      </c>
      <c r="C455" s="137">
        <v>327</v>
      </c>
      <c r="M455" s="137" t="s">
        <v>1149</v>
      </c>
      <c r="N455" s="137" t="s">
        <v>1149</v>
      </c>
      <c r="O455" s="137" t="s">
        <v>1149</v>
      </c>
      <c r="P455" s="137" t="s">
        <v>1149</v>
      </c>
    </row>
    <row r="456" spans="1:16" s="137" customFormat="1" x14ac:dyDescent="0.3">
      <c r="A456" s="137">
        <v>282477</v>
      </c>
      <c r="B456" s="18" t="str">
        <f t="shared" si="18"/>
        <v>K12 355 110N</v>
      </c>
      <c r="C456" s="137">
        <v>328</v>
      </c>
      <c r="M456" s="137" t="s">
        <v>1151</v>
      </c>
      <c r="N456" s="137" t="s">
        <v>1151</v>
      </c>
      <c r="O456" s="137" t="s">
        <v>1151</v>
      </c>
      <c r="P456" s="137" t="s">
        <v>1151</v>
      </c>
    </row>
    <row r="457" spans="1:16" s="137" customFormat="1" x14ac:dyDescent="0.3">
      <c r="A457" s="137">
        <v>282478</v>
      </c>
      <c r="B457" s="18" t="str">
        <f t="shared" si="18"/>
        <v>K12 355 130N</v>
      </c>
      <c r="C457" s="137">
        <v>329</v>
      </c>
      <c r="M457" s="137" t="s">
        <v>1153</v>
      </c>
      <c r="N457" s="137" t="s">
        <v>1153</v>
      </c>
      <c r="O457" s="137" t="s">
        <v>1153</v>
      </c>
      <c r="P457" s="137" t="s">
        <v>1153</v>
      </c>
    </row>
    <row r="458" spans="1:16" s="137" customFormat="1" x14ac:dyDescent="0.3">
      <c r="A458" s="137">
        <v>275689</v>
      </c>
      <c r="B458" s="18" t="str">
        <f t="shared" si="18"/>
        <v>STRONG spodní bílý</v>
      </c>
      <c r="C458" s="137">
        <v>330</v>
      </c>
      <c r="M458" s="166" t="s">
        <v>1155</v>
      </c>
      <c r="N458" s="166" t="s">
        <v>1350</v>
      </c>
      <c r="O458" s="166" t="s">
        <v>1351</v>
      </c>
      <c r="P458" s="166" t="s">
        <v>1352</v>
      </c>
    </row>
    <row r="459" spans="1:16" s="137" customFormat="1" x14ac:dyDescent="0.3">
      <c r="A459" s="137">
        <v>248167</v>
      </c>
      <c r="B459" s="18" t="str">
        <f t="shared" si="18"/>
        <v>STRONG spodní šedý</v>
      </c>
      <c r="C459" s="137">
        <v>331</v>
      </c>
      <c r="M459" s="166" t="s">
        <v>1157</v>
      </c>
      <c r="N459" s="166" t="s">
        <v>1353</v>
      </c>
      <c r="O459" s="166" t="s">
        <v>1354</v>
      </c>
      <c r="P459" s="166" t="s">
        <v>1355</v>
      </c>
    </row>
    <row r="460" spans="1:16" s="137" customFormat="1" x14ac:dyDescent="0.3">
      <c r="A460" s="137" t="s">
        <v>1158</v>
      </c>
      <c r="B460" s="18" t="str">
        <f t="shared" si="18"/>
        <v xml:space="preserve">HUWIL DUO (90°) </v>
      </c>
      <c r="C460" s="137">
        <v>332</v>
      </c>
      <c r="M460" s="137" t="s">
        <v>1159</v>
      </c>
      <c r="N460" s="137" t="s">
        <v>1159</v>
      </c>
      <c r="O460" s="137" t="s">
        <v>1159</v>
      </c>
      <c r="P460" s="137" t="s">
        <v>1159</v>
      </c>
    </row>
    <row r="461" spans="1:16" s="137" customFormat="1" x14ac:dyDescent="0.3">
      <c r="A461" s="137" t="s">
        <v>1160</v>
      </c>
      <c r="B461" s="18" t="str">
        <f t="shared" si="18"/>
        <v>HUWIL DUO FORTE</v>
      </c>
      <c r="C461" s="137">
        <v>333</v>
      </c>
      <c r="M461" s="137" t="s">
        <v>1125</v>
      </c>
      <c r="N461" s="137" t="s">
        <v>1125</v>
      </c>
      <c r="O461" s="137" t="s">
        <v>1125</v>
      </c>
      <c r="P461" s="137" t="s">
        <v>1125</v>
      </c>
    </row>
    <row r="462" spans="1:16" s="137" customFormat="1" x14ac:dyDescent="0.3">
      <c r="A462" s="137">
        <v>15588</v>
      </c>
      <c r="B462" s="18" t="str">
        <f t="shared" si="18"/>
        <v>KRABY 164 spodní</v>
      </c>
      <c r="C462" s="137">
        <v>334</v>
      </c>
      <c r="M462" s="137" t="s">
        <v>1162</v>
      </c>
      <c r="N462" s="166" t="s">
        <v>1356</v>
      </c>
      <c r="O462" s="166" t="s">
        <v>1357</v>
      </c>
      <c r="P462" s="166" t="s">
        <v>1358</v>
      </c>
    </row>
    <row r="463" spans="1:16" s="137" customFormat="1" x14ac:dyDescent="0.3">
      <c r="A463" s="137">
        <v>15594</v>
      </c>
      <c r="B463" s="18" t="str">
        <f t="shared" si="18"/>
        <v>KRABY 244 spodní</v>
      </c>
      <c r="C463" s="137">
        <v>335</v>
      </c>
      <c r="M463" s="137" t="s">
        <v>1164</v>
      </c>
      <c r="N463" s="166" t="s">
        <v>1359</v>
      </c>
      <c r="O463" s="166" t="s">
        <v>1360</v>
      </c>
      <c r="P463" s="166" t="s">
        <v>1361</v>
      </c>
    </row>
    <row r="464" spans="1:16" s="137" customFormat="1" x14ac:dyDescent="0.3">
      <c r="A464" s="137">
        <v>15589</v>
      </c>
      <c r="B464" s="18" t="str">
        <f t="shared" si="18"/>
        <v>KRABY 355 spodní</v>
      </c>
      <c r="C464" s="137">
        <v>336</v>
      </c>
      <c r="M464" s="137" t="s">
        <v>1166</v>
      </c>
      <c r="N464" s="166" t="s">
        <v>1362</v>
      </c>
      <c r="O464" s="166" t="s">
        <v>1363</v>
      </c>
      <c r="P464" s="166" t="s">
        <v>1364</v>
      </c>
    </row>
    <row r="465" spans="1:257" s="137" customFormat="1" x14ac:dyDescent="0.3">
      <c r="A465" s="137">
        <v>92613</v>
      </c>
      <c r="B465" s="18" t="str">
        <f t="shared" si="18"/>
        <v>k nasunutí na vrut H0</v>
      </c>
      <c r="C465" s="137">
        <v>337</v>
      </c>
      <c r="M465" s="137" t="s">
        <v>1186</v>
      </c>
      <c r="N465" s="166" t="s">
        <v>1365</v>
      </c>
      <c r="O465" s="166" t="s">
        <v>1366</v>
      </c>
      <c r="P465" s="166" t="s">
        <v>1367</v>
      </c>
    </row>
    <row r="466" spans="1:257" s="137" customFormat="1" x14ac:dyDescent="0.3">
      <c r="A466" s="137">
        <v>92614</v>
      </c>
      <c r="B466" s="18" t="str">
        <f t="shared" si="18"/>
        <v>k nasunutí EURO šroub H0</v>
      </c>
      <c r="C466" s="137">
        <v>338</v>
      </c>
      <c r="M466" s="137" t="s">
        <v>1187</v>
      </c>
      <c r="N466" s="166" t="s">
        <v>1368</v>
      </c>
      <c r="O466" s="166" t="s">
        <v>1369</v>
      </c>
      <c r="P466" s="166" t="s">
        <v>1370</v>
      </c>
    </row>
    <row r="467" spans="1:257" s="137" customFormat="1" x14ac:dyDescent="0.3">
      <c r="A467" s="137">
        <v>92592</v>
      </c>
      <c r="B467" s="18" t="str">
        <f t="shared" si="18"/>
        <v>k nasunutí na vrut H2</v>
      </c>
      <c r="C467" s="137">
        <v>339</v>
      </c>
      <c r="M467" s="137" t="s">
        <v>1188</v>
      </c>
      <c r="N467" s="166" t="s">
        <v>1371</v>
      </c>
      <c r="O467" s="166" t="s">
        <v>1372</v>
      </c>
      <c r="P467" s="166" t="s">
        <v>1373</v>
      </c>
    </row>
    <row r="468" spans="1:257" s="137" customFormat="1" x14ac:dyDescent="0.3">
      <c r="A468" s="137">
        <v>92593</v>
      </c>
      <c r="B468" s="18" t="str">
        <f t="shared" si="18"/>
        <v>k nasunutí EURO šroub H2</v>
      </c>
      <c r="C468" s="137">
        <v>340</v>
      </c>
      <c r="M468" s="137" t="s">
        <v>1189</v>
      </c>
      <c r="N468" s="166" t="s">
        <v>1374</v>
      </c>
      <c r="O468" s="166" t="s">
        <v>1375</v>
      </c>
      <c r="P468" s="166" t="s">
        <v>1376</v>
      </c>
    </row>
    <row r="469" spans="1:257" s="137" customFormat="1" x14ac:dyDescent="0.3">
      <c r="A469" s="137" t="s">
        <v>148</v>
      </c>
      <c r="B469" s="18" t="str">
        <f t="shared" si="18"/>
        <v>Clip na vrut H2</v>
      </c>
      <c r="C469" s="137">
        <v>341</v>
      </c>
      <c r="M469" s="137" t="s">
        <v>212</v>
      </c>
      <c r="N469" s="166" t="s">
        <v>433</v>
      </c>
      <c r="O469" s="166" t="s">
        <v>497</v>
      </c>
      <c r="P469" s="166" t="s">
        <v>573</v>
      </c>
    </row>
    <row r="470" spans="1:257" s="137" customFormat="1" x14ac:dyDescent="0.3">
      <c r="A470" s="137" t="s">
        <v>117</v>
      </c>
      <c r="B470" s="18" t="str">
        <f t="shared" si="18"/>
        <v>Clip vrut s excentrem H0</v>
      </c>
      <c r="C470" s="137">
        <v>342</v>
      </c>
      <c r="M470" s="137" t="s">
        <v>1191</v>
      </c>
      <c r="N470" s="166" t="s">
        <v>1377</v>
      </c>
      <c r="O470" s="166" t="s">
        <v>1378</v>
      </c>
      <c r="P470" s="166" t="s">
        <v>1597</v>
      </c>
    </row>
    <row r="471" spans="1:257" s="137" customFormat="1" x14ac:dyDescent="0.3">
      <c r="A471" s="137" t="s">
        <v>1190</v>
      </c>
      <c r="B471" s="18" t="str">
        <f t="shared" si="18"/>
        <v>Clip na vrut H0</v>
      </c>
      <c r="C471" s="137">
        <v>343</v>
      </c>
      <c r="M471" s="137" t="s">
        <v>210</v>
      </c>
      <c r="N471" s="166" t="s">
        <v>449</v>
      </c>
      <c r="O471" s="166" t="s">
        <v>514</v>
      </c>
      <c r="P471" s="166" t="s">
        <v>590</v>
      </c>
    </row>
    <row r="472" spans="1:257" s="137" customFormat="1" x14ac:dyDescent="0.3">
      <c r="A472"/>
      <c r="B472" s="18" t="str">
        <f t="shared" si="18"/>
        <v>Minimální možný rozměr rámečku je 140x140mm</v>
      </c>
      <c r="D472"/>
      <c r="F472"/>
      <c r="G472"/>
      <c r="H472"/>
      <c r="I472"/>
      <c r="J472"/>
      <c r="K472"/>
      <c r="L472"/>
      <c r="M472" s="137" t="s">
        <v>1384</v>
      </c>
      <c r="N472" s="224" t="s">
        <v>1385</v>
      </c>
      <c r="O472" s="166" t="s">
        <v>1386</v>
      </c>
      <c r="P472" s="166" t="s">
        <v>1387</v>
      </c>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row>
    <row r="473" spans="1:257" s="137" customFormat="1" x14ac:dyDescent="0.3">
      <c r="A473">
        <v>308058</v>
      </c>
      <c r="B473" s="18" t="str">
        <f t="shared" si="18"/>
        <v xml:space="preserve">Sensys SiSy naložený </v>
      </c>
      <c r="C473"/>
      <c r="D473"/>
      <c r="F473"/>
      <c r="G473"/>
      <c r="H473"/>
      <c r="I473"/>
      <c r="J473"/>
      <c r="K473"/>
      <c r="L473"/>
      <c r="M473" s="226" t="s">
        <v>1389</v>
      </c>
      <c r="N473" s="166" t="s">
        <v>1389</v>
      </c>
      <c r="O473" s="166" t="s">
        <v>1542</v>
      </c>
      <c r="P473" s="166" t="s">
        <v>1543</v>
      </c>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row>
    <row r="474" spans="1:257" s="137" customFormat="1" x14ac:dyDescent="0.3">
      <c r="A474">
        <v>308454</v>
      </c>
      <c r="B474" s="18" t="str">
        <f t="shared" si="18"/>
        <v xml:space="preserve">Sensys SiSy polonaložený </v>
      </c>
      <c r="C474"/>
      <c r="D474"/>
      <c r="F474"/>
      <c r="G474"/>
      <c r="H474"/>
      <c r="I474"/>
      <c r="J474"/>
      <c r="K474"/>
      <c r="L474"/>
      <c r="M474" s="226" t="s">
        <v>1390</v>
      </c>
      <c r="N474" s="166" t="s">
        <v>1390</v>
      </c>
      <c r="O474" s="166" t="s">
        <v>1550</v>
      </c>
      <c r="P474" s="166" t="s">
        <v>1551</v>
      </c>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7" s="137" customFormat="1" x14ac:dyDescent="0.3">
      <c r="A475">
        <v>308455</v>
      </c>
      <c r="B475" s="18" t="str">
        <f t="shared" si="18"/>
        <v xml:space="preserve">Sensys SiSy vložený </v>
      </c>
      <c r="C475"/>
      <c r="D475"/>
      <c r="F475"/>
      <c r="G475"/>
      <c r="H475"/>
      <c r="I475"/>
      <c r="J475"/>
      <c r="K475"/>
      <c r="L475"/>
      <c r="M475" s="226" t="s">
        <v>1391</v>
      </c>
      <c r="N475" s="140" t="s">
        <v>1581</v>
      </c>
      <c r="O475" s="140" t="s">
        <v>1582</v>
      </c>
      <c r="P475" s="140" t="s">
        <v>1583</v>
      </c>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7" s="137" customFormat="1" x14ac:dyDescent="0.3">
      <c r="A476" s="137">
        <v>336503</v>
      </c>
      <c r="B476" s="18" t="str">
        <f t="shared" si="18"/>
        <v xml:space="preserve">Sensys P2o naložený </v>
      </c>
      <c r="M476" s="226" t="s">
        <v>1392</v>
      </c>
      <c r="N476" s="166" t="s">
        <v>1392</v>
      </c>
      <c r="O476" s="166" t="s">
        <v>1544</v>
      </c>
      <c r="P476" s="166" t="s">
        <v>1545</v>
      </c>
    </row>
    <row r="477" spans="1:257" s="137" customFormat="1" x14ac:dyDescent="0.3">
      <c r="A477" s="137">
        <v>336506</v>
      </c>
      <c r="B477" s="18" t="str">
        <f t="shared" si="18"/>
        <v xml:space="preserve">Sensys P2o polonaložený </v>
      </c>
      <c r="M477" s="226" t="s">
        <v>1393</v>
      </c>
      <c r="N477" s="166" t="s">
        <v>1393</v>
      </c>
      <c r="O477" s="166" t="s">
        <v>1552</v>
      </c>
      <c r="P477" s="166" t="s">
        <v>1553</v>
      </c>
    </row>
    <row r="478" spans="1:257" s="137" customFormat="1" x14ac:dyDescent="0.3">
      <c r="A478" s="137">
        <v>346823</v>
      </c>
      <c r="B478" s="18" t="str">
        <f t="shared" si="18"/>
        <v xml:space="preserve">Sensys P2o vložený </v>
      </c>
      <c r="M478" s="226" t="s">
        <v>1394</v>
      </c>
      <c r="N478" s="140" t="s">
        <v>1584</v>
      </c>
      <c r="O478" s="140" t="s">
        <v>1585</v>
      </c>
      <c r="P478" s="140" t="s">
        <v>1586</v>
      </c>
    </row>
    <row r="479" spans="1:257" s="137" customFormat="1" x14ac:dyDescent="0.3">
      <c r="A479" s="225">
        <v>300285</v>
      </c>
      <c r="B479" s="18" t="str">
        <f t="shared" si="18"/>
        <v>Sensys naložený P2O</v>
      </c>
      <c r="M479" s="226" t="s">
        <v>1395</v>
      </c>
      <c r="N479" s="166" t="s">
        <v>1392</v>
      </c>
      <c r="O479" s="166" t="s">
        <v>1544</v>
      </c>
      <c r="P479" s="166" t="s">
        <v>1545</v>
      </c>
    </row>
    <row r="480" spans="1:257" s="137" customFormat="1" x14ac:dyDescent="0.3">
      <c r="A480" s="137">
        <v>306317</v>
      </c>
      <c r="B480" s="18" t="str">
        <f t="shared" si="18"/>
        <v>naložený s tlumením clip 110°, ONYX</v>
      </c>
      <c r="M480" s="137" t="s">
        <v>1396</v>
      </c>
      <c r="N480" s="166" t="s">
        <v>1546</v>
      </c>
      <c r="O480" s="166" t="s">
        <v>1547</v>
      </c>
      <c r="P480" s="166" t="s">
        <v>1578</v>
      </c>
    </row>
    <row r="481" spans="1:16" s="137" customFormat="1" x14ac:dyDescent="0.3">
      <c r="A481" s="137">
        <v>306318</v>
      </c>
      <c r="B481" s="18" t="str">
        <f t="shared" si="18"/>
        <v>polonaložený s tlumením clip 110°, ONYX</v>
      </c>
      <c r="M481" s="137" t="s">
        <v>1397</v>
      </c>
      <c r="N481" s="166" t="s">
        <v>1548</v>
      </c>
      <c r="O481" s="166" t="s">
        <v>1549</v>
      </c>
      <c r="P481" s="166" t="s">
        <v>1579</v>
      </c>
    </row>
    <row r="482" spans="1:16" s="137" customFormat="1" x14ac:dyDescent="0.3">
      <c r="A482" s="137">
        <v>306319</v>
      </c>
      <c r="B482" s="18" t="str">
        <f t="shared" si="18"/>
        <v>vložený s tlumením clip 110°, ONYX</v>
      </c>
      <c r="M482" s="166" t="s">
        <v>1398</v>
      </c>
      <c r="N482" s="166" t="s">
        <v>1590</v>
      </c>
      <c r="O482" s="166" t="s">
        <v>1591</v>
      </c>
      <c r="P482" s="166" t="s">
        <v>1592</v>
      </c>
    </row>
    <row r="483" spans="1:16" s="137" customFormat="1" x14ac:dyDescent="0.3">
      <c r="A483" s="137">
        <v>306329</v>
      </c>
      <c r="B483" s="18" t="str">
        <f t="shared" si="18"/>
        <v>naložený 95°, Onyx</v>
      </c>
      <c r="M483" s="137" t="s">
        <v>1399</v>
      </c>
      <c r="N483" s="166" t="s">
        <v>1566</v>
      </c>
      <c r="O483" s="166" t="s">
        <v>1567</v>
      </c>
      <c r="P483" s="166" t="s">
        <v>1580</v>
      </c>
    </row>
    <row r="484" spans="1:16" s="137" customFormat="1" x14ac:dyDescent="0.3">
      <c r="B484" s="18" t="str">
        <f t="shared" si="18"/>
        <v>STRONG Plus</v>
      </c>
      <c r="M484" s="224" t="s">
        <v>1408</v>
      </c>
      <c r="N484" s="224" t="s">
        <v>1408</v>
      </c>
      <c r="O484" s="224" t="s">
        <v>1408</v>
      </c>
      <c r="P484" s="224" t="s">
        <v>1408</v>
      </c>
    </row>
    <row r="485" spans="1:16" s="137" customFormat="1" x14ac:dyDescent="0.3">
      <c r="A485" s="137">
        <v>350837</v>
      </c>
      <c r="B485" s="18" t="str">
        <f t="shared" si="18"/>
        <v>Strong Plus naložený clip bez pružiny</v>
      </c>
      <c r="M485" s="137" t="s">
        <v>1694</v>
      </c>
      <c r="N485" s="140" t="s">
        <v>1554</v>
      </c>
      <c r="O485" s="140" t="s">
        <v>1558</v>
      </c>
      <c r="P485" s="140" t="s">
        <v>1559</v>
      </c>
    </row>
    <row r="486" spans="1:16" s="137" customFormat="1" x14ac:dyDescent="0.3">
      <c r="A486" s="249">
        <v>350838</v>
      </c>
      <c r="B486" s="18" t="str">
        <f t="shared" si="18"/>
        <v>Strong Plus naložený clip bez pružiny</v>
      </c>
      <c r="M486" s="137" t="s">
        <v>1694</v>
      </c>
      <c r="N486" s="140" t="s">
        <v>1555</v>
      </c>
      <c r="O486" s="140" t="s">
        <v>1561</v>
      </c>
      <c r="P486" s="140" t="s">
        <v>1560</v>
      </c>
    </row>
    <row r="487" spans="1:16" s="137" customFormat="1" x14ac:dyDescent="0.3">
      <c r="A487" s="249">
        <v>350839</v>
      </c>
      <c r="B487" s="18" t="str">
        <f t="shared" si="18"/>
        <v>Storng Plus vložený clip bez pružiny</v>
      </c>
      <c r="M487" s="166" t="s">
        <v>1598</v>
      </c>
      <c r="N487" s="140" t="s">
        <v>1599</v>
      </c>
      <c r="O487" s="140" t="s">
        <v>1600</v>
      </c>
      <c r="P487" s="140" t="s">
        <v>1601</v>
      </c>
    </row>
    <row r="488" spans="1:16" s="137" customFormat="1" x14ac:dyDescent="0.3">
      <c r="A488" s="249">
        <v>350856</v>
      </c>
      <c r="B488" s="18" t="str">
        <f t="shared" si="18"/>
        <v>Strong Plus 30° clip bez pružiny</v>
      </c>
      <c r="M488" s="137" t="s">
        <v>1602</v>
      </c>
      <c r="N488" s="140" t="s">
        <v>1603</v>
      </c>
      <c r="O488" s="140" t="s">
        <v>1604</v>
      </c>
      <c r="P488" s="140" t="s">
        <v>1605</v>
      </c>
    </row>
    <row r="489" spans="1:16" s="137" customFormat="1" x14ac:dyDescent="0.3">
      <c r="A489" s="248">
        <v>350827</v>
      </c>
      <c r="B489" s="18" t="str">
        <f t="shared" si="18"/>
        <v>Strong Plus naložený clip</v>
      </c>
      <c r="M489" s="137" t="s">
        <v>1557</v>
      </c>
      <c r="N489" s="166" t="s">
        <v>1557</v>
      </c>
      <c r="O489" s="166" t="s">
        <v>1562</v>
      </c>
      <c r="P489" s="166" t="s">
        <v>1563</v>
      </c>
    </row>
    <row r="490" spans="1:16" s="137" customFormat="1" x14ac:dyDescent="0.3">
      <c r="A490" s="248">
        <v>350828</v>
      </c>
      <c r="B490" s="18" t="str">
        <f t="shared" si="18"/>
        <v>Strong Plus polonaložený clip</v>
      </c>
      <c r="M490" s="137" t="s">
        <v>1556</v>
      </c>
      <c r="N490" s="166" t="s">
        <v>1556</v>
      </c>
      <c r="O490" s="166" t="s">
        <v>1564</v>
      </c>
      <c r="P490" s="166" t="s">
        <v>1565</v>
      </c>
    </row>
    <row r="491" spans="1:16" s="137" customFormat="1" x14ac:dyDescent="0.3">
      <c r="A491" s="248">
        <v>350829</v>
      </c>
      <c r="B491" s="18" t="str">
        <f t="shared" si="18"/>
        <v>Strong Plus vložený clip</v>
      </c>
      <c r="M491" s="166" t="s">
        <v>1587</v>
      </c>
      <c r="N491" s="140" t="s">
        <v>1587</v>
      </c>
      <c r="O491" s="140" t="s">
        <v>1588</v>
      </c>
      <c r="P491" s="140" t="s">
        <v>1589</v>
      </c>
    </row>
    <row r="492" spans="1:16" s="137" customFormat="1" x14ac:dyDescent="0.3">
      <c r="A492" s="248">
        <v>350854</v>
      </c>
      <c r="B492" s="18" t="str">
        <f t="shared" si="18"/>
        <v>Strong Plus 30°clip</v>
      </c>
      <c r="M492" s="137" t="s">
        <v>1606</v>
      </c>
      <c r="N492" s="224" t="s">
        <v>1606</v>
      </c>
      <c r="O492" s="224" t="s">
        <v>1606</v>
      </c>
      <c r="P492" s="224" t="s">
        <v>1606</v>
      </c>
    </row>
    <row r="493" spans="1:16" s="137" customFormat="1" x14ac:dyDescent="0.3">
      <c r="A493" s="82">
        <v>350863</v>
      </c>
      <c r="B493" s="18" t="str">
        <f t="shared" si="18"/>
        <v>Strong Plus naložený clip</v>
      </c>
      <c r="M493" s="137" t="s">
        <v>1557</v>
      </c>
      <c r="N493" s="166" t="s">
        <v>1557</v>
      </c>
      <c r="O493" s="166" t="s">
        <v>1562</v>
      </c>
      <c r="P493" s="166" t="s">
        <v>1563</v>
      </c>
    </row>
    <row r="494" spans="1:16" s="137" customFormat="1" x14ac:dyDescent="0.3">
      <c r="A494" s="82">
        <v>350864</v>
      </c>
      <c r="B494" s="18" t="str">
        <f t="shared" si="18"/>
        <v>Strong Plus naložený clip bez pružiny</v>
      </c>
      <c r="M494" s="137" t="s">
        <v>1694</v>
      </c>
      <c r="N494" s="140" t="s">
        <v>1554</v>
      </c>
      <c r="O494" s="140" t="s">
        <v>1558</v>
      </c>
      <c r="P494" s="140" t="s">
        <v>1559</v>
      </c>
    </row>
    <row r="495" spans="1:16" s="137" customFormat="1" x14ac:dyDescent="0.3">
      <c r="A495" s="82">
        <v>315856</v>
      </c>
      <c r="B495" s="18" t="str">
        <f t="shared" si="18"/>
        <v>Strong Plus Clip vrut s excentrem H0</v>
      </c>
      <c r="M495" s="137" t="s">
        <v>1711</v>
      </c>
      <c r="N495" s="166" t="s">
        <v>1712</v>
      </c>
      <c r="O495" s="166" t="s">
        <v>1713</v>
      </c>
      <c r="P495" s="166" t="s">
        <v>1714</v>
      </c>
    </row>
    <row r="496" spans="1:16" s="137" customFormat="1" x14ac:dyDescent="0.3">
      <c r="A496" s="85">
        <v>350868</v>
      </c>
      <c r="B496" s="18" t="str">
        <f t="shared" si="18"/>
        <v>Strong Plus Clip vrut s excentrem H2</v>
      </c>
      <c r="M496" s="137" t="s">
        <v>1715</v>
      </c>
      <c r="N496" s="166" t="s">
        <v>1716</v>
      </c>
      <c r="O496" s="166" t="s">
        <v>1717</v>
      </c>
      <c r="P496" s="166" t="s">
        <v>1718</v>
      </c>
    </row>
    <row r="497" spans="2:16" s="137" customFormat="1" x14ac:dyDescent="0.3">
      <c r="B497" s="18" t="str">
        <f t="shared" si="18"/>
        <v>Úvod</v>
      </c>
      <c r="M497" s="224" t="s">
        <v>1607</v>
      </c>
      <c r="N497" s="224" t="s">
        <v>1607</v>
      </c>
      <c r="O497" s="166" t="s">
        <v>1608</v>
      </c>
      <c r="P497" s="166" t="s">
        <v>1609</v>
      </c>
    </row>
    <row r="498" spans="2:16" s="137" customFormat="1" x14ac:dyDescent="0.3">
      <c r="B498" s="18" t="str">
        <f t="shared" si="18"/>
        <v>Maximální možný rozměr rámečku Corleone je 1500x600mm</v>
      </c>
      <c r="C498" s="137">
        <v>164</v>
      </c>
      <c r="M498" s="165" t="s">
        <v>1620</v>
      </c>
      <c r="N498" s="166" t="s">
        <v>1621</v>
      </c>
      <c r="O498" s="166" t="s">
        <v>1622</v>
      </c>
      <c r="P498" s="166" t="s">
        <v>1623</v>
      </c>
    </row>
    <row r="499" spans="2:16" s="137" customFormat="1" x14ac:dyDescent="0.3">
      <c r="B499" s="18"/>
      <c r="N499" s="166"/>
      <c r="O499" s="166"/>
      <c r="P499" s="166"/>
    </row>
    <row r="500" spans="2:16" s="137" customFormat="1" x14ac:dyDescent="0.3">
      <c r="B500" s="18"/>
      <c r="N500" s="166"/>
      <c r="O500" s="166"/>
      <c r="P500" s="166"/>
    </row>
    <row r="501" spans="2:16" s="137" customFormat="1" x14ac:dyDescent="0.3">
      <c r="B501" s="18"/>
      <c r="N501" s="166"/>
      <c r="O501" s="166"/>
      <c r="P501" s="166"/>
    </row>
    <row r="502" spans="2:16" s="137" customFormat="1" x14ac:dyDescent="0.3">
      <c r="B502" s="18"/>
      <c r="N502" s="166"/>
      <c r="O502" s="166"/>
      <c r="P502" s="166"/>
    </row>
    <row r="503" spans="2:16" s="137" customFormat="1" x14ac:dyDescent="0.3">
      <c r="B503" s="18"/>
      <c r="N503" s="166"/>
      <c r="O503" s="166"/>
      <c r="P503" s="166"/>
    </row>
    <row r="504" spans="2:16" s="137" customFormat="1" x14ac:dyDescent="0.3">
      <c r="B504" s="18"/>
      <c r="N504" s="166"/>
      <c r="O504" s="166"/>
      <c r="P504" s="166"/>
    </row>
    <row r="505" spans="2:16" s="137" customFormat="1" x14ac:dyDescent="0.3">
      <c r="B505" s="18"/>
      <c r="N505" s="166"/>
      <c r="O505" s="166"/>
      <c r="P505" s="166"/>
    </row>
    <row r="506" spans="2:16" s="137" customFormat="1" x14ac:dyDescent="0.3">
      <c r="B506" s="18"/>
      <c r="N506" s="166"/>
      <c r="O506" s="166"/>
      <c r="P506" s="166"/>
    </row>
    <row r="507" spans="2:16" s="137" customFormat="1" x14ac:dyDescent="0.3">
      <c r="B507" s="18"/>
      <c r="N507" s="166"/>
      <c r="O507" s="166"/>
      <c r="P507" s="166"/>
    </row>
    <row r="508" spans="2:16" s="137" customFormat="1" x14ac:dyDescent="0.3">
      <c r="B508" s="18"/>
      <c r="N508" s="166"/>
      <c r="O508" s="166"/>
      <c r="P508" s="166"/>
    </row>
    <row r="509" spans="2:16" s="137" customFormat="1" x14ac:dyDescent="0.3">
      <c r="B509" s="18"/>
      <c r="N509" s="166"/>
      <c r="O509" s="166"/>
      <c r="P509" s="166"/>
    </row>
    <row r="510" spans="2:16" s="137" customFormat="1" x14ac:dyDescent="0.3">
      <c r="B510" s="18"/>
      <c r="N510" s="166"/>
      <c r="O510" s="166"/>
      <c r="P510" s="166"/>
    </row>
    <row r="511" spans="2:16" s="137" customFormat="1" x14ac:dyDescent="0.3">
      <c r="B511" s="18"/>
      <c r="N511" s="166"/>
      <c r="O511" s="166"/>
      <c r="P511" s="166"/>
    </row>
    <row r="512" spans="2:16" s="137" customFormat="1" x14ac:dyDescent="0.3">
      <c r="B512" s="18"/>
      <c r="N512" s="166"/>
      <c r="O512" s="166"/>
      <c r="P512" s="166"/>
    </row>
    <row r="513" spans="2:16" s="137" customFormat="1" x14ac:dyDescent="0.3">
      <c r="B513" s="18"/>
      <c r="N513" s="166"/>
      <c r="O513" s="166"/>
      <c r="P513" s="166"/>
    </row>
    <row r="514" spans="2:16" s="137" customFormat="1" x14ac:dyDescent="0.3">
      <c r="B514" s="18"/>
      <c r="N514" s="166"/>
      <c r="O514" s="166"/>
      <c r="P514" s="166"/>
    </row>
    <row r="515" spans="2:16" s="137" customFormat="1" x14ac:dyDescent="0.3">
      <c r="B515" s="18"/>
      <c r="N515" s="166"/>
      <c r="O515" s="166"/>
      <c r="P515" s="166"/>
    </row>
    <row r="516" spans="2:16" s="137" customFormat="1" x14ac:dyDescent="0.3">
      <c r="B516" s="18"/>
      <c r="N516" s="166"/>
      <c r="O516" s="166"/>
      <c r="P516" s="166"/>
    </row>
    <row r="517" spans="2:16" s="137" customFormat="1" x14ac:dyDescent="0.3">
      <c r="B517" s="18"/>
      <c r="N517" s="166"/>
      <c r="O517" s="166"/>
      <c r="P517" s="166"/>
    </row>
    <row r="518" spans="2:16" s="137" customFormat="1" x14ac:dyDescent="0.3">
      <c r="B518" s="18"/>
      <c r="N518" s="166"/>
      <c r="O518" s="166"/>
      <c r="P518" s="166"/>
    </row>
    <row r="519" spans="2:16" s="137" customFormat="1" x14ac:dyDescent="0.3">
      <c r="B519" s="18"/>
      <c r="N519" s="166"/>
      <c r="O519" s="166"/>
      <c r="P519" s="166"/>
    </row>
    <row r="520" spans="2:16" s="137" customFormat="1" x14ac:dyDescent="0.3">
      <c r="B520" s="18"/>
      <c r="N520" s="166"/>
      <c r="O520" s="166"/>
      <c r="P520" s="166"/>
    </row>
    <row r="521" spans="2:16" s="137" customFormat="1" x14ac:dyDescent="0.3">
      <c r="B521" s="18"/>
      <c r="N521" s="166"/>
      <c r="O521" s="166"/>
      <c r="P521" s="166"/>
    </row>
    <row r="522" spans="2:16" s="137" customFormat="1" x14ac:dyDescent="0.3">
      <c r="B522" s="18"/>
      <c r="N522" s="166"/>
      <c r="O522" s="166"/>
      <c r="P522" s="166"/>
    </row>
    <row r="523" spans="2:16" s="137" customFormat="1" x14ac:dyDescent="0.3">
      <c r="B523" s="18"/>
      <c r="N523" s="166"/>
      <c r="O523" s="166"/>
      <c r="P523" s="166"/>
    </row>
    <row r="524" spans="2:16" s="137" customFormat="1" x14ac:dyDescent="0.3">
      <c r="B524" s="18"/>
      <c r="N524" s="166"/>
      <c r="O524" s="166"/>
      <c r="P524" s="166"/>
    </row>
    <row r="525" spans="2:16" s="137" customFormat="1" x14ac:dyDescent="0.3">
      <c r="B525" s="18"/>
      <c r="N525" s="166"/>
      <c r="O525" s="166"/>
      <c r="P525" s="166"/>
    </row>
    <row r="526" spans="2:16" s="137" customFormat="1" x14ac:dyDescent="0.3">
      <c r="B526" s="18"/>
      <c r="N526" s="166"/>
      <c r="O526" s="166"/>
      <c r="P526" s="166"/>
    </row>
    <row r="527" spans="2:16" s="137" customFormat="1" x14ac:dyDescent="0.3">
      <c r="B527" s="18"/>
      <c r="N527" s="166"/>
      <c r="O527" s="166"/>
      <c r="P527" s="166"/>
    </row>
    <row r="528" spans="2:16" s="137" customFormat="1" x14ac:dyDescent="0.3">
      <c r="B528" s="18"/>
      <c r="N528" s="166"/>
      <c r="O528" s="166"/>
      <c r="P528" s="166"/>
    </row>
    <row r="529" spans="2:16" s="137" customFormat="1" x14ac:dyDescent="0.3">
      <c r="B529" s="18"/>
      <c r="N529" s="166"/>
      <c r="O529" s="166"/>
      <c r="P529" s="166"/>
    </row>
    <row r="530" spans="2:16" s="137" customFormat="1" x14ac:dyDescent="0.3">
      <c r="B530" s="18"/>
      <c r="N530" s="166"/>
      <c r="O530" s="166"/>
      <c r="P530" s="166"/>
    </row>
    <row r="531" spans="2:16" s="137" customFormat="1" x14ac:dyDescent="0.3">
      <c r="B531" s="18"/>
      <c r="N531" s="166"/>
      <c r="O531" s="166"/>
      <c r="P531" s="166"/>
    </row>
    <row r="532" spans="2:16" s="137" customFormat="1" x14ac:dyDescent="0.3">
      <c r="B532" s="18"/>
      <c r="N532" s="166"/>
      <c r="O532" s="166"/>
      <c r="P532" s="166"/>
    </row>
    <row r="533" spans="2:16" s="137" customFormat="1" x14ac:dyDescent="0.3">
      <c r="B533" s="18"/>
      <c r="N533" s="166"/>
      <c r="O533" s="166"/>
      <c r="P533" s="166"/>
    </row>
    <row r="534" spans="2:16" s="137" customFormat="1" x14ac:dyDescent="0.3">
      <c r="B534" s="18"/>
      <c r="N534" s="166"/>
      <c r="O534" s="166"/>
      <c r="P534" s="166"/>
    </row>
    <row r="535" spans="2:16" s="137" customFormat="1" x14ac:dyDescent="0.3">
      <c r="B535" s="18"/>
      <c r="N535" s="166"/>
      <c r="O535" s="166"/>
      <c r="P535" s="166"/>
    </row>
    <row r="536" spans="2:16" s="137" customFormat="1" x14ac:dyDescent="0.3">
      <c r="B536" s="18"/>
      <c r="N536" s="166"/>
      <c r="O536" s="166"/>
      <c r="P536" s="166"/>
    </row>
    <row r="537" spans="2:16" s="137" customFormat="1" x14ac:dyDescent="0.3">
      <c r="B537" s="18"/>
      <c r="N537" s="166"/>
      <c r="O537" s="166"/>
      <c r="P537" s="166"/>
    </row>
    <row r="538" spans="2:16" s="137" customFormat="1" x14ac:dyDescent="0.3">
      <c r="B538" s="18"/>
      <c r="N538" s="166"/>
      <c r="O538" s="166"/>
      <c r="P538" s="166"/>
    </row>
    <row r="539" spans="2:16" s="137" customFormat="1" x14ac:dyDescent="0.3">
      <c r="B539" s="18"/>
      <c r="N539" s="166"/>
      <c r="O539" s="166"/>
      <c r="P539" s="166"/>
    </row>
    <row r="540" spans="2:16" s="137" customFormat="1" x14ac:dyDescent="0.3">
      <c r="B540" s="18"/>
      <c r="N540" s="166"/>
      <c r="O540" s="166"/>
      <c r="P540" s="166"/>
    </row>
    <row r="541" spans="2:16" s="137" customFormat="1" x14ac:dyDescent="0.3">
      <c r="B541" s="18"/>
      <c r="N541" s="166"/>
      <c r="O541" s="166"/>
      <c r="P541" s="166"/>
    </row>
    <row r="542" spans="2:16" s="137" customFormat="1" x14ac:dyDescent="0.3">
      <c r="B542" s="18"/>
      <c r="N542" s="166"/>
      <c r="O542" s="166"/>
      <c r="P542" s="166"/>
    </row>
    <row r="543" spans="2:16" s="137" customFormat="1" x14ac:dyDescent="0.3">
      <c r="B543" s="18"/>
      <c r="N543" s="166"/>
      <c r="O543" s="166"/>
      <c r="P543" s="166"/>
    </row>
    <row r="544" spans="2:16" s="137" customFormat="1" x14ac:dyDescent="0.3">
      <c r="B544" s="18"/>
      <c r="N544" s="166"/>
      <c r="O544" s="166"/>
      <c r="P544" s="166"/>
    </row>
    <row r="545" spans="2:16" s="137" customFormat="1" x14ac:dyDescent="0.3">
      <c r="B545" s="18"/>
      <c r="N545" s="166"/>
      <c r="O545" s="166"/>
      <c r="P545" s="166"/>
    </row>
    <row r="546" spans="2:16" s="137" customFormat="1" x14ac:dyDescent="0.3">
      <c r="B546" s="18"/>
      <c r="N546" s="166"/>
      <c r="O546" s="166"/>
      <c r="P546" s="166"/>
    </row>
    <row r="547" spans="2:16" s="137" customFormat="1" x14ac:dyDescent="0.3">
      <c r="B547" s="18"/>
      <c r="N547" s="166"/>
      <c r="O547" s="166"/>
      <c r="P547" s="166"/>
    </row>
    <row r="548" spans="2:16" s="137" customFormat="1" x14ac:dyDescent="0.3">
      <c r="B548" s="18"/>
      <c r="N548" s="166"/>
      <c r="O548" s="166"/>
      <c r="P548" s="166"/>
    </row>
    <row r="549" spans="2:16" s="137" customFormat="1" x14ac:dyDescent="0.3">
      <c r="B549" s="18"/>
      <c r="N549" s="166"/>
      <c r="O549" s="166"/>
      <c r="P549" s="166"/>
    </row>
    <row r="550" spans="2:16" s="137" customFormat="1" x14ac:dyDescent="0.3">
      <c r="B550" s="18"/>
      <c r="N550" s="166"/>
      <c r="O550" s="166"/>
      <c r="P550" s="166"/>
    </row>
    <row r="551" spans="2:16" s="137" customFormat="1" x14ac:dyDescent="0.3">
      <c r="B551" s="18"/>
      <c r="N551" s="166"/>
      <c r="O551" s="166"/>
      <c r="P551" s="166"/>
    </row>
    <row r="552" spans="2:16" s="137" customFormat="1" x14ac:dyDescent="0.3">
      <c r="B552" s="18"/>
      <c r="N552" s="166"/>
      <c r="O552" s="166"/>
      <c r="P552" s="166"/>
    </row>
    <row r="553" spans="2:16" s="137" customFormat="1" x14ac:dyDescent="0.3">
      <c r="B553" s="18"/>
      <c r="N553" s="166"/>
      <c r="O553" s="166"/>
      <c r="P553" s="166"/>
    </row>
    <row r="554" spans="2:16" s="137" customFormat="1" x14ac:dyDescent="0.3">
      <c r="B554" s="18"/>
      <c r="N554" s="166"/>
      <c r="O554" s="166"/>
      <c r="P554" s="166"/>
    </row>
    <row r="555" spans="2:16" s="137" customFormat="1" x14ac:dyDescent="0.3">
      <c r="B555" s="18"/>
      <c r="N555" s="166"/>
      <c r="O555" s="166"/>
      <c r="P555" s="166"/>
    </row>
    <row r="556" spans="2:16" s="137" customFormat="1" x14ac:dyDescent="0.3">
      <c r="B556" s="18"/>
      <c r="N556" s="166"/>
      <c r="O556" s="166"/>
      <c r="P556" s="166"/>
    </row>
    <row r="557" spans="2:16" s="137" customFormat="1" x14ac:dyDescent="0.3">
      <c r="B557" s="18"/>
      <c r="N557" s="166"/>
      <c r="O557" s="166"/>
      <c r="P557" s="166"/>
    </row>
    <row r="558" spans="2:16" s="137" customFormat="1" x14ac:dyDescent="0.3">
      <c r="B558" s="18"/>
      <c r="N558" s="166"/>
      <c r="O558" s="166"/>
      <c r="P558" s="166"/>
    </row>
    <row r="559" spans="2:16" s="137" customFormat="1" x14ac:dyDescent="0.3">
      <c r="B559" s="18"/>
      <c r="N559" s="166"/>
      <c r="O559" s="166"/>
      <c r="P559" s="166"/>
    </row>
    <row r="560" spans="2:16" s="137" customFormat="1" x14ac:dyDescent="0.3">
      <c r="B560" s="18"/>
      <c r="N560" s="166"/>
      <c r="O560" s="166"/>
      <c r="P560" s="166"/>
    </row>
    <row r="561" spans="2:16" s="137" customFormat="1" x14ac:dyDescent="0.3">
      <c r="B561" s="18"/>
      <c r="N561" s="166"/>
      <c r="O561" s="166"/>
      <c r="P561" s="166"/>
    </row>
    <row r="562" spans="2:16" s="137" customFormat="1" x14ac:dyDescent="0.3">
      <c r="B562" s="18"/>
      <c r="N562" s="166"/>
      <c r="O562" s="166"/>
      <c r="P562" s="166"/>
    </row>
    <row r="563" spans="2:16" s="137" customFormat="1" x14ac:dyDescent="0.3">
      <c r="B563" s="18"/>
      <c r="N563" s="166"/>
      <c r="O563" s="166"/>
      <c r="P563" s="166"/>
    </row>
    <row r="564" spans="2:16" s="137" customFormat="1" x14ac:dyDescent="0.3">
      <c r="B564" s="18"/>
      <c r="N564" s="166"/>
      <c r="O564" s="166"/>
      <c r="P564" s="166"/>
    </row>
    <row r="565" spans="2:16" s="137" customFormat="1" x14ac:dyDescent="0.3">
      <c r="B565" s="18"/>
      <c r="N565" s="166"/>
      <c r="O565" s="166"/>
      <c r="P565" s="166"/>
    </row>
    <row r="566" spans="2:16" s="137" customFormat="1" x14ac:dyDescent="0.3">
      <c r="B566" s="18"/>
      <c r="N566" s="166"/>
      <c r="O566" s="166"/>
      <c r="P566" s="166"/>
    </row>
    <row r="567" spans="2:16" s="137" customFormat="1" x14ac:dyDescent="0.3">
      <c r="B567" s="18"/>
      <c r="N567" s="166"/>
      <c r="O567" s="166"/>
      <c r="P567" s="166"/>
    </row>
    <row r="568" spans="2:16" s="137" customFormat="1" x14ac:dyDescent="0.3">
      <c r="B568" s="18"/>
      <c r="N568" s="166"/>
      <c r="O568" s="166"/>
      <c r="P568" s="166"/>
    </row>
    <row r="569" spans="2:16" s="137" customFormat="1" x14ac:dyDescent="0.3">
      <c r="B569" s="18"/>
      <c r="N569" s="166"/>
      <c r="O569" s="166"/>
      <c r="P569" s="166"/>
    </row>
    <row r="570" spans="2:16" s="137" customFormat="1" x14ac:dyDescent="0.3">
      <c r="B570" s="18"/>
      <c r="N570" s="166"/>
      <c r="O570" s="166"/>
      <c r="P570" s="166"/>
    </row>
    <row r="571" spans="2:16" s="137" customFormat="1" x14ac:dyDescent="0.3">
      <c r="B571" s="18"/>
      <c r="N571" s="166"/>
      <c r="O571" s="166"/>
      <c r="P571" s="166"/>
    </row>
    <row r="572" spans="2:16" s="137" customFormat="1" x14ac:dyDescent="0.3">
      <c r="B572" s="18"/>
      <c r="N572" s="166"/>
      <c r="O572" s="166"/>
      <c r="P572" s="166"/>
    </row>
    <row r="573" spans="2:16" s="137" customFormat="1" x14ac:dyDescent="0.3">
      <c r="B573" s="18"/>
      <c r="N573" s="166"/>
      <c r="O573" s="166"/>
      <c r="P573" s="166"/>
    </row>
    <row r="574" spans="2:16" s="137" customFormat="1" x14ac:dyDescent="0.3">
      <c r="B574" s="18"/>
      <c r="N574" s="166"/>
      <c r="O574" s="166"/>
      <c r="P574" s="166"/>
    </row>
    <row r="575" spans="2:16" s="137" customFormat="1" x14ac:dyDescent="0.3">
      <c r="B575" s="18"/>
      <c r="N575" s="166"/>
      <c r="O575" s="166"/>
      <c r="P575" s="166"/>
    </row>
    <row r="576" spans="2:16" s="137" customFormat="1" x14ac:dyDescent="0.3">
      <c r="B576" s="18"/>
      <c r="N576" s="166"/>
      <c r="O576" s="166"/>
      <c r="P576" s="166"/>
    </row>
    <row r="577" spans="2:16" s="137" customFormat="1" x14ac:dyDescent="0.3">
      <c r="B577" s="18"/>
      <c r="N577" s="166"/>
      <c r="O577" s="166"/>
      <c r="P577" s="166"/>
    </row>
    <row r="578" spans="2:16" s="137" customFormat="1" x14ac:dyDescent="0.3">
      <c r="B578" s="18"/>
      <c r="N578" s="166"/>
      <c r="O578" s="166"/>
      <c r="P578" s="166"/>
    </row>
    <row r="579" spans="2:16" s="137" customFormat="1" x14ac:dyDescent="0.3">
      <c r="B579" s="18"/>
      <c r="N579" s="166"/>
      <c r="O579" s="166"/>
      <c r="P579" s="166"/>
    </row>
    <row r="580" spans="2:16" s="137" customFormat="1" x14ac:dyDescent="0.3">
      <c r="B580" s="18"/>
      <c r="N580" s="166"/>
      <c r="O580" s="166"/>
      <c r="P580" s="166"/>
    </row>
    <row r="581" spans="2:16" s="137" customFormat="1" x14ac:dyDescent="0.3">
      <c r="B581" s="18"/>
      <c r="N581" s="166"/>
      <c r="O581" s="166"/>
      <c r="P581" s="166"/>
    </row>
    <row r="582" spans="2:16" s="137" customFormat="1" x14ac:dyDescent="0.3">
      <c r="B582" s="18"/>
      <c r="N582" s="166"/>
      <c r="O582" s="166"/>
      <c r="P582" s="166"/>
    </row>
    <row r="583" spans="2:16" s="137" customFormat="1" x14ac:dyDescent="0.3">
      <c r="B583" s="18"/>
      <c r="N583" s="166"/>
      <c r="O583" s="166"/>
      <c r="P583" s="166"/>
    </row>
    <row r="584" spans="2:16" s="137" customFormat="1" x14ac:dyDescent="0.3">
      <c r="B584" s="18"/>
      <c r="N584" s="166"/>
      <c r="O584" s="166"/>
      <c r="P584" s="166"/>
    </row>
    <row r="585" spans="2:16" s="137" customFormat="1" x14ac:dyDescent="0.3">
      <c r="B585" s="18"/>
      <c r="N585" s="166"/>
      <c r="O585" s="166"/>
      <c r="P585" s="166"/>
    </row>
    <row r="586" spans="2:16" s="137" customFormat="1" x14ac:dyDescent="0.3">
      <c r="B586" s="18"/>
      <c r="N586" s="166"/>
      <c r="O586" s="166"/>
      <c r="P586" s="166"/>
    </row>
    <row r="587" spans="2:16" s="137" customFormat="1" x14ac:dyDescent="0.3">
      <c r="B587" s="18"/>
      <c r="N587" s="166"/>
      <c r="O587" s="166"/>
      <c r="P587" s="166"/>
    </row>
    <row r="588" spans="2:16" s="137" customFormat="1" x14ac:dyDescent="0.3">
      <c r="B588" s="18"/>
      <c r="N588" s="166"/>
      <c r="O588" s="166"/>
      <c r="P588" s="166"/>
    </row>
    <row r="589" spans="2:16" s="137" customFormat="1" x14ac:dyDescent="0.3">
      <c r="B589" s="18"/>
      <c r="N589" s="166"/>
      <c r="O589" s="166"/>
      <c r="P589" s="166"/>
    </row>
    <row r="590" spans="2:16" s="137" customFormat="1" x14ac:dyDescent="0.3">
      <c r="B590" s="18"/>
      <c r="N590" s="166"/>
      <c r="O590" s="166"/>
      <c r="P590" s="166"/>
    </row>
    <row r="591" spans="2:16" s="137" customFormat="1" x14ac:dyDescent="0.3">
      <c r="B591" s="18"/>
      <c r="N591" s="166"/>
      <c r="O591" s="166"/>
      <c r="P591" s="166"/>
    </row>
    <row r="592" spans="2:16" s="137" customFormat="1" x14ac:dyDescent="0.3">
      <c r="B592" s="18"/>
      <c r="N592" s="166"/>
      <c r="O592" s="166"/>
      <c r="P592" s="166"/>
    </row>
    <row r="593" spans="2:16" s="137" customFormat="1" x14ac:dyDescent="0.3">
      <c r="B593" s="18"/>
      <c r="N593" s="166"/>
      <c r="O593" s="166"/>
      <c r="P593" s="166"/>
    </row>
    <row r="594" spans="2:16" s="137" customFormat="1" x14ac:dyDescent="0.3">
      <c r="B594" s="18"/>
      <c r="N594" s="166"/>
      <c r="O594" s="166"/>
      <c r="P594" s="166"/>
    </row>
    <row r="595" spans="2:16" s="137" customFormat="1" x14ac:dyDescent="0.3">
      <c r="B595" s="18"/>
      <c r="N595" s="166"/>
      <c r="O595" s="166"/>
      <c r="P595" s="166"/>
    </row>
    <row r="596" spans="2:16" s="137" customFormat="1" x14ac:dyDescent="0.3">
      <c r="B596" s="18"/>
      <c r="N596" s="166"/>
      <c r="O596" s="166"/>
      <c r="P596" s="166"/>
    </row>
    <row r="597" spans="2:16" s="137" customFormat="1" x14ac:dyDescent="0.3">
      <c r="B597" s="18"/>
      <c r="N597" s="166"/>
      <c r="O597" s="166"/>
      <c r="P597" s="166"/>
    </row>
    <row r="598" spans="2:16" s="137" customFormat="1" x14ac:dyDescent="0.3">
      <c r="B598" s="18"/>
      <c r="N598" s="166"/>
      <c r="O598" s="166"/>
      <c r="P598" s="166"/>
    </row>
    <row r="599" spans="2:16" s="137" customFormat="1" x14ac:dyDescent="0.3">
      <c r="B599" s="18"/>
      <c r="N599" s="166"/>
      <c r="O599" s="166"/>
      <c r="P599" s="166"/>
    </row>
    <row r="600" spans="2:16" s="137" customFormat="1" x14ac:dyDescent="0.3">
      <c r="B600" s="18"/>
      <c r="N600" s="166"/>
      <c r="O600" s="166"/>
      <c r="P600" s="166"/>
    </row>
    <row r="601" spans="2:16" s="137" customFormat="1" x14ac:dyDescent="0.3">
      <c r="B601" s="18"/>
      <c r="N601" s="166"/>
      <c r="O601" s="166"/>
      <c r="P601" s="166"/>
    </row>
    <row r="602" spans="2:16" s="137" customFormat="1" x14ac:dyDescent="0.3">
      <c r="B602" s="18"/>
      <c r="N602" s="166"/>
      <c r="O602" s="166"/>
      <c r="P602" s="166"/>
    </row>
    <row r="603" spans="2:16" s="137" customFormat="1" x14ac:dyDescent="0.3">
      <c r="B603" s="18"/>
      <c r="N603" s="166"/>
      <c r="O603" s="166"/>
      <c r="P603" s="166"/>
    </row>
    <row r="604" spans="2:16" s="137" customFormat="1" x14ac:dyDescent="0.3">
      <c r="B604" s="18"/>
      <c r="N604" s="166"/>
      <c r="O604" s="166"/>
      <c r="P604" s="166"/>
    </row>
    <row r="605" spans="2:16" s="137" customFormat="1" x14ac:dyDescent="0.3">
      <c r="B605" s="18"/>
      <c r="N605" s="166"/>
      <c r="O605" s="166"/>
      <c r="P605" s="166"/>
    </row>
    <row r="606" spans="2:16" s="137" customFormat="1" x14ac:dyDescent="0.3">
      <c r="B606" s="18"/>
      <c r="N606" s="166"/>
      <c r="O606" s="166"/>
      <c r="P606" s="166"/>
    </row>
    <row r="607" spans="2:16" s="137" customFormat="1" x14ac:dyDescent="0.3">
      <c r="B607" s="18"/>
      <c r="N607" s="166"/>
      <c r="O607" s="166"/>
      <c r="P607" s="166"/>
    </row>
    <row r="608" spans="2:16" s="137" customFormat="1" x14ac:dyDescent="0.3">
      <c r="B608" s="18"/>
      <c r="N608" s="166"/>
      <c r="O608" s="166"/>
      <c r="P608" s="166"/>
    </row>
    <row r="609" spans="2:16" s="137" customFormat="1" x14ac:dyDescent="0.3">
      <c r="B609" s="18"/>
      <c r="N609" s="166"/>
      <c r="O609" s="166"/>
      <c r="P609" s="166"/>
    </row>
    <row r="610" spans="2:16" s="137" customFormat="1" x14ac:dyDescent="0.3">
      <c r="B610" s="18"/>
      <c r="N610" s="166"/>
      <c r="O610" s="166"/>
      <c r="P610" s="166"/>
    </row>
    <row r="611" spans="2:16" s="137" customFormat="1" x14ac:dyDescent="0.3">
      <c r="B611" s="18"/>
      <c r="N611" s="166"/>
      <c r="O611" s="166"/>
      <c r="P611" s="166"/>
    </row>
    <row r="612" spans="2:16" s="137" customFormat="1" x14ac:dyDescent="0.3">
      <c r="B612" s="18"/>
      <c r="N612" s="166"/>
      <c r="O612" s="166"/>
      <c r="P612" s="166"/>
    </row>
    <row r="613" spans="2:16" s="137" customFormat="1" x14ac:dyDescent="0.3">
      <c r="B613" s="18"/>
      <c r="N613" s="166"/>
      <c r="O613" s="166"/>
      <c r="P613" s="166"/>
    </row>
    <row r="614" spans="2:16" s="137" customFormat="1" x14ac:dyDescent="0.3">
      <c r="B614" s="18"/>
      <c r="N614" s="166"/>
      <c r="O614" s="166"/>
      <c r="P614" s="166"/>
    </row>
    <row r="615" spans="2:16" s="137" customFormat="1" x14ac:dyDescent="0.3">
      <c r="B615" s="18"/>
      <c r="N615" s="166"/>
      <c r="O615" s="166"/>
      <c r="P615" s="166"/>
    </row>
    <row r="616" spans="2:16" s="137" customFormat="1" x14ac:dyDescent="0.3">
      <c r="B616" s="18"/>
      <c r="N616" s="166"/>
      <c r="O616" s="166"/>
      <c r="P616" s="166"/>
    </row>
    <row r="617" spans="2:16" s="137" customFormat="1" x14ac:dyDescent="0.3">
      <c r="B617" s="18"/>
      <c r="N617" s="166"/>
      <c r="O617" s="166"/>
      <c r="P617" s="166"/>
    </row>
    <row r="618" spans="2:16" s="137" customFormat="1" x14ac:dyDescent="0.3">
      <c r="B618" s="18"/>
      <c r="N618" s="166"/>
      <c r="O618" s="166"/>
      <c r="P618" s="166"/>
    </row>
    <row r="619" spans="2:16" s="137" customFormat="1" x14ac:dyDescent="0.3">
      <c r="B619" s="18"/>
      <c r="N619" s="166"/>
      <c r="O619" s="166"/>
      <c r="P619" s="166"/>
    </row>
    <row r="620" spans="2:16" s="137" customFormat="1" x14ac:dyDescent="0.3">
      <c r="B620" s="18"/>
      <c r="N620" s="166"/>
      <c r="O620" s="166"/>
      <c r="P620" s="166"/>
    </row>
    <row r="621" spans="2:16" s="137" customFormat="1" x14ac:dyDescent="0.3">
      <c r="B621" s="18"/>
      <c r="N621" s="166"/>
      <c r="O621" s="166"/>
      <c r="P621" s="166"/>
    </row>
    <row r="622" spans="2:16" s="137" customFormat="1" x14ac:dyDescent="0.3">
      <c r="B622" s="18"/>
      <c r="N622" s="166"/>
      <c r="O622" s="166"/>
      <c r="P622" s="166"/>
    </row>
    <row r="623" spans="2:16" s="137" customFormat="1" x14ac:dyDescent="0.3">
      <c r="B623" s="18"/>
      <c r="N623" s="166"/>
      <c r="O623" s="166"/>
      <c r="P623" s="166"/>
    </row>
    <row r="624" spans="2:16" s="137" customFormat="1" x14ac:dyDescent="0.3">
      <c r="B624" s="18"/>
      <c r="N624" s="166"/>
      <c r="O624" s="166"/>
      <c r="P624" s="166"/>
    </row>
    <row r="625" spans="2:16" s="137" customFormat="1" x14ac:dyDescent="0.3">
      <c r="B625" s="18"/>
      <c r="N625" s="166"/>
      <c r="O625" s="166"/>
      <c r="P625" s="166"/>
    </row>
    <row r="626" spans="2:16" s="137" customFormat="1" x14ac:dyDescent="0.3">
      <c r="B626" s="18"/>
      <c r="N626" s="166"/>
      <c r="O626" s="166"/>
      <c r="P626" s="166"/>
    </row>
    <row r="627" spans="2:16" s="137" customFormat="1" x14ac:dyDescent="0.3">
      <c r="B627" s="18"/>
      <c r="N627" s="166"/>
      <c r="O627" s="166"/>
      <c r="P627" s="166"/>
    </row>
    <row r="628" spans="2:16" s="137" customFormat="1" x14ac:dyDescent="0.3">
      <c r="B628" s="18"/>
      <c r="N628" s="166"/>
      <c r="O628" s="166"/>
      <c r="P628" s="166"/>
    </row>
    <row r="629" spans="2:16" s="137" customFormat="1" x14ac:dyDescent="0.3">
      <c r="B629" s="18"/>
      <c r="N629" s="166"/>
      <c r="O629" s="166"/>
      <c r="P629" s="166"/>
    </row>
    <row r="630" spans="2:16" s="137" customFormat="1" x14ac:dyDescent="0.3">
      <c r="B630" s="18"/>
      <c r="N630" s="166"/>
      <c r="O630" s="166"/>
      <c r="P630" s="166"/>
    </row>
    <row r="631" spans="2:16" s="137" customFormat="1" x14ac:dyDescent="0.3">
      <c r="B631" s="18"/>
      <c r="N631" s="166"/>
      <c r="O631" s="166"/>
      <c r="P631" s="166"/>
    </row>
    <row r="632" spans="2:16" s="137" customFormat="1" x14ac:dyDescent="0.3">
      <c r="B632" s="18"/>
      <c r="N632" s="166"/>
      <c r="O632" s="166"/>
      <c r="P632" s="166"/>
    </row>
    <row r="633" spans="2:16" s="137" customFormat="1" x14ac:dyDescent="0.3">
      <c r="B633" s="18"/>
      <c r="N633" s="166"/>
      <c r="O633" s="166"/>
      <c r="P633" s="166"/>
    </row>
    <row r="634" spans="2:16" s="137" customFormat="1" x14ac:dyDescent="0.3">
      <c r="B634" s="18"/>
      <c r="N634" s="166"/>
      <c r="O634" s="166"/>
      <c r="P634" s="166"/>
    </row>
    <row r="635" spans="2:16" s="137" customFormat="1" x14ac:dyDescent="0.3">
      <c r="B635" s="18"/>
      <c r="N635" s="166"/>
      <c r="O635" s="166"/>
      <c r="P635" s="166"/>
    </row>
    <row r="636" spans="2:16" s="137" customFormat="1" x14ac:dyDescent="0.3">
      <c r="B636" s="18"/>
      <c r="N636" s="166"/>
      <c r="O636" s="166"/>
      <c r="P636" s="166"/>
    </row>
    <row r="637" spans="2:16" s="137" customFormat="1" x14ac:dyDescent="0.3">
      <c r="B637" s="18"/>
      <c r="N637" s="166"/>
      <c r="O637" s="166"/>
      <c r="P637" s="166"/>
    </row>
    <row r="638" spans="2:16" s="137" customFormat="1" x14ac:dyDescent="0.3">
      <c r="B638" s="18"/>
      <c r="N638" s="166"/>
      <c r="O638" s="166"/>
      <c r="P638" s="166"/>
    </row>
    <row r="639" spans="2:16" s="137" customFormat="1" x14ac:dyDescent="0.3">
      <c r="B639" s="18"/>
      <c r="N639" s="166"/>
      <c r="O639" s="166"/>
      <c r="P639" s="166"/>
    </row>
    <row r="640" spans="2:16" s="137" customFormat="1" x14ac:dyDescent="0.3">
      <c r="B640" s="18"/>
      <c r="N640" s="166"/>
      <c r="O640" s="166"/>
      <c r="P640" s="166"/>
    </row>
    <row r="641" spans="2:16" s="137" customFormat="1" x14ac:dyDescent="0.3">
      <c r="B641" s="18"/>
      <c r="N641" s="166"/>
      <c r="O641" s="166"/>
      <c r="P641" s="166"/>
    </row>
    <row r="642" spans="2:16" s="137" customFormat="1" x14ac:dyDescent="0.3">
      <c r="B642" s="18"/>
      <c r="N642" s="166"/>
      <c r="O642" s="166"/>
      <c r="P642" s="166"/>
    </row>
    <row r="643" spans="2:16" s="137" customFormat="1" x14ac:dyDescent="0.3">
      <c r="B643" s="18"/>
      <c r="N643" s="166"/>
      <c r="O643" s="166"/>
      <c r="P643" s="166"/>
    </row>
    <row r="644" spans="2:16" s="137" customFormat="1" x14ac:dyDescent="0.3">
      <c r="B644" s="18"/>
      <c r="N644" s="166"/>
      <c r="O644" s="166"/>
      <c r="P644" s="166"/>
    </row>
    <row r="645" spans="2:16" s="137" customFormat="1" x14ac:dyDescent="0.3">
      <c r="B645" s="18"/>
      <c r="N645" s="166"/>
      <c r="O645" s="166"/>
      <c r="P645" s="166"/>
    </row>
    <row r="646" spans="2:16" s="137" customFormat="1" x14ac:dyDescent="0.3">
      <c r="B646" s="18"/>
      <c r="N646" s="166"/>
      <c r="O646" s="166"/>
      <c r="P646" s="166"/>
    </row>
    <row r="647" spans="2:16" s="137" customFormat="1" x14ac:dyDescent="0.3">
      <c r="B647" s="18"/>
      <c r="N647" s="166"/>
      <c r="O647" s="166"/>
      <c r="P647" s="166"/>
    </row>
    <row r="648" spans="2:16" s="137" customFormat="1" x14ac:dyDescent="0.3">
      <c r="B648" s="18"/>
      <c r="N648" s="166"/>
      <c r="O648" s="166"/>
      <c r="P648" s="166"/>
    </row>
    <row r="649" spans="2:16" s="137" customFormat="1" x14ac:dyDescent="0.3">
      <c r="B649" s="18"/>
      <c r="N649" s="166"/>
      <c r="O649" s="166"/>
      <c r="P649" s="166"/>
    </row>
    <row r="650" spans="2:16" s="137" customFormat="1" x14ac:dyDescent="0.3">
      <c r="B650" s="18"/>
      <c r="N650" s="166"/>
      <c r="O650" s="166"/>
      <c r="P650" s="166"/>
    </row>
    <row r="651" spans="2:16" s="137" customFormat="1" x14ac:dyDescent="0.3">
      <c r="B651" s="18"/>
      <c r="N651" s="166"/>
      <c r="O651" s="166"/>
      <c r="P651" s="166"/>
    </row>
    <row r="652" spans="2:16" s="137" customFormat="1" x14ac:dyDescent="0.3">
      <c r="B652" s="18"/>
      <c r="N652" s="166"/>
      <c r="O652" s="166"/>
      <c r="P652" s="166"/>
    </row>
    <row r="653" spans="2:16" s="137" customFormat="1" x14ac:dyDescent="0.3">
      <c r="B653" s="18"/>
      <c r="N653" s="166"/>
      <c r="O653" s="166"/>
      <c r="P653" s="166"/>
    </row>
    <row r="654" spans="2:16" s="137" customFormat="1" x14ac:dyDescent="0.3">
      <c r="B654" s="18"/>
      <c r="N654" s="166"/>
      <c r="O654" s="166"/>
      <c r="P654" s="166"/>
    </row>
    <row r="655" spans="2:16" s="137" customFormat="1" x14ac:dyDescent="0.3">
      <c r="B655" s="18"/>
      <c r="N655" s="166"/>
      <c r="O655" s="166"/>
      <c r="P655" s="166"/>
    </row>
    <row r="656" spans="2:16" s="137" customFormat="1" x14ac:dyDescent="0.3">
      <c r="B656" s="18"/>
      <c r="N656" s="166"/>
      <c r="O656" s="166"/>
      <c r="P656" s="166"/>
    </row>
    <row r="657" spans="2:16" s="137" customFormat="1" x14ac:dyDescent="0.3">
      <c r="B657" s="18"/>
      <c r="N657" s="166"/>
      <c r="O657" s="166"/>
      <c r="P657" s="166"/>
    </row>
    <row r="658" spans="2:16" s="137" customFormat="1" x14ac:dyDescent="0.3">
      <c r="B658" s="18"/>
      <c r="N658" s="166"/>
      <c r="O658" s="166"/>
      <c r="P658" s="166"/>
    </row>
    <row r="659" spans="2:16" s="137" customFormat="1" x14ac:dyDescent="0.3">
      <c r="B659" s="18"/>
      <c r="N659" s="166"/>
      <c r="O659" s="166"/>
      <c r="P659" s="166"/>
    </row>
    <row r="660" spans="2:16" s="137" customFormat="1" x14ac:dyDescent="0.3">
      <c r="B660" s="18"/>
      <c r="N660" s="166"/>
      <c r="O660" s="166"/>
      <c r="P660" s="166"/>
    </row>
    <row r="661" spans="2:16" s="137" customFormat="1" x14ac:dyDescent="0.3">
      <c r="B661" s="18"/>
      <c r="N661" s="166"/>
      <c r="O661" s="166"/>
      <c r="P661" s="166"/>
    </row>
    <row r="662" spans="2:16" s="137" customFormat="1" x14ac:dyDescent="0.3">
      <c r="B662" s="18"/>
      <c r="N662" s="166"/>
      <c r="O662" s="166"/>
      <c r="P662" s="166"/>
    </row>
    <row r="663" spans="2:16" s="137" customFormat="1" x14ac:dyDescent="0.3">
      <c r="B663" s="18"/>
      <c r="N663" s="166"/>
      <c r="O663" s="166"/>
      <c r="P663" s="166"/>
    </row>
    <row r="664" spans="2:16" s="137" customFormat="1" x14ac:dyDescent="0.3">
      <c r="B664" s="18"/>
      <c r="N664" s="166"/>
      <c r="O664" s="166"/>
      <c r="P664" s="166"/>
    </row>
    <row r="665" spans="2:16" s="137" customFormat="1" x14ac:dyDescent="0.3">
      <c r="B665" s="18"/>
      <c r="N665" s="166"/>
      <c r="O665" s="166"/>
      <c r="P665" s="166"/>
    </row>
    <row r="666" spans="2:16" s="137" customFormat="1" x14ac:dyDescent="0.3">
      <c r="B666" s="18"/>
      <c r="N666" s="166"/>
      <c r="O666" s="166"/>
      <c r="P666" s="166"/>
    </row>
    <row r="667" spans="2:16" s="137" customFormat="1" x14ac:dyDescent="0.3">
      <c r="B667" s="18"/>
      <c r="N667" s="166"/>
      <c r="O667" s="166"/>
      <c r="P667" s="166"/>
    </row>
    <row r="668" spans="2:16" s="137" customFormat="1" x14ac:dyDescent="0.3">
      <c r="B668" s="18"/>
      <c r="N668" s="166"/>
      <c r="O668" s="166"/>
      <c r="P668" s="166"/>
    </row>
    <row r="669" spans="2:16" s="137" customFormat="1" x14ac:dyDescent="0.3">
      <c r="B669" s="18"/>
      <c r="N669" s="166"/>
      <c r="O669" s="166"/>
      <c r="P669" s="166"/>
    </row>
    <row r="670" spans="2:16" s="137" customFormat="1" x14ac:dyDescent="0.3">
      <c r="B670" s="18"/>
      <c r="N670" s="166"/>
      <c r="O670" s="166"/>
      <c r="P670" s="166"/>
    </row>
    <row r="671" spans="2:16" s="137" customFormat="1" x14ac:dyDescent="0.3">
      <c r="B671" s="18"/>
      <c r="N671" s="166"/>
      <c r="O671" s="166"/>
      <c r="P671" s="166"/>
    </row>
    <row r="672" spans="2:16" s="137" customFormat="1" x14ac:dyDescent="0.3">
      <c r="B672" s="18"/>
      <c r="N672" s="166"/>
      <c r="O672" s="166"/>
      <c r="P672" s="166"/>
    </row>
    <row r="673" spans="2:16" s="137" customFormat="1" x14ac:dyDescent="0.3">
      <c r="B673" s="18"/>
      <c r="N673" s="166"/>
      <c r="O673" s="166"/>
      <c r="P673" s="166"/>
    </row>
    <row r="674" spans="2:16" s="137" customFormat="1" x14ac:dyDescent="0.3">
      <c r="B674" s="18"/>
      <c r="N674" s="166"/>
      <c r="O674" s="166"/>
      <c r="P674" s="166"/>
    </row>
    <row r="675" spans="2:16" s="137" customFormat="1" x14ac:dyDescent="0.3">
      <c r="B675" s="18"/>
      <c r="N675" s="166"/>
      <c r="O675" s="166"/>
      <c r="P675" s="166"/>
    </row>
    <row r="676" spans="2:16" s="137" customFormat="1" x14ac:dyDescent="0.3">
      <c r="B676" s="18"/>
      <c r="N676" s="166"/>
      <c r="O676" s="166"/>
      <c r="P676" s="166"/>
    </row>
    <row r="677" spans="2:16" s="137" customFormat="1" x14ac:dyDescent="0.3">
      <c r="B677" s="18"/>
      <c r="N677" s="166"/>
      <c r="O677" s="166"/>
      <c r="P677" s="166"/>
    </row>
    <row r="678" spans="2:16" s="137" customFormat="1" x14ac:dyDescent="0.3">
      <c r="B678" s="18"/>
      <c r="N678" s="166"/>
      <c r="O678" s="166"/>
      <c r="P678" s="166"/>
    </row>
    <row r="679" spans="2:16" s="137" customFormat="1" x14ac:dyDescent="0.3">
      <c r="B679" s="18"/>
      <c r="N679" s="166"/>
      <c r="O679" s="166"/>
      <c r="P679" s="166"/>
    </row>
    <row r="680" spans="2:16" s="137" customFormat="1" x14ac:dyDescent="0.3">
      <c r="B680" s="18"/>
      <c r="N680" s="166"/>
      <c r="O680" s="166"/>
      <c r="P680" s="166"/>
    </row>
    <row r="681" spans="2:16" s="137" customFormat="1" x14ac:dyDescent="0.3">
      <c r="B681" s="18"/>
      <c r="N681" s="166"/>
      <c r="O681" s="166"/>
      <c r="P681" s="166"/>
    </row>
    <row r="682" spans="2:16" s="137" customFormat="1" x14ac:dyDescent="0.3">
      <c r="B682" s="18"/>
      <c r="N682" s="166"/>
      <c r="O682" s="166"/>
      <c r="P682" s="166"/>
    </row>
    <row r="683" spans="2:16" s="137" customFormat="1" x14ac:dyDescent="0.3">
      <c r="B683" s="18"/>
      <c r="N683" s="166"/>
      <c r="O683" s="166"/>
      <c r="P683" s="166"/>
    </row>
    <row r="684" spans="2:16" s="137" customFormat="1" x14ac:dyDescent="0.3">
      <c r="B684" s="18"/>
      <c r="N684" s="166"/>
      <c r="O684" s="166"/>
      <c r="P684" s="166"/>
    </row>
    <row r="685" spans="2:16" s="137" customFormat="1" x14ac:dyDescent="0.3">
      <c r="B685" s="18"/>
      <c r="N685" s="166"/>
      <c r="O685" s="166"/>
      <c r="P685" s="166"/>
    </row>
    <row r="686" spans="2:16" s="137" customFormat="1" x14ac:dyDescent="0.3">
      <c r="B686" s="18"/>
      <c r="N686" s="166"/>
      <c r="O686" s="166"/>
      <c r="P686" s="166"/>
    </row>
    <row r="687" spans="2:16" s="137" customFormat="1" x14ac:dyDescent="0.3">
      <c r="B687" s="18"/>
      <c r="N687" s="166"/>
      <c r="O687" s="166"/>
      <c r="P687" s="166"/>
    </row>
    <row r="688" spans="2:16" s="137" customFormat="1" x14ac:dyDescent="0.3">
      <c r="B688" s="18"/>
      <c r="N688" s="166"/>
      <c r="O688" s="166"/>
      <c r="P688" s="166"/>
    </row>
    <row r="689" spans="2:16" s="137" customFormat="1" x14ac:dyDescent="0.3">
      <c r="B689" s="18"/>
      <c r="N689" s="166"/>
      <c r="O689" s="166"/>
      <c r="P689" s="166"/>
    </row>
    <row r="690" spans="2:16" s="137" customFormat="1" x14ac:dyDescent="0.3">
      <c r="B690" s="18"/>
      <c r="N690" s="166"/>
      <c r="O690" s="166"/>
      <c r="P690" s="166"/>
    </row>
    <row r="691" spans="2:16" s="137" customFormat="1" x14ac:dyDescent="0.3">
      <c r="B691" s="18"/>
      <c r="N691" s="166"/>
      <c r="O691" s="166"/>
      <c r="P691" s="166"/>
    </row>
    <row r="692" spans="2:16" s="137" customFormat="1" x14ac:dyDescent="0.3">
      <c r="B692" s="18"/>
      <c r="N692" s="166"/>
      <c r="O692" s="166"/>
      <c r="P692" s="166"/>
    </row>
    <row r="693" spans="2:16" s="137" customFormat="1" x14ac:dyDescent="0.3">
      <c r="B693" s="18"/>
      <c r="N693" s="166"/>
      <c r="O693" s="166"/>
      <c r="P693" s="166"/>
    </row>
    <row r="694" spans="2:16" s="137" customFormat="1" x14ac:dyDescent="0.3">
      <c r="B694" s="18"/>
      <c r="N694" s="166"/>
      <c r="O694" s="166"/>
      <c r="P694" s="166"/>
    </row>
    <row r="695" spans="2:16" s="137" customFormat="1" x14ac:dyDescent="0.3">
      <c r="B695" s="18"/>
      <c r="N695" s="166"/>
      <c r="O695" s="166"/>
      <c r="P695" s="166"/>
    </row>
    <row r="696" spans="2:16" s="137" customFormat="1" x14ac:dyDescent="0.3">
      <c r="B696" s="18"/>
      <c r="N696" s="166"/>
      <c r="O696" s="166"/>
      <c r="P696" s="166"/>
    </row>
    <row r="697" spans="2:16" s="137" customFormat="1" x14ac:dyDescent="0.3">
      <c r="B697" s="18"/>
      <c r="N697" s="166"/>
      <c r="O697" s="166"/>
      <c r="P697" s="166"/>
    </row>
    <row r="698" spans="2:16" s="137" customFormat="1" x14ac:dyDescent="0.3">
      <c r="B698" s="18"/>
      <c r="N698" s="166"/>
      <c r="O698" s="166"/>
      <c r="P698" s="166"/>
    </row>
    <row r="699" spans="2:16" s="137" customFormat="1" x14ac:dyDescent="0.3">
      <c r="B699" s="18"/>
      <c r="N699" s="166"/>
      <c r="O699" s="166"/>
      <c r="P699" s="166"/>
    </row>
    <row r="700" spans="2:16" s="137" customFormat="1" x14ac:dyDescent="0.3">
      <c r="B700" s="18"/>
      <c r="N700" s="166"/>
      <c r="O700" s="166"/>
      <c r="P700" s="166"/>
    </row>
    <row r="701" spans="2:16" s="137" customFormat="1" x14ac:dyDescent="0.3">
      <c r="B701" s="18"/>
      <c r="N701" s="166"/>
      <c r="O701" s="166"/>
      <c r="P701" s="166"/>
    </row>
    <row r="702" spans="2:16" s="137" customFormat="1" x14ac:dyDescent="0.3">
      <c r="B702" s="18"/>
      <c r="N702" s="166"/>
      <c r="O702" s="166"/>
      <c r="P702" s="166"/>
    </row>
    <row r="703" spans="2:16" s="137" customFormat="1" x14ac:dyDescent="0.3">
      <c r="B703" s="18"/>
      <c r="N703" s="166"/>
      <c r="O703" s="166"/>
      <c r="P703" s="166"/>
    </row>
    <row r="704" spans="2:16" s="137" customFormat="1" x14ac:dyDescent="0.3">
      <c r="B704" s="18"/>
      <c r="N704" s="166"/>
      <c r="O704" s="166"/>
      <c r="P704" s="166"/>
    </row>
    <row r="705" spans="2:16" s="137" customFormat="1" x14ac:dyDescent="0.3">
      <c r="B705" s="18"/>
      <c r="N705" s="166"/>
      <c r="O705" s="166"/>
      <c r="P705" s="166"/>
    </row>
    <row r="706" spans="2:16" s="137" customFormat="1" x14ac:dyDescent="0.3">
      <c r="B706" s="18"/>
      <c r="N706" s="166"/>
      <c r="O706" s="166"/>
      <c r="P706" s="166"/>
    </row>
    <row r="707" spans="2:16" s="137" customFormat="1" x14ac:dyDescent="0.3">
      <c r="B707" s="18"/>
      <c r="N707" s="166"/>
      <c r="O707" s="166"/>
      <c r="P707" s="166"/>
    </row>
    <row r="708" spans="2:16" s="137" customFormat="1" x14ac:dyDescent="0.3">
      <c r="B708" s="18"/>
      <c r="N708" s="166"/>
      <c r="O708" s="166"/>
      <c r="P708" s="166"/>
    </row>
    <row r="709" spans="2:16" s="137" customFormat="1" x14ac:dyDescent="0.3">
      <c r="B709" s="18"/>
      <c r="N709" s="166"/>
      <c r="O709" s="166"/>
      <c r="P709" s="166"/>
    </row>
    <row r="710" spans="2:16" s="137" customFormat="1" x14ac:dyDescent="0.3">
      <c r="B710" s="18"/>
      <c r="N710" s="166"/>
      <c r="O710" s="166"/>
      <c r="P710" s="166"/>
    </row>
    <row r="711" spans="2:16" s="137" customFormat="1" x14ac:dyDescent="0.3">
      <c r="B711" s="18"/>
      <c r="N711" s="166"/>
      <c r="O711" s="166"/>
      <c r="P711" s="166"/>
    </row>
    <row r="712" spans="2:16" s="137" customFormat="1" x14ac:dyDescent="0.3">
      <c r="B712" s="18"/>
      <c r="N712" s="166"/>
      <c r="O712" s="166"/>
      <c r="P712" s="166"/>
    </row>
    <row r="713" spans="2:16" s="137" customFormat="1" x14ac:dyDescent="0.3">
      <c r="B713" s="18"/>
      <c r="N713" s="166"/>
      <c r="O713" s="166"/>
      <c r="P713" s="166"/>
    </row>
    <row r="714" spans="2:16" s="137" customFormat="1" x14ac:dyDescent="0.3">
      <c r="B714" s="18"/>
      <c r="N714" s="166"/>
      <c r="O714" s="166"/>
      <c r="P714" s="166"/>
    </row>
    <row r="715" spans="2:16" s="137" customFormat="1" x14ac:dyDescent="0.3">
      <c r="B715" s="18"/>
      <c r="N715" s="166"/>
      <c r="O715" s="166"/>
      <c r="P715" s="166"/>
    </row>
    <row r="716" spans="2:16" s="137" customFormat="1" x14ac:dyDescent="0.3">
      <c r="B716" s="18"/>
      <c r="N716" s="166"/>
      <c r="O716" s="166"/>
      <c r="P716" s="166"/>
    </row>
    <row r="717" spans="2:16" s="137" customFormat="1" x14ac:dyDescent="0.3">
      <c r="B717" s="18"/>
      <c r="N717" s="166"/>
      <c r="O717" s="166"/>
      <c r="P717" s="166"/>
    </row>
    <row r="718" spans="2:16" s="137" customFormat="1" x14ac:dyDescent="0.3">
      <c r="B718" s="18"/>
      <c r="N718" s="166"/>
      <c r="O718" s="166"/>
      <c r="P718" s="166"/>
    </row>
    <row r="719" spans="2:16" s="137" customFormat="1" x14ac:dyDescent="0.3">
      <c r="B719" s="18"/>
      <c r="N719" s="166"/>
      <c r="O719" s="166"/>
      <c r="P719" s="166"/>
    </row>
    <row r="720" spans="2:16" s="137" customFormat="1" x14ac:dyDescent="0.3">
      <c r="B720" s="18"/>
      <c r="N720" s="166"/>
      <c r="O720" s="166"/>
      <c r="P720" s="166"/>
    </row>
    <row r="721" spans="2:16" s="137" customFormat="1" x14ac:dyDescent="0.3">
      <c r="B721" s="18"/>
      <c r="N721" s="166"/>
      <c r="O721" s="166"/>
      <c r="P721" s="166"/>
    </row>
    <row r="722" spans="2:16" s="137" customFormat="1" x14ac:dyDescent="0.3">
      <c r="B722" s="18"/>
      <c r="N722" s="166"/>
      <c r="O722" s="166"/>
      <c r="P722" s="166"/>
    </row>
    <row r="723" spans="2:16" s="137" customFormat="1" x14ac:dyDescent="0.3">
      <c r="B723" s="18"/>
      <c r="N723" s="166"/>
      <c r="O723" s="166"/>
      <c r="P723" s="166"/>
    </row>
    <row r="724" spans="2:16" s="137" customFormat="1" x14ac:dyDescent="0.3">
      <c r="B724" s="18"/>
      <c r="N724" s="166"/>
      <c r="O724" s="166"/>
      <c r="P724" s="166"/>
    </row>
    <row r="725" spans="2:16" s="137" customFormat="1" x14ac:dyDescent="0.3">
      <c r="B725" s="18"/>
      <c r="N725" s="166"/>
      <c r="O725" s="166"/>
      <c r="P725" s="166"/>
    </row>
    <row r="726" spans="2:16" s="137" customFormat="1" x14ac:dyDescent="0.3">
      <c r="B726" s="18"/>
      <c r="N726" s="166"/>
      <c r="O726" s="166"/>
      <c r="P726" s="166"/>
    </row>
    <row r="727" spans="2:16" s="137" customFormat="1" x14ac:dyDescent="0.3">
      <c r="B727" s="18"/>
      <c r="N727" s="166"/>
      <c r="O727" s="166"/>
      <c r="P727" s="166"/>
    </row>
    <row r="728" spans="2:16" s="137" customFormat="1" x14ac:dyDescent="0.3">
      <c r="B728" s="18"/>
      <c r="N728" s="166"/>
      <c r="O728" s="166"/>
      <c r="P728" s="166"/>
    </row>
    <row r="729" spans="2:16" s="137" customFormat="1" x14ac:dyDescent="0.3">
      <c r="B729" s="18"/>
      <c r="N729" s="166"/>
      <c r="O729" s="166"/>
      <c r="P729" s="166"/>
    </row>
    <row r="730" spans="2:16" s="137" customFormat="1" x14ac:dyDescent="0.3">
      <c r="B730" s="18"/>
      <c r="N730" s="166"/>
      <c r="O730" s="166"/>
      <c r="P730" s="166"/>
    </row>
    <row r="731" spans="2:16" s="137" customFormat="1" x14ac:dyDescent="0.3">
      <c r="B731" s="18"/>
      <c r="N731" s="166"/>
      <c r="O731" s="166"/>
      <c r="P731" s="166"/>
    </row>
    <row r="732" spans="2:16" s="137" customFormat="1" x14ac:dyDescent="0.3">
      <c r="B732" s="18"/>
      <c r="N732" s="166"/>
      <c r="O732" s="166"/>
      <c r="P732" s="166"/>
    </row>
    <row r="733" spans="2:16" s="137" customFormat="1" x14ac:dyDescent="0.3">
      <c r="B733" s="18"/>
      <c r="N733" s="166"/>
      <c r="O733" s="166"/>
      <c r="P733" s="166"/>
    </row>
    <row r="734" spans="2:16" s="137" customFormat="1" x14ac:dyDescent="0.3">
      <c r="B734" s="18"/>
      <c r="N734" s="166"/>
      <c r="O734" s="166"/>
      <c r="P734" s="166"/>
    </row>
    <row r="735" spans="2:16" s="137" customFormat="1" x14ac:dyDescent="0.3">
      <c r="B735" s="18"/>
      <c r="N735" s="166"/>
      <c r="O735" s="166"/>
      <c r="P735" s="166"/>
    </row>
    <row r="736" spans="2:16" s="137" customFormat="1" x14ac:dyDescent="0.3">
      <c r="B736" s="18"/>
      <c r="N736" s="166"/>
      <c r="O736" s="166"/>
      <c r="P736" s="166"/>
    </row>
    <row r="737" spans="2:16" s="137" customFormat="1" x14ac:dyDescent="0.3">
      <c r="B737" s="18"/>
      <c r="N737" s="166"/>
      <c r="O737" s="166"/>
      <c r="P737" s="166"/>
    </row>
    <row r="738" spans="2:16" s="137" customFormat="1" x14ac:dyDescent="0.3">
      <c r="B738" s="18"/>
      <c r="N738" s="166"/>
      <c r="O738" s="166"/>
      <c r="P738" s="166"/>
    </row>
    <row r="739" spans="2:16" s="137" customFormat="1" x14ac:dyDescent="0.3">
      <c r="B739" s="18"/>
      <c r="N739" s="166"/>
      <c r="O739" s="166"/>
      <c r="P739" s="166"/>
    </row>
    <row r="740" spans="2:16" s="137" customFormat="1" x14ac:dyDescent="0.3">
      <c r="B740" s="18"/>
      <c r="N740" s="166"/>
      <c r="O740" s="166"/>
      <c r="P740" s="166"/>
    </row>
    <row r="741" spans="2:16" s="137" customFormat="1" x14ac:dyDescent="0.3">
      <c r="B741" s="18"/>
      <c r="N741" s="166"/>
      <c r="O741" s="166"/>
      <c r="P741" s="166"/>
    </row>
    <row r="742" spans="2:16" s="137" customFormat="1" x14ac:dyDescent="0.3">
      <c r="B742" s="18"/>
      <c r="N742" s="166"/>
      <c r="O742" s="166"/>
      <c r="P742" s="166"/>
    </row>
    <row r="743" spans="2:16" s="137" customFormat="1" x14ac:dyDescent="0.3">
      <c r="B743" s="18"/>
      <c r="N743" s="166"/>
      <c r="O743" s="166"/>
      <c r="P743" s="166"/>
    </row>
    <row r="744" spans="2:16" s="137" customFormat="1" x14ac:dyDescent="0.3">
      <c r="B744" s="18"/>
      <c r="N744" s="166"/>
      <c r="O744" s="166"/>
      <c r="P744" s="166"/>
    </row>
    <row r="745" spans="2:16" s="137" customFormat="1" x14ac:dyDescent="0.3">
      <c r="B745" s="18"/>
      <c r="N745" s="166"/>
      <c r="O745" s="166"/>
      <c r="P745" s="166"/>
    </row>
    <row r="746" spans="2:16" s="137" customFormat="1" x14ac:dyDescent="0.3">
      <c r="B746" s="18"/>
      <c r="N746" s="166"/>
      <c r="O746" s="166"/>
      <c r="P746" s="166"/>
    </row>
    <row r="747" spans="2:16" s="137" customFormat="1" x14ac:dyDescent="0.3">
      <c r="B747" s="18"/>
      <c r="N747" s="166"/>
      <c r="O747" s="166"/>
      <c r="P747" s="166"/>
    </row>
    <row r="748" spans="2:16" s="137" customFormat="1" x14ac:dyDescent="0.3">
      <c r="B748" s="18"/>
      <c r="N748" s="166"/>
      <c r="O748" s="166"/>
      <c r="P748" s="166"/>
    </row>
    <row r="749" spans="2:16" s="137" customFormat="1" x14ac:dyDescent="0.3">
      <c r="B749" s="18"/>
      <c r="N749" s="166"/>
      <c r="O749" s="166"/>
      <c r="P749" s="166"/>
    </row>
    <row r="750" spans="2:16" s="137" customFormat="1" x14ac:dyDescent="0.3">
      <c r="B750" s="18"/>
      <c r="N750" s="166"/>
      <c r="O750" s="166"/>
      <c r="P750" s="166"/>
    </row>
    <row r="751" spans="2:16" s="137" customFormat="1" x14ac:dyDescent="0.3">
      <c r="B751" s="18"/>
      <c r="N751" s="166"/>
      <c r="O751" s="166"/>
      <c r="P751" s="166"/>
    </row>
    <row r="752" spans="2:16" s="137" customFormat="1" x14ac:dyDescent="0.3">
      <c r="B752" s="18"/>
      <c r="N752" s="166"/>
      <c r="O752" s="166"/>
      <c r="P752" s="166"/>
    </row>
    <row r="753" spans="2:16" s="137" customFormat="1" x14ac:dyDescent="0.3">
      <c r="B753" s="18"/>
      <c r="N753" s="166"/>
      <c r="O753" s="166"/>
      <c r="P753" s="166"/>
    </row>
    <row r="754" spans="2:16" s="137" customFormat="1" x14ac:dyDescent="0.3">
      <c r="B754" s="18"/>
      <c r="N754" s="166"/>
      <c r="O754" s="166"/>
      <c r="P754" s="166"/>
    </row>
    <row r="755" spans="2:16" s="137" customFormat="1" x14ac:dyDescent="0.3">
      <c r="B755" s="18"/>
      <c r="N755" s="166"/>
      <c r="O755" s="166"/>
      <c r="P755" s="166"/>
    </row>
    <row r="756" spans="2:16" s="137" customFormat="1" x14ac:dyDescent="0.3">
      <c r="B756" s="18"/>
      <c r="N756" s="166"/>
      <c r="O756" s="166"/>
      <c r="P756" s="166"/>
    </row>
    <row r="757" spans="2:16" s="137" customFormat="1" x14ac:dyDescent="0.3">
      <c r="B757" s="18"/>
      <c r="N757" s="166"/>
      <c r="O757" s="166"/>
      <c r="P757" s="166"/>
    </row>
    <row r="758" spans="2:16" s="137" customFormat="1" x14ac:dyDescent="0.3">
      <c r="B758" s="18"/>
      <c r="N758" s="166"/>
      <c r="O758" s="166"/>
      <c r="P758" s="166"/>
    </row>
    <row r="759" spans="2:16" s="137" customFormat="1" x14ac:dyDescent="0.3">
      <c r="B759" s="18"/>
      <c r="N759" s="166"/>
      <c r="O759" s="166"/>
      <c r="P759" s="166"/>
    </row>
    <row r="760" spans="2:16" s="137" customFormat="1" x14ac:dyDescent="0.3">
      <c r="B760" s="18"/>
      <c r="N760" s="166"/>
      <c r="O760" s="166"/>
      <c r="P760" s="166"/>
    </row>
    <row r="761" spans="2:16" s="137" customFormat="1" x14ac:dyDescent="0.3">
      <c r="B761" s="18"/>
      <c r="N761" s="166"/>
      <c r="O761" s="166"/>
      <c r="P761" s="166"/>
    </row>
    <row r="762" spans="2:16" s="137" customFormat="1" x14ac:dyDescent="0.3">
      <c r="B762" s="18"/>
      <c r="N762" s="166"/>
      <c r="O762" s="166"/>
      <c r="P762" s="166"/>
    </row>
    <row r="763" spans="2:16" s="137" customFormat="1" x14ac:dyDescent="0.3">
      <c r="B763" s="18"/>
      <c r="N763" s="166"/>
      <c r="O763" s="166"/>
      <c r="P763" s="166"/>
    </row>
    <row r="764" spans="2:16" s="137" customFormat="1" x14ac:dyDescent="0.3">
      <c r="B764" s="18"/>
      <c r="N764" s="166"/>
      <c r="O764" s="166"/>
      <c r="P764" s="166"/>
    </row>
    <row r="765" spans="2:16" s="137" customFormat="1" x14ac:dyDescent="0.3">
      <c r="B765" s="18"/>
      <c r="N765" s="166"/>
      <c r="O765" s="166"/>
      <c r="P765" s="166"/>
    </row>
    <row r="766" spans="2:16" s="137" customFormat="1" x14ac:dyDescent="0.3">
      <c r="B766" s="18"/>
      <c r="N766" s="166"/>
      <c r="O766" s="166"/>
      <c r="P766" s="166"/>
    </row>
    <row r="767" spans="2:16" s="137" customFormat="1" x14ac:dyDescent="0.3">
      <c r="B767" s="18"/>
      <c r="N767" s="166"/>
      <c r="O767" s="166"/>
      <c r="P767" s="166"/>
    </row>
    <row r="768" spans="2:16" s="137" customFormat="1" x14ac:dyDescent="0.3">
      <c r="B768" s="18"/>
      <c r="N768" s="166"/>
      <c r="O768" s="166"/>
      <c r="P768" s="166"/>
    </row>
    <row r="769" spans="2:16" s="137" customFormat="1" x14ac:dyDescent="0.3">
      <c r="B769" s="18"/>
      <c r="N769" s="166"/>
      <c r="O769" s="166"/>
      <c r="P769" s="166"/>
    </row>
    <row r="770" spans="2:16" s="137" customFormat="1" x14ac:dyDescent="0.3">
      <c r="B770" s="18"/>
      <c r="N770" s="166"/>
      <c r="O770" s="166"/>
      <c r="P770" s="166"/>
    </row>
    <row r="771" spans="2:16" s="137" customFormat="1" x14ac:dyDescent="0.3">
      <c r="B771" s="18"/>
      <c r="N771" s="166"/>
      <c r="O771" s="166"/>
      <c r="P771" s="166"/>
    </row>
    <row r="772" spans="2:16" s="137" customFormat="1" x14ac:dyDescent="0.3">
      <c r="B772" s="18"/>
      <c r="N772" s="166"/>
      <c r="O772" s="166"/>
      <c r="P772" s="166"/>
    </row>
    <row r="773" spans="2:16" s="137" customFormat="1" x14ac:dyDescent="0.3">
      <c r="B773" s="18"/>
      <c r="N773" s="166"/>
      <c r="O773" s="166"/>
      <c r="P773" s="166"/>
    </row>
    <row r="774" spans="2:16" s="137" customFormat="1" x14ac:dyDescent="0.3">
      <c r="B774" s="18"/>
      <c r="N774" s="166"/>
      <c r="O774" s="166"/>
      <c r="P774" s="166"/>
    </row>
    <row r="775" spans="2:16" s="137" customFormat="1" x14ac:dyDescent="0.3">
      <c r="B775" s="18"/>
      <c r="N775" s="166"/>
      <c r="O775" s="166"/>
      <c r="P775" s="166"/>
    </row>
    <row r="776" spans="2:16" s="137" customFormat="1" x14ac:dyDescent="0.3">
      <c r="B776" s="18"/>
      <c r="N776" s="166"/>
      <c r="O776" s="166"/>
      <c r="P776" s="166"/>
    </row>
    <row r="777" spans="2:16" s="137" customFormat="1" x14ac:dyDescent="0.3">
      <c r="B777" s="18"/>
      <c r="N777" s="166"/>
      <c r="O777" s="166"/>
      <c r="P777" s="166"/>
    </row>
    <row r="778" spans="2:16" s="137" customFormat="1" x14ac:dyDescent="0.3">
      <c r="B778" s="18"/>
      <c r="N778" s="166"/>
      <c r="O778" s="166"/>
      <c r="P778" s="166"/>
    </row>
    <row r="779" spans="2:16" s="137" customFormat="1" x14ac:dyDescent="0.3">
      <c r="B779" s="18"/>
      <c r="N779" s="166"/>
      <c r="O779" s="166"/>
      <c r="P779" s="166"/>
    </row>
    <row r="780" spans="2:16" s="137" customFormat="1" x14ac:dyDescent="0.3">
      <c r="B780" s="18"/>
      <c r="N780" s="166"/>
      <c r="O780" s="166"/>
      <c r="P780" s="166"/>
    </row>
    <row r="781" spans="2:16" s="137" customFormat="1" x14ac:dyDescent="0.3">
      <c r="B781" s="18"/>
      <c r="N781" s="166"/>
      <c r="O781" s="166"/>
      <c r="P781" s="166"/>
    </row>
    <row r="782" spans="2:16" s="137" customFormat="1" x14ac:dyDescent="0.3">
      <c r="B782" s="18"/>
      <c r="N782" s="166"/>
      <c r="O782" s="166"/>
      <c r="P782" s="166"/>
    </row>
    <row r="783" spans="2:16" s="137" customFormat="1" x14ac:dyDescent="0.3">
      <c r="B783" s="18"/>
      <c r="N783" s="166"/>
      <c r="O783" s="166"/>
      <c r="P783" s="166"/>
    </row>
    <row r="784" spans="2:16" s="137" customFormat="1" x14ac:dyDescent="0.3">
      <c r="B784" s="18"/>
      <c r="N784" s="166"/>
      <c r="O784" s="166"/>
      <c r="P784" s="166"/>
    </row>
    <row r="785" spans="2:16" s="137" customFormat="1" x14ac:dyDescent="0.3">
      <c r="B785" s="18"/>
      <c r="N785" s="166"/>
      <c r="O785" s="166"/>
      <c r="P785" s="166"/>
    </row>
    <row r="786" spans="2:16" s="137" customFormat="1" x14ac:dyDescent="0.3">
      <c r="B786" s="18"/>
      <c r="N786" s="166"/>
      <c r="O786" s="166"/>
      <c r="P786" s="166"/>
    </row>
    <row r="787" spans="2:16" s="137" customFormat="1" x14ac:dyDescent="0.3">
      <c r="B787" s="18"/>
      <c r="N787" s="166"/>
      <c r="O787" s="166"/>
      <c r="P787" s="166"/>
    </row>
    <row r="788" spans="2:16" s="137" customFormat="1" x14ac:dyDescent="0.3">
      <c r="B788" s="18"/>
      <c r="N788" s="166"/>
      <c r="O788" s="166"/>
      <c r="P788" s="166"/>
    </row>
    <row r="789" spans="2:16" s="137" customFormat="1" x14ac:dyDescent="0.3">
      <c r="B789" s="18"/>
      <c r="N789" s="166"/>
      <c r="O789" s="166"/>
      <c r="P789" s="166"/>
    </row>
    <row r="790" spans="2:16" s="137" customFormat="1" x14ac:dyDescent="0.3">
      <c r="B790" s="18"/>
      <c r="N790" s="166"/>
      <c r="O790" s="166"/>
      <c r="P790" s="166"/>
    </row>
    <row r="791" spans="2:16" s="137" customFormat="1" x14ac:dyDescent="0.3">
      <c r="B791" s="18"/>
      <c r="N791" s="166"/>
      <c r="O791" s="166"/>
      <c r="P791" s="166"/>
    </row>
    <row r="792" spans="2:16" s="137" customFormat="1" x14ac:dyDescent="0.3">
      <c r="B792" s="18"/>
      <c r="N792" s="166"/>
      <c r="O792" s="166"/>
      <c r="P792" s="166"/>
    </row>
    <row r="793" spans="2:16" s="137" customFormat="1" x14ac:dyDescent="0.3">
      <c r="B793" s="18"/>
      <c r="N793" s="166"/>
      <c r="O793" s="166"/>
      <c r="P793" s="166"/>
    </row>
    <row r="794" spans="2:16" s="137" customFormat="1" x14ac:dyDescent="0.3">
      <c r="B794" s="18"/>
      <c r="N794" s="166"/>
      <c r="O794" s="166"/>
      <c r="P794" s="166"/>
    </row>
    <row r="795" spans="2:16" s="137" customFormat="1" x14ac:dyDescent="0.3">
      <c r="B795" s="18"/>
      <c r="N795" s="166"/>
      <c r="O795" s="166"/>
      <c r="P795" s="166"/>
    </row>
    <row r="796" spans="2:16" s="137" customFormat="1" x14ac:dyDescent="0.3">
      <c r="B796" s="18"/>
      <c r="N796" s="166"/>
      <c r="O796" s="166"/>
      <c r="P796" s="166"/>
    </row>
    <row r="797" spans="2:16" s="137" customFormat="1" x14ac:dyDescent="0.3">
      <c r="B797" s="18"/>
      <c r="N797" s="166"/>
      <c r="O797" s="166"/>
      <c r="P797" s="166"/>
    </row>
    <row r="798" spans="2:16" s="137" customFormat="1" x14ac:dyDescent="0.3">
      <c r="B798" s="18"/>
      <c r="N798" s="166"/>
      <c r="O798" s="166"/>
      <c r="P798" s="166"/>
    </row>
    <row r="799" spans="2:16" s="137" customFormat="1" x14ac:dyDescent="0.3">
      <c r="B799" s="18"/>
      <c r="N799" s="166"/>
      <c r="O799" s="166"/>
      <c r="P799" s="166"/>
    </row>
    <row r="800" spans="2:16" s="137" customFormat="1" x14ac:dyDescent="0.3">
      <c r="B800" s="18"/>
      <c r="N800" s="166"/>
      <c r="O800" s="166"/>
      <c r="P800" s="166"/>
    </row>
    <row r="801" spans="2:16" s="137" customFormat="1" x14ac:dyDescent="0.3">
      <c r="B801" s="18"/>
      <c r="N801" s="166"/>
      <c r="O801" s="166"/>
      <c r="P801" s="166"/>
    </row>
    <row r="802" spans="2:16" s="137" customFormat="1" x14ac:dyDescent="0.3">
      <c r="B802" s="18"/>
      <c r="N802" s="166"/>
      <c r="O802" s="166"/>
      <c r="P802" s="166"/>
    </row>
    <row r="803" spans="2:16" s="137" customFormat="1" x14ac:dyDescent="0.3">
      <c r="B803" s="18"/>
      <c r="N803" s="166"/>
      <c r="O803" s="166"/>
      <c r="P803" s="166"/>
    </row>
    <row r="804" spans="2:16" s="137" customFormat="1" x14ac:dyDescent="0.3">
      <c r="B804" s="18"/>
      <c r="N804" s="166"/>
      <c r="O804" s="166"/>
      <c r="P804" s="166"/>
    </row>
    <row r="805" spans="2:16" s="137" customFormat="1" x14ac:dyDescent="0.3">
      <c r="B805" s="18"/>
      <c r="N805" s="166"/>
      <c r="O805" s="166"/>
      <c r="P805" s="166"/>
    </row>
    <row r="806" spans="2:16" s="137" customFormat="1" x14ac:dyDescent="0.3">
      <c r="B806" s="18"/>
      <c r="N806" s="166"/>
      <c r="O806" s="166"/>
      <c r="P806" s="166"/>
    </row>
    <row r="807" spans="2:16" s="137" customFormat="1" x14ac:dyDescent="0.3">
      <c r="B807" s="18"/>
      <c r="N807" s="166"/>
      <c r="O807" s="166"/>
      <c r="P807" s="166"/>
    </row>
    <row r="808" spans="2:16" s="137" customFormat="1" x14ac:dyDescent="0.3">
      <c r="B808" s="18"/>
      <c r="N808" s="166"/>
      <c r="O808" s="166"/>
      <c r="P808" s="166"/>
    </row>
    <row r="809" spans="2:16" s="137" customFormat="1" x14ac:dyDescent="0.3">
      <c r="B809" s="18"/>
      <c r="N809" s="166"/>
      <c r="O809" s="166"/>
      <c r="P809" s="166"/>
    </row>
    <row r="810" spans="2:16" s="137" customFormat="1" x14ac:dyDescent="0.3">
      <c r="B810" s="18"/>
      <c r="N810" s="166"/>
      <c r="O810" s="166"/>
      <c r="P810" s="166"/>
    </row>
    <row r="811" spans="2:16" s="137" customFormat="1" x14ac:dyDescent="0.3">
      <c r="B811" s="18"/>
      <c r="N811" s="166"/>
      <c r="O811" s="166"/>
      <c r="P811" s="166"/>
    </row>
    <row r="812" spans="2:16" s="137" customFormat="1" x14ac:dyDescent="0.3">
      <c r="B812" s="18"/>
      <c r="N812" s="166"/>
      <c r="O812" s="166"/>
      <c r="P812" s="166"/>
    </row>
    <row r="813" spans="2:16" s="137" customFormat="1" x14ac:dyDescent="0.3">
      <c r="B813" s="18"/>
      <c r="N813" s="166"/>
      <c r="O813" s="166"/>
      <c r="P813" s="166"/>
    </row>
    <row r="814" spans="2:16" s="137" customFormat="1" x14ac:dyDescent="0.3">
      <c r="B814" s="18"/>
      <c r="N814" s="166"/>
      <c r="O814" s="166"/>
      <c r="P814" s="166"/>
    </row>
    <row r="815" spans="2:16" s="137" customFormat="1" x14ac:dyDescent="0.3">
      <c r="B815" s="18"/>
      <c r="N815" s="166"/>
      <c r="O815" s="166"/>
      <c r="P815" s="166"/>
    </row>
    <row r="816" spans="2:16" s="137" customFormat="1" x14ac:dyDescent="0.3">
      <c r="B816" s="18"/>
      <c r="N816" s="166"/>
      <c r="O816" s="166"/>
      <c r="P816" s="166"/>
    </row>
    <row r="817" spans="2:16" s="137" customFormat="1" x14ac:dyDescent="0.3">
      <c r="B817" s="18"/>
      <c r="N817" s="166"/>
      <c r="O817" s="166"/>
      <c r="P817" s="166"/>
    </row>
    <row r="818" spans="2:16" s="137" customFormat="1" x14ac:dyDescent="0.3">
      <c r="B818" s="18"/>
      <c r="N818" s="166"/>
      <c r="O818" s="166"/>
      <c r="P818" s="166"/>
    </row>
    <row r="819" spans="2:16" s="137" customFormat="1" x14ac:dyDescent="0.3">
      <c r="B819" s="18"/>
      <c r="M819" s="165"/>
      <c r="N819" s="166"/>
      <c r="O819" s="166"/>
      <c r="P819" s="166"/>
    </row>
    <row r="820" spans="2:16" s="137" customFormat="1" x14ac:dyDescent="0.3">
      <c r="B820" s="18"/>
      <c r="M820" s="165"/>
      <c r="N820" s="166"/>
      <c r="O820" s="166"/>
      <c r="P820" s="166"/>
    </row>
    <row r="821" spans="2:16" s="137" customFormat="1" x14ac:dyDescent="0.3">
      <c r="B821" s="18"/>
      <c r="M821" s="165"/>
      <c r="N821" s="166"/>
      <c r="O821" s="166"/>
      <c r="P821" s="166"/>
    </row>
    <row r="822" spans="2:16" s="137" customFormat="1" x14ac:dyDescent="0.3">
      <c r="B822" s="18"/>
      <c r="M822" s="165"/>
      <c r="N822" s="166"/>
      <c r="O822" s="166"/>
      <c r="P822" s="166"/>
    </row>
    <row r="823" spans="2:16" s="137" customFormat="1" x14ac:dyDescent="0.3">
      <c r="B823" s="18"/>
      <c r="M823" s="165"/>
      <c r="N823" s="166"/>
      <c r="O823" s="166"/>
      <c r="P823" s="166"/>
    </row>
    <row r="824" spans="2:16" s="137" customFormat="1" x14ac:dyDescent="0.3">
      <c r="B824" s="18"/>
      <c r="M824" s="165"/>
      <c r="N824" s="166"/>
      <c r="O824" s="166"/>
      <c r="P824" s="166"/>
    </row>
    <row r="825" spans="2:16" s="137" customFormat="1" x14ac:dyDescent="0.3">
      <c r="B825" s="18"/>
      <c r="M825" s="165"/>
      <c r="N825" s="166"/>
      <c r="O825" s="166"/>
      <c r="P825" s="166"/>
    </row>
    <row r="826" spans="2:16" s="137" customFormat="1" x14ac:dyDescent="0.3">
      <c r="B826" s="18"/>
      <c r="M826" s="165"/>
      <c r="N826" s="166"/>
      <c r="O826" s="166"/>
      <c r="P826" s="166"/>
    </row>
    <row r="827" spans="2:16" s="137" customFormat="1" x14ac:dyDescent="0.3">
      <c r="B827" s="18"/>
      <c r="M827" s="165"/>
      <c r="N827" s="166"/>
      <c r="O827" s="166"/>
      <c r="P827" s="166"/>
    </row>
    <row r="828" spans="2:16" s="137" customFormat="1" x14ac:dyDescent="0.3">
      <c r="B828" s="18"/>
      <c r="M828" s="165"/>
      <c r="N828" s="166"/>
      <c r="O828" s="166"/>
      <c r="P828" s="166"/>
    </row>
    <row r="829" spans="2:16" s="137" customFormat="1" x14ac:dyDescent="0.3">
      <c r="B829" s="18"/>
      <c r="M829" s="165"/>
      <c r="N829" s="166"/>
      <c r="O829" s="166"/>
      <c r="P829" s="166"/>
    </row>
    <row r="830" spans="2:16" s="137" customFormat="1" x14ac:dyDescent="0.3">
      <c r="B830" s="18"/>
      <c r="M830" s="165"/>
      <c r="N830" s="166"/>
      <c r="O830" s="166"/>
      <c r="P830" s="166"/>
    </row>
    <row r="831" spans="2:16" s="137" customFormat="1" x14ac:dyDescent="0.3">
      <c r="B831" s="18"/>
      <c r="M831" s="165"/>
      <c r="N831" s="166"/>
      <c r="O831" s="166"/>
      <c r="P831" s="166"/>
    </row>
    <row r="832" spans="2:16" s="137" customFormat="1" x14ac:dyDescent="0.3">
      <c r="B832" s="18"/>
      <c r="M832" s="165"/>
      <c r="N832" s="166"/>
      <c r="O832" s="166"/>
      <c r="P832" s="166"/>
    </row>
    <row r="833" spans="2:16" s="137" customFormat="1" x14ac:dyDescent="0.3">
      <c r="B833" s="18"/>
      <c r="M833" s="165"/>
      <c r="N833" s="166"/>
      <c r="O833" s="166"/>
      <c r="P833" s="166"/>
    </row>
    <row r="834" spans="2:16" s="137" customFormat="1" x14ac:dyDescent="0.3">
      <c r="B834" s="18"/>
      <c r="M834" s="165"/>
      <c r="N834" s="166"/>
      <c r="O834" s="166"/>
      <c r="P834" s="166"/>
    </row>
    <row r="835" spans="2:16" s="137" customFormat="1" x14ac:dyDescent="0.3">
      <c r="B835" s="18"/>
      <c r="M835" s="165"/>
      <c r="N835" s="166"/>
      <c r="O835" s="166"/>
      <c r="P835" s="166"/>
    </row>
    <row r="836" spans="2:16" s="137" customFormat="1" x14ac:dyDescent="0.3">
      <c r="B836" s="18"/>
      <c r="M836" s="165"/>
      <c r="N836" s="166"/>
      <c r="O836" s="166"/>
      <c r="P836" s="166"/>
    </row>
    <row r="837" spans="2:16" s="137" customFormat="1" x14ac:dyDescent="0.3">
      <c r="B837" s="18"/>
      <c r="M837" s="165"/>
      <c r="N837" s="166"/>
      <c r="O837" s="166"/>
      <c r="P837" s="166"/>
    </row>
    <row r="838" spans="2:16" s="137" customFormat="1" x14ac:dyDescent="0.3">
      <c r="B838" s="18"/>
      <c r="M838" s="165"/>
      <c r="N838" s="166"/>
      <c r="O838" s="166"/>
      <c r="P838" s="166"/>
    </row>
    <row r="839" spans="2:16" s="137" customFormat="1" x14ac:dyDescent="0.3">
      <c r="B839" s="18"/>
      <c r="M839" s="165"/>
      <c r="N839" s="166"/>
      <c r="O839" s="166"/>
      <c r="P839" s="166"/>
    </row>
    <row r="840" spans="2:16" s="137" customFormat="1" x14ac:dyDescent="0.3">
      <c r="B840" s="18"/>
      <c r="M840" s="165"/>
      <c r="N840" s="166"/>
      <c r="O840" s="166"/>
      <c r="P840" s="166"/>
    </row>
    <row r="841" spans="2:16" s="137" customFormat="1" x14ac:dyDescent="0.3">
      <c r="B841" s="18"/>
      <c r="M841" s="165"/>
      <c r="N841" s="166"/>
      <c r="O841" s="166"/>
      <c r="P841" s="166"/>
    </row>
    <row r="842" spans="2:16" s="137" customFormat="1" x14ac:dyDescent="0.3">
      <c r="B842" s="18"/>
      <c r="M842" s="165"/>
      <c r="N842" s="166"/>
      <c r="O842" s="166"/>
      <c r="P842" s="166"/>
    </row>
    <row r="843" spans="2:16" s="137" customFormat="1" x14ac:dyDescent="0.3">
      <c r="B843" s="18"/>
      <c r="M843" s="165"/>
      <c r="N843" s="166"/>
      <c r="O843" s="166"/>
      <c r="P843" s="166"/>
    </row>
    <row r="844" spans="2:16" s="137" customFormat="1" x14ac:dyDescent="0.3">
      <c r="B844" s="18"/>
      <c r="M844" s="165"/>
      <c r="N844" s="166"/>
      <c r="O844" s="166"/>
      <c r="P844" s="166"/>
    </row>
    <row r="845" spans="2:16" s="137" customFormat="1" x14ac:dyDescent="0.3">
      <c r="B845" s="18"/>
      <c r="M845" s="165"/>
      <c r="N845" s="166"/>
      <c r="O845" s="166"/>
      <c r="P845" s="166"/>
    </row>
    <row r="846" spans="2:16" ht="15" customHeight="1" x14ac:dyDescent="0.3">
      <c r="B846" s="26" t="s">
        <v>131</v>
      </c>
      <c r="C846" s="26" t="s">
        <v>132</v>
      </c>
      <c r="D846" s="26"/>
      <c r="E846" s="26" t="s">
        <v>133</v>
      </c>
      <c r="F846" s="26" t="s">
        <v>134</v>
      </c>
      <c r="G846" s="26" t="s">
        <v>135</v>
      </c>
      <c r="H846" s="26" t="s">
        <v>136</v>
      </c>
      <c r="K846" s="17"/>
      <c r="M846" s="138"/>
    </row>
    <row r="847" spans="2:16" x14ac:dyDescent="0.3">
      <c r="B847" s="30">
        <v>92584</v>
      </c>
      <c r="C847" s="27" t="s">
        <v>137</v>
      </c>
      <c r="D847" s="27">
        <f>IF($D$1=1,E847,IF($D$1=2,F847,IF($D$1=3,G847,IF($D$1=4,H847,0))))</f>
        <v>10</v>
      </c>
      <c r="E847" s="28">
        <v>10</v>
      </c>
      <c r="F847" s="24">
        <v>0.38059999999999999</v>
      </c>
      <c r="G847" s="24">
        <v>1.3332999999999999</v>
      </c>
      <c r="H847" s="24">
        <v>86.956500000000005</v>
      </c>
      <c r="K847" s="17"/>
      <c r="M847" s="138"/>
    </row>
    <row r="848" spans="2:16" x14ac:dyDescent="0.3">
      <c r="B848" s="30">
        <v>92585</v>
      </c>
      <c r="C848" s="27" t="s">
        <v>138</v>
      </c>
      <c r="D848" s="27">
        <f t="shared" ref="D848:D866" si="19">IF($D$1=1,E848,IF($D$1=2,F848,IF($D$1=3,G848,IF($D$1=4,H848,0))))</f>
        <v>10</v>
      </c>
      <c r="E848" s="28">
        <v>10</v>
      </c>
      <c r="F848" s="24">
        <v>0.38059999999999999</v>
      </c>
      <c r="G848" s="24">
        <v>1.3332999999999999</v>
      </c>
      <c r="H848" s="24">
        <v>86.956500000000005</v>
      </c>
      <c r="K848" s="17"/>
      <c r="M848" s="138"/>
    </row>
    <row r="849" spans="2:13" x14ac:dyDescent="0.3">
      <c r="B849" s="30">
        <v>92586</v>
      </c>
      <c r="C849" s="27" t="s">
        <v>139</v>
      </c>
      <c r="D849" s="27">
        <f t="shared" si="19"/>
        <v>10</v>
      </c>
      <c r="E849" s="28">
        <v>10</v>
      </c>
      <c r="F849" s="24">
        <v>0.38059999999999999</v>
      </c>
      <c r="G849" s="24">
        <v>1.3332999999999999</v>
      </c>
      <c r="H849" s="24">
        <v>86.956500000000005</v>
      </c>
      <c r="K849" s="17"/>
      <c r="M849" s="138"/>
    </row>
    <row r="850" spans="2:13" x14ac:dyDescent="0.3">
      <c r="B850" s="30">
        <v>92588</v>
      </c>
      <c r="C850" s="27" t="s">
        <v>140</v>
      </c>
      <c r="D850" s="27">
        <f t="shared" si="19"/>
        <v>19.38</v>
      </c>
      <c r="E850" s="28">
        <v>19.38</v>
      </c>
      <c r="F850" s="24">
        <v>0.81950000000000001</v>
      </c>
      <c r="G850" s="24">
        <v>2.5840000000000001</v>
      </c>
      <c r="H850" s="24">
        <v>168.52170000000001</v>
      </c>
      <c r="K850" s="17"/>
      <c r="M850"/>
    </row>
    <row r="851" spans="2:13" x14ac:dyDescent="0.3">
      <c r="B851" s="30">
        <v>92596</v>
      </c>
      <c r="C851" s="27" t="s">
        <v>141</v>
      </c>
      <c r="D851" s="27">
        <f t="shared" si="19"/>
        <v>1.8</v>
      </c>
      <c r="E851" s="28">
        <v>1.8</v>
      </c>
      <c r="F851" s="24">
        <v>7.6100000000000001E-2</v>
      </c>
      <c r="G851" s="24">
        <v>0.24</v>
      </c>
      <c r="H851" s="24">
        <v>15.652200000000001</v>
      </c>
      <c r="K851" s="17"/>
      <c r="M851"/>
    </row>
    <row r="852" spans="2:13" x14ac:dyDescent="0.3">
      <c r="B852" s="30">
        <v>92597</v>
      </c>
      <c r="C852" s="27" t="s">
        <v>142</v>
      </c>
      <c r="D852" s="27">
        <f t="shared" si="19"/>
        <v>2.2999999999999998</v>
      </c>
      <c r="E852" s="28">
        <v>2.2999999999999998</v>
      </c>
      <c r="F852" s="24">
        <v>9.7299999999999998E-2</v>
      </c>
      <c r="G852" s="24">
        <v>0.30669999999999997</v>
      </c>
      <c r="H852" s="24">
        <v>20</v>
      </c>
      <c r="K852" s="17"/>
      <c r="M852"/>
    </row>
    <row r="853" spans="2:13" x14ac:dyDescent="0.3">
      <c r="B853" s="30">
        <v>92598</v>
      </c>
      <c r="C853" s="27" t="s">
        <v>143</v>
      </c>
      <c r="D853" s="27">
        <f t="shared" si="19"/>
        <v>1.8</v>
      </c>
      <c r="E853" s="28">
        <v>1.8</v>
      </c>
      <c r="F853" s="24">
        <v>7.6100000000000001E-2</v>
      </c>
      <c r="G853" s="24">
        <v>0.24</v>
      </c>
      <c r="H853" s="24">
        <v>15.652200000000001</v>
      </c>
      <c r="K853" s="17"/>
      <c r="M853"/>
    </row>
    <row r="854" spans="2:13" x14ac:dyDescent="0.3">
      <c r="B854" s="30">
        <v>92599</v>
      </c>
      <c r="C854" s="27" t="s">
        <v>144</v>
      </c>
      <c r="D854" s="27">
        <f t="shared" si="19"/>
        <v>2.2999999999999998</v>
      </c>
      <c r="E854" s="28">
        <v>2.2999999999999998</v>
      </c>
      <c r="F854" s="24">
        <v>9.7299999999999998E-2</v>
      </c>
      <c r="G854" s="24">
        <v>0.30669999999999997</v>
      </c>
      <c r="H854" s="24">
        <v>20</v>
      </c>
      <c r="K854" s="17"/>
      <c r="M854"/>
    </row>
    <row r="855" spans="2:13" x14ac:dyDescent="0.3">
      <c r="B855" s="27" t="s">
        <v>117</v>
      </c>
      <c r="C855" s="27" t="s">
        <v>145</v>
      </c>
      <c r="D855" s="27">
        <f t="shared" si="19"/>
        <v>4.6749999999999998</v>
      </c>
      <c r="E855" s="28">
        <v>4.6749999999999998</v>
      </c>
      <c r="F855" s="24">
        <v>0.19769999999999999</v>
      </c>
      <c r="G855" s="24">
        <v>0.62329999999999997</v>
      </c>
      <c r="H855" s="24">
        <v>40.652200000000001</v>
      </c>
      <c r="K855" s="17"/>
      <c r="M855"/>
    </row>
    <row r="856" spans="2:13" x14ac:dyDescent="0.3">
      <c r="B856" s="27" t="s">
        <v>146</v>
      </c>
      <c r="C856" s="27" t="s">
        <v>147</v>
      </c>
      <c r="D856" s="27">
        <f t="shared" si="19"/>
        <v>2.3374999999999999</v>
      </c>
      <c r="E856" s="28">
        <v>2.3374999999999999</v>
      </c>
      <c r="F856" s="24">
        <v>9.8799999999999999E-2</v>
      </c>
      <c r="G856" s="24">
        <v>0.31169999999999998</v>
      </c>
      <c r="H856" s="24">
        <v>20.3261</v>
      </c>
      <c r="K856" s="17"/>
      <c r="M856"/>
    </row>
    <row r="857" spans="2:13" x14ac:dyDescent="0.3">
      <c r="B857" s="27" t="s">
        <v>148</v>
      </c>
      <c r="C857" s="27" t="s">
        <v>149</v>
      </c>
      <c r="D857" s="27">
        <f t="shared" si="19"/>
        <v>1.925</v>
      </c>
      <c r="E857" s="28">
        <v>1.925</v>
      </c>
      <c r="F857" s="24">
        <v>8.14E-2</v>
      </c>
      <c r="G857" s="24">
        <v>0.25669999999999998</v>
      </c>
      <c r="H857" s="24">
        <v>16.739100000000001</v>
      </c>
      <c r="K857" s="17"/>
      <c r="M857"/>
    </row>
    <row r="858" spans="2:13" ht="15" customHeight="1" x14ac:dyDescent="0.3">
      <c r="B858" s="27" t="s">
        <v>119</v>
      </c>
      <c r="C858" s="27" t="s">
        <v>150</v>
      </c>
      <c r="D858" s="27">
        <f t="shared" si="19"/>
        <v>2.3374999999999999</v>
      </c>
      <c r="E858" s="28">
        <v>2.3374999999999999</v>
      </c>
      <c r="F858" s="24">
        <v>9.8799999999999999E-2</v>
      </c>
      <c r="G858" s="24">
        <v>0.31169999999999998</v>
      </c>
      <c r="H858" s="24">
        <v>20.3261</v>
      </c>
      <c r="K858" s="17"/>
      <c r="M858"/>
    </row>
    <row r="859" spans="2:13" x14ac:dyDescent="0.3">
      <c r="B859" s="27" t="s">
        <v>113</v>
      </c>
      <c r="C859" s="27" t="s">
        <v>151</v>
      </c>
      <c r="D859" s="27">
        <f t="shared" si="19"/>
        <v>1.925</v>
      </c>
      <c r="E859" s="28">
        <v>1.925</v>
      </c>
      <c r="F859" s="24">
        <v>8.14E-2</v>
      </c>
      <c r="G859" s="24">
        <v>0.25669999999999998</v>
      </c>
      <c r="H859" s="24">
        <v>16.739100000000001</v>
      </c>
      <c r="K859" s="17"/>
      <c r="M859"/>
    </row>
    <row r="860" spans="2:13" x14ac:dyDescent="0.3">
      <c r="B860" s="27" t="s">
        <v>810</v>
      </c>
      <c r="C860" s="27" t="s">
        <v>152</v>
      </c>
      <c r="D860" s="27">
        <f t="shared" si="19"/>
        <v>0</v>
      </c>
      <c r="E860" s="28">
        <v>0</v>
      </c>
      <c r="F860" s="24">
        <v>0</v>
      </c>
      <c r="G860" s="24">
        <v>0</v>
      </c>
      <c r="H860" s="24">
        <v>0</v>
      </c>
      <c r="K860" s="17"/>
      <c r="M860"/>
    </row>
    <row r="861" spans="2:13" x14ac:dyDescent="0.3">
      <c r="B861" s="27" t="s">
        <v>118</v>
      </c>
      <c r="C861" s="27" t="s">
        <v>153</v>
      </c>
      <c r="D861" s="27">
        <f t="shared" si="19"/>
        <v>39.049999999999997</v>
      </c>
      <c r="E861" s="28">
        <v>39.049999999999997</v>
      </c>
      <c r="F861" s="24">
        <v>1.6512</v>
      </c>
      <c r="G861" s="24">
        <v>5.2066999999999997</v>
      </c>
      <c r="H861" s="24">
        <v>339.5652</v>
      </c>
      <c r="K861" s="17"/>
      <c r="M861"/>
    </row>
    <row r="862" spans="2:13" x14ac:dyDescent="0.3">
      <c r="B862" s="27" t="s">
        <v>116</v>
      </c>
      <c r="C862" s="27" t="s">
        <v>154</v>
      </c>
      <c r="D862" s="27">
        <f t="shared" si="19"/>
        <v>34.1</v>
      </c>
      <c r="E862" s="28">
        <v>34.1</v>
      </c>
      <c r="F862" s="24">
        <v>1.4419</v>
      </c>
      <c r="G862" s="24">
        <v>4.5467000000000004</v>
      </c>
      <c r="H862" s="24">
        <v>296.52170000000001</v>
      </c>
      <c r="K862" s="17"/>
      <c r="M862"/>
    </row>
    <row r="863" spans="2:13" x14ac:dyDescent="0.3">
      <c r="B863" s="27" t="s">
        <v>115</v>
      </c>
      <c r="C863" s="27" t="s">
        <v>155</v>
      </c>
      <c r="D863" s="27">
        <f t="shared" si="19"/>
        <v>30.8</v>
      </c>
      <c r="E863" s="28">
        <v>30.8</v>
      </c>
      <c r="F863" s="24">
        <v>1.3023</v>
      </c>
      <c r="G863" s="24">
        <v>4.1067</v>
      </c>
      <c r="H863" s="24">
        <v>267.8261</v>
      </c>
      <c r="K863" s="17"/>
      <c r="M863"/>
    </row>
    <row r="864" spans="2:13" x14ac:dyDescent="0.3">
      <c r="B864" s="27" t="s">
        <v>114</v>
      </c>
      <c r="C864" s="27" t="s">
        <v>156</v>
      </c>
      <c r="D864" s="27">
        <f t="shared" si="19"/>
        <v>30.8</v>
      </c>
      <c r="E864" s="28">
        <v>30.8</v>
      </c>
      <c r="F864" s="24">
        <v>1.3023</v>
      </c>
      <c r="G864" s="24">
        <v>4.1067</v>
      </c>
      <c r="H864" s="24">
        <v>267.8261</v>
      </c>
      <c r="K864" s="17"/>
      <c r="M864"/>
    </row>
    <row r="865" spans="2:13" x14ac:dyDescent="0.3">
      <c r="B865" s="27" t="s">
        <v>120</v>
      </c>
      <c r="C865" s="27"/>
      <c r="D865" s="27"/>
      <c r="E865" s="28"/>
      <c r="F865" s="24"/>
      <c r="G865" s="24"/>
      <c r="H865" s="24"/>
      <c r="K865" s="17"/>
      <c r="M865"/>
    </row>
    <row r="866" spans="2:13" x14ac:dyDescent="0.3">
      <c r="B866" s="27">
        <v>92950</v>
      </c>
      <c r="C866" s="27" t="s">
        <v>221</v>
      </c>
      <c r="D866" s="27">
        <f t="shared" si="19"/>
        <v>7</v>
      </c>
      <c r="E866" s="28">
        <v>7</v>
      </c>
      <c r="F866" s="24">
        <v>0.26640000000000003</v>
      </c>
      <c r="G866" s="24">
        <v>0.875</v>
      </c>
      <c r="H866" s="24">
        <v>64.673900000000003</v>
      </c>
      <c r="K866" s="17"/>
      <c r="M866"/>
    </row>
    <row r="867" spans="2:13" x14ac:dyDescent="0.3">
      <c r="B867" s="27">
        <v>0</v>
      </c>
      <c r="C867" s="27"/>
      <c r="D867" s="27"/>
      <c r="E867" s="28"/>
      <c r="F867" s="24"/>
      <c r="G867" s="24"/>
      <c r="H867" s="24"/>
      <c r="K867" s="17"/>
      <c r="M867"/>
    </row>
    <row r="868" spans="2:13" x14ac:dyDescent="0.3">
      <c r="B868" s="30">
        <v>93000</v>
      </c>
      <c r="C868" s="27" t="s">
        <v>157</v>
      </c>
      <c r="D868" s="27">
        <f t="shared" ref="D868:D895" si="20">IF($D$1=1,E868,IF($D$1=2,F868,IF($D$1=3,G868,IF($D$1=4,H868,0))))</f>
        <v>30</v>
      </c>
      <c r="E868" s="28">
        <v>30</v>
      </c>
      <c r="F868" s="24">
        <v>1.1416999999999999</v>
      </c>
      <c r="G868" s="24">
        <v>3.75</v>
      </c>
      <c r="H868" s="24">
        <v>277.1739</v>
      </c>
      <c r="K868" s="17"/>
      <c r="M868"/>
    </row>
    <row r="869" spans="2:13" x14ac:dyDescent="0.3">
      <c r="B869" s="30">
        <v>92951</v>
      </c>
      <c r="C869" s="27" t="s">
        <v>158</v>
      </c>
      <c r="D869" s="27">
        <f t="shared" si="20"/>
        <v>7.5</v>
      </c>
      <c r="E869" s="28">
        <v>7.5</v>
      </c>
      <c r="F869" s="24">
        <v>0.28539999999999999</v>
      </c>
      <c r="G869" s="24">
        <v>0.9375</v>
      </c>
      <c r="H869" s="24">
        <v>69.293499999999995</v>
      </c>
      <c r="K869" s="17"/>
      <c r="M869"/>
    </row>
    <row r="870" spans="2:13" x14ac:dyDescent="0.3">
      <c r="B870" s="30">
        <v>92952</v>
      </c>
      <c r="C870" s="27" t="s">
        <v>159</v>
      </c>
      <c r="D870" s="27">
        <f t="shared" si="20"/>
        <v>7.5</v>
      </c>
      <c r="E870" s="28">
        <v>7.5</v>
      </c>
      <c r="F870" s="24">
        <v>0.28539999999999999</v>
      </c>
      <c r="G870" s="24">
        <v>0.9375</v>
      </c>
      <c r="H870" s="24">
        <v>69.293499999999995</v>
      </c>
      <c r="K870" s="17"/>
      <c r="M870"/>
    </row>
    <row r="871" spans="2:13" ht="15" customHeight="1" x14ac:dyDescent="0.3">
      <c r="B871" s="30">
        <v>93903</v>
      </c>
      <c r="C871" s="27" t="s">
        <v>160</v>
      </c>
      <c r="D871" s="27">
        <f t="shared" si="20"/>
        <v>29.99963</v>
      </c>
      <c r="E871" s="28">
        <v>29.99963</v>
      </c>
      <c r="F871" s="24">
        <v>1.1415999999999999</v>
      </c>
      <c r="G871" s="24">
        <v>3.75</v>
      </c>
      <c r="H871" s="24">
        <v>277.1705</v>
      </c>
      <c r="K871" s="17"/>
      <c r="M871"/>
    </row>
    <row r="872" spans="2:13" x14ac:dyDescent="0.3">
      <c r="B872" s="30">
        <v>92957</v>
      </c>
      <c r="C872" s="27" t="s">
        <v>161</v>
      </c>
      <c r="D872" s="27">
        <f t="shared" si="20"/>
        <v>25</v>
      </c>
      <c r="E872" s="28">
        <v>25</v>
      </c>
      <c r="F872" s="24">
        <v>0.95140000000000002</v>
      </c>
      <c r="G872" s="24">
        <v>3.125</v>
      </c>
      <c r="H872" s="24">
        <v>230.97829999999999</v>
      </c>
      <c r="K872" s="17"/>
      <c r="M872"/>
    </row>
    <row r="873" spans="2:13" x14ac:dyDescent="0.3">
      <c r="B873" s="30">
        <v>92960</v>
      </c>
      <c r="C873" s="27" t="s">
        <v>162</v>
      </c>
      <c r="D873" s="27">
        <f t="shared" si="20"/>
        <v>2</v>
      </c>
      <c r="E873" s="28">
        <v>2</v>
      </c>
      <c r="F873" s="24">
        <v>7.6100000000000001E-2</v>
      </c>
      <c r="G873" s="24">
        <v>0.25</v>
      </c>
      <c r="H873" s="24">
        <v>18.478300000000001</v>
      </c>
      <c r="K873" s="17"/>
      <c r="M873"/>
    </row>
    <row r="874" spans="2:13" x14ac:dyDescent="0.3">
      <c r="B874" s="30">
        <v>92962</v>
      </c>
      <c r="C874" s="27" t="s">
        <v>163</v>
      </c>
      <c r="D874" s="27">
        <f t="shared" si="20"/>
        <v>3</v>
      </c>
      <c r="E874" s="28">
        <v>3</v>
      </c>
      <c r="F874" s="24">
        <v>0.1142</v>
      </c>
      <c r="G874" s="24">
        <v>0.375</v>
      </c>
      <c r="H874" s="24">
        <v>27.717400000000001</v>
      </c>
      <c r="K874" s="17"/>
      <c r="M874"/>
    </row>
    <row r="875" spans="2:13" x14ac:dyDescent="0.3">
      <c r="B875" s="30">
        <v>92961</v>
      </c>
      <c r="C875" s="27" t="s">
        <v>164</v>
      </c>
      <c r="D875" s="27">
        <f t="shared" si="20"/>
        <v>2.5</v>
      </c>
      <c r="E875" s="28">
        <v>2.5</v>
      </c>
      <c r="F875" s="24">
        <v>9.5100000000000004E-2</v>
      </c>
      <c r="G875" s="24">
        <v>0.3125</v>
      </c>
      <c r="H875" s="24">
        <v>23.097799999999999</v>
      </c>
      <c r="K875" s="17"/>
      <c r="M875"/>
    </row>
    <row r="876" spans="2:13" x14ac:dyDescent="0.3">
      <c r="B876" s="30">
        <v>92963</v>
      </c>
      <c r="C876" s="27" t="s">
        <v>165</v>
      </c>
      <c r="D876" s="27">
        <f t="shared" si="20"/>
        <v>3</v>
      </c>
      <c r="E876" s="28">
        <v>3</v>
      </c>
      <c r="F876" s="24">
        <v>0.1142</v>
      </c>
      <c r="G876" s="24">
        <v>0.375</v>
      </c>
      <c r="H876" s="24">
        <v>27.717400000000001</v>
      </c>
      <c r="K876" s="17"/>
      <c r="M876"/>
    </row>
    <row r="877" spans="2:13" x14ac:dyDescent="0.3">
      <c r="B877" s="30">
        <v>92986</v>
      </c>
      <c r="C877" s="27" t="s">
        <v>166</v>
      </c>
      <c r="D877" s="27">
        <f t="shared" si="20"/>
        <v>13</v>
      </c>
      <c r="E877" s="28">
        <v>13</v>
      </c>
      <c r="F877" s="24">
        <v>0.49469999999999997</v>
      </c>
      <c r="G877" s="24">
        <v>1.625</v>
      </c>
      <c r="H877" s="24">
        <v>120.1087</v>
      </c>
      <c r="K877" s="17"/>
      <c r="M877"/>
    </row>
    <row r="878" spans="2:13" x14ac:dyDescent="0.3">
      <c r="B878" s="30">
        <v>92987</v>
      </c>
      <c r="C878" s="27" t="s">
        <v>167</v>
      </c>
      <c r="D878" s="27">
        <f t="shared" si="20"/>
        <v>13</v>
      </c>
      <c r="E878" s="28">
        <v>13</v>
      </c>
      <c r="F878" s="24">
        <v>0.49469999999999997</v>
      </c>
      <c r="G878" s="24">
        <v>1.625</v>
      </c>
      <c r="H878" s="24">
        <v>120.1087</v>
      </c>
      <c r="K878" s="17"/>
      <c r="M878"/>
    </row>
    <row r="879" spans="2:13" x14ac:dyDescent="0.3">
      <c r="B879" s="30">
        <v>92988</v>
      </c>
      <c r="C879" s="27" t="s">
        <v>168</v>
      </c>
      <c r="D879" s="27">
        <f t="shared" si="20"/>
        <v>13</v>
      </c>
      <c r="E879" s="28">
        <v>13</v>
      </c>
      <c r="F879" s="24">
        <v>0.49469999999999997</v>
      </c>
      <c r="G879" s="24">
        <v>1.625</v>
      </c>
      <c r="H879" s="24">
        <v>120.1087</v>
      </c>
      <c r="K879" s="17"/>
      <c r="M879"/>
    </row>
    <row r="880" spans="2:13" x14ac:dyDescent="0.3">
      <c r="B880" s="30">
        <v>92972</v>
      </c>
      <c r="C880" s="27" t="s">
        <v>169</v>
      </c>
      <c r="D880" s="27">
        <f t="shared" si="20"/>
        <v>25</v>
      </c>
      <c r="E880" s="28">
        <v>25</v>
      </c>
      <c r="F880" s="24">
        <v>0.95140000000000002</v>
      </c>
      <c r="G880" s="24">
        <v>3.125</v>
      </c>
      <c r="H880" s="24">
        <v>230.97829999999999</v>
      </c>
      <c r="K880" s="17"/>
      <c r="M880"/>
    </row>
    <row r="881" spans="2:13" x14ac:dyDescent="0.3">
      <c r="B881" s="30">
        <v>92971</v>
      </c>
      <c r="C881" s="27" t="s">
        <v>170</v>
      </c>
      <c r="D881" s="27">
        <f t="shared" si="20"/>
        <v>25</v>
      </c>
      <c r="E881" s="28">
        <v>25</v>
      </c>
      <c r="F881" s="24">
        <v>0.95140000000000002</v>
      </c>
      <c r="G881" s="24">
        <v>3.125</v>
      </c>
      <c r="H881" s="24">
        <v>230.97829999999999</v>
      </c>
      <c r="K881" s="17"/>
      <c r="M881"/>
    </row>
    <row r="882" spans="2:13" x14ac:dyDescent="0.3">
      <c r="B882" s="30">
        <v>92973</v>
      </c>
      <c r="C882" s="27" t="s">
        <v>171</v>
      </c>
      <c r="D882" s="27">
        <f t="shared" si="20"/>
        <v>25</v>
      </c>
      <c r="E882" s="28">
        <v>25</v>
      </c>
      <c r="F882" s="24">
        <v>0.95140000000000002</v>
      </c>
      <c r="G882" s="24">
        <v>3.125</v>
      </c>
      <c r="H882" s="24">
        <v>230.97829999999999</v>
      </c>
      <c r="K882" s="17"/>
      <c r="M882"/>
    </row>
    <row r="883" spans="2:13" x14ac:dyDescent="0.3">
      <c r="B883" s="30">
        <v>92991</v>
      </c>
      <c r="C883" s="27" t="s">
        <v>172</v>
      </c>
      <c r="D883" s="27">
        <f t="shared" si="20"/>
        <v>35</v>
      </c>
      <c r="E883" s="28">
        <v>35</v>
      </c>
      <c r="F883" s="24">
        <v>1.3319000000000001</v>
      </c>
      <c r="G883" s="24">
        <v>4.375</v>
      </c>
      <c r="H883" s="24">
        <v>323.36959999999999</v>
      </c>
      <c r="K883" s="17"/>
      <c r="M883"/>
    </row>
    <row r="884" spans="2:13" x14ac:dyDescent="0.3">
      <c r="B884" s="30">
        <v>92975</v>
      </c>
      <c r="C884" s="27" t="s">
        <v>173</v>
      </c>
      <c r="D884" s="27">
        <f t="shared" si="20"/>
        <v>3</v>
      </c>
      <c r="E884" s="28">
        <v>3</v>
      </c>
      <c r="F884" s="24">
        <v>0.1142</v>
      </c>
      <c r="G884" s="24">
        <v>0.375</v>
      </c>
      <c r="H884" s="24">
        <v>27.717400000000001</v>
      </c>
      <c r="K884" s="17"/>
      <c r="M884"/>
    </row>
    <row r="885" spans="2:13" x14ac:dyDescent="0.3">
      <c r="B885" s="30">
        <v>92968</v>
      </c>
      <c r="C885" s="27" t="s">
        <v>174</v>
      </c>
      <c r="D885" s="27">
        <f t="shared" si="20"/>
        <v>4</v>
      </c>
      <c r="E885" s="28">
        <v>4</v>
      </c>
      <c r="F885" s="24">
        <v>0.1522</v>
      </c>
      <c r="G885" s="24">
        <v>0.5</v>
      </c>
      <c r="H885" s="24">
        <v>36.956499999999998</v>
      </c>
      <c r="K885" s="17"/>
      <c r="M885"/>
    </row>
    <row r="886" spans="2:13" x14ac:dyDescent="0.3">
      <c r="B886" s="30">
        <v>92974</v>
      </c>
      <c r="C886" s="27" t="s">
        <v>175</v>
      </c>
      <c r="D886" s="27">
        <f t="shared" si="20"/>
        <v>3.5</v>
      </c>
      <c r="E886" s="28">
        <v>3.5</v>
      </c>
      <c r="F886" s="24">
        <v>0.13320000000000001</v>
      </c>
      <c r="G886" s="24">
        <v>0.4375</v>
      </c>
      <c r="H886" s="24">
        <v>32.337000000000003</v>
      </c>
      <c r="K886" s="17"/>
      <c r="M886"/>
    </row>
    <row r="887" spans="2:13" x14ac:dyDescent="0.3">
      <c r="B887" s="30">
        <v>92969</v>
      </c>
      <c r="C887" s="27" t="s">
        <v>176</v>
      </c>
      <c r="D887" s="27">
        <f t="shared" si="20"/>
        <v>4</v>
      </c>
      <c r="E887" s="28">
        <v>4</v>
      </c>
      <c r="F887" s="24">
        <v>0.1522</v>
      </c>
      <c r="G887" s="24">
        <v>0.5</v>
      </c>
      <c r="H887" s="24">
        <v>36.956499999999998</v>
      </c>
      <c r="K887" s="17"/>
      <c r="M887"/>
    </row>
    <row r="888" spans="2:13" x14ac:dyDescent="0.3">
      <c r="B888" s="30">
        <v>93001</v>
      </c>
      <c r="C888" s="27" t="s">
        <v>177</v>
      </c>
      <c r="D888" s="27">
        <f t="shared" si="20"/>
        <v>17</v>
      </c>
      <c r="E888" s="28">
        <v>17</v>
      </c>
      <c r="F888" s="24">
        <v>0.79069999999999996</v>
      </c>
      <c r="G888" s="24">
        <v>2.2667000000000002</v>
      </c>
      <c r="H888" s="24">
        <v>157.0652</v>
      </c>
      <c r="K888" s="17"/>
      <c r="M888"/>
    </row>
    <row r="889" spans="2:13" x14ac:dyDescent="0.3">
      <c r="B889" s="30">
        <v>93002</v>
      </c>
      <c r="C889" s="27" t="s">
        <v>178</v>
      </c>
      <c r="D889" s="27">
        <f t="shared" si="20"/>
        <v>17</v>
      </c>
      <c r="E889" s="28">
        <v>17</v>
      </c>
      <c r="F889" s="24">
        <v>0.79069999999999996</v>
      </c>
      <c r="G889" s="24">
        <v>2.2667000000000002</v>
      </c>
      <c r="H889" s="24">
        <v>157.0652</v>
      </c>
      <c r="K889" s="17"/>
      <c r="M889"/>
    </row>
    <row r="890" spans="2:13" x14ac:dyDescent="0.3">
      <c r="B890" s="30">
        <v>93003</v>
      </c>
      <c r="C890" s="27" t="s">
        <v>179</v>
      </c>
      <c r="D890" s="27">
        <f t="shared" si="20"/>
        <v>17</v>
      </c>
      <c r="E890" s="28">
        <v>17</v>
      </c>
      <c r="F890" s="24">
        <v>0.79069999999999996</v>
      </c>
      <c r="G890" s="24">
        <v>2.2667000000000002</v>
      </c>
      <c r="H890" s="24">
        <v>157.0652</v>
      </c>
      <c r="K890" s="17"/>
      <c r="M890"/>
    </row>
    <row r="891" spans="2:13" x14ac:dyDescent="0.3">
      <c r="B891" s="30">
        <v>93006</v>
      </c>
      <c r="C891" s="27" t="s">
        <v>180</v>
      </c>
      <c r="D891" s="27">
        <f t="shared" si="20"/>
        <v>40</v>
      </c>
      <c r="E891" s="28">
        <v>40</v>
      </c>
      <c r="F891" s="24">
        <v>1.8605</v>
      </c>
      <c r="G891" s="24">
        <v>5.3333000000000004</v>
      </c>
      <c r="H891" s="24">
        <v>369.5652</v>
      </c>
      <c r="K891" s="17"/>
      <c r="M891"/>
    </row>
    <row r="892" spans="2:13" x14ac:dyDescent="0.3">
      <c r="B892" s="30">
        <v>93010</v>
      </c>
      <c r="C892" s="27" t="s">
        <v>181</v>
      </c>
      <c r="D892" s="27">
        <f t="shared" si="20"/>
        <v>9</v>
      </c>
      <c r="E892" s="28">
        <v>9</v>
      </c>
      <c r="F892" s="24">
        <v>0.41860000000000003</v>
      </c>
      <c r="G892" s="24">
        <v>1.2</v>
      </c>
      <c r="H892" s="24">
        <v>83.152199999999993</v>
      </c>
      <c r="K892" s="17"/>
      <c r="M892"/>
    </row>
    <row r="893" spans="2:13" x14ac:dyDescent="0.3">
      <c r="B893" s="30">
        <v>93011</v>
      </c>
      <c r="C893" s="27" t="s">
        <v>182</v>
      </c>
      <c r="D893" s="27">
        <f t="shared" si="20"/>
        <v>10</v>
      </c>
      <c r="E893" s="28">
        <v>10</v>
      </c>
      <c r="F893" s="24">
        <v>0.46510000000000001</v>
      </c>
      <c r="G893" s="24">
        <v>1.3332999999999999</v>
      </c>
      <c r="H893" s="24">
        <v>92.391300000000001</v>
      </c>
      <c r="K893" s="17"/>
      <c r="M893"/>
    </row>
    <row r="894" spans="2:13" x14ac:dyDescent="0.3">
      <c r="B894" s="30">
        <v>93012</v>
      </c>
      <c r="C894" s="27" t="s">
        <v>183</v>
      </c>
      <c r="D894" s="27">
        <f t="shared" si="20"/>
        <v>11</v>
      </c>
      <c r="E894" s="28">
        <v>11</v>
      </c>
      <c r="F894" s="24">
        <v>0.51160000000000005</v>
      </c>
      <c r="G894" s="24">
        <v>1.4666999999999999</v>
      </c>
      <c r="H894" s="24">
        <v>101.63039999999999</v>
      </c>
      <c r="K894" s="17"/>
      <c r="M894"/>
    </row>
    <row r="895" spans="2:13" x14ac:dyDescent="0.3">
      <c r="B895" s="30">
        <v>93013</v>
      </c>
      <c r="C895" s="27" t="s">
        <v>184</v>
      </c>
      <c r="D895" s="27">
        <f t="shared" si="20"/>
        <v>12</v>
      </c>
      <c r="E895" s="28">
        <v>12</v>
      </c>
      <c r="F895" s="24">
        <v>0.55810000000000004</v>
      </c>
      <c r="G895" s="24">
        <v>1.6</v>
      </c>
      <c r="H895" s="24">
        <v>110.86960000000001</v>
      </c>
      <c r="K895" s="17"/>
      <c r="M895"/>
    </row>
    <row r="896" spans="2:13" x14ac:dyDescent="0.3">
      <c r="B896" s="29"/>
      <c r="C896" s="24"/>
      <c r="D896" s="24"/>
      <c r="E896" s="24"/>
      <c r="F896" s="24"/>
      <c r="G896" s="24"/>
      <c r="H896" s="24"/>
      <c r="K896" s="17"/>
      <c r="M896"/>
    </row>
    <row r="897" spans="2:13" x14ac:dyDescent="0.3">
      <c r="B897" s="29">
        <v>12109</v>
      </c>
      <c r="C897" s="24" t="s">
        <v>682</v>
      </c>
      <c r="D897" s="27">
        <f t="shared" ref="D897:D917" si="21">IF($D$1=1,E897,IF($D$1=2,F897,IF($D$1=3,G897,IF($D$1=4,H897,0))))</f>
        <v>63.00958</v>
      </c>
      <c r="E897" s="24">
        <v>63.00958</v>
      </c>
      <c r="F897" s="24">
        <v>2.2646000000000002</v>
      </c>
      <c r="G897" s="24">
        <v>8.8739000000000008</v>
      </c>
      <c r="H897" s="24">
        <v>616.3981</v>
      </c>
      <c r="K897" s="17"/>
      <c r="M897"/>
    </row>
    <row r="898" spans="2:13" x14ac:dyDescent="0.3">
      <c r="B898" s="30">
        <v>12130</v>
      </c>
      <c r="C898" s="27" t="s">
        <v>185</v>
      </c>
      <c r="D898" s="27">
        <f t="shared" si="21"/>
        <v>72.46181</v>
      </c>
      <c r="E898" s="28">
        <v>72.46181</v>
      </c>
      <c r="F898" s="24">
        <v>2.6042999999999998</v>
      </c>
      <c r="G898" s="24">
        <v>10.205</v>
      </c>
      <c r="H898" s="24">
        <v>708.8655</v>
      </c>
      <c r="K898" s="17"/>
      <c r="M898"/>
    </row>
    <row r="899" spans="2:13" x14ac:dyDescent="0.3">
      <c r="B899" s="30">
        <v>12121</v>
      </c>
      <c r="C899" s="27" t="s">
        <v>186</v>
      </c>
      <c r="D899" s="27">
        <f t="shared" si="21"/>
        <v>72.46181</v>
      </c>
      <c r="E899" s="28">
        <v>72.46181</v>
      </c>
      <c r="F899" s="24">
        <v>2.6042999999999998</v>
      </c>
      <c r="G899" s="24">
        <v>10.205</v>
      </c>
      <c r="H899" s="24">
        <v>708.8655</v>
      </c>
      <c r="K899" s="17"/>
      <c r="M899"/>
    </row>
    <row r="900" spans="2:13" x14ac:dyDescent="0.3">
      <c r="B900" s="30">
        <v>12124</v>
      </c>
      <c r="C900" s="27" t="s">
        <v>187</v>
      </c>
      <c r="D900" s="27">
        <f t="shared" si="21"/>
        <v>72.46181</v>
      </c>
      <c r="E900" s="28">
        <v>72.46181</v>
      </c>
      <c r="F900" s="24">
        <v>2.6042999999999998</v>
      </c>
      <c r="G900" s="24">
        <v>10.205</v>
      </c>
      <c r="H900" s="24">
        <v>708.8655</v>
      </c>
      <c r="K900" s="17"/>
      <c r="M900"/>
    </row>
    <row r="901" spans="2:13" x14ac:dyDescent="0.3">
      <c r="B901" s="30">
        <v>12104</v>
      </c>
      <c r="C901" s="27" t="s">
        <v>188</v>
      </c>
      <c r="D901" s="27">
        <f t="shared" si="21"/>
        <v>68.667379999999994</v>
      </c>
      <c r="E901" s="28">
        <v>68.667379999999994</v>
      </c>
      <c r="F901" s="24">
        <v>2.468</v>
      </c>
      <c r="G901" s="24">
        <v>9.6707000000000001</v>
      </c>
      <c r="H901" s="24">
        <v>671.74609999999996</v>
      </c>
      <c r="K901" s="17"/>
      <c r="M901"/>
    </row>
    <row r="902" spans="2:13" x14ac:dyDescent="0.3">
      <c r="B902" s="30">
        <v>13030</v>
      </c>
      <c r="C902" s="27" t="s">
        <v>189</v>
      </c>
      <c r="D902" s="27">
        <f t="shared" si="21"/>
        <v>34.292349999999999</v>
      </c>
      <c r="E902" s="28">
        <v>34.292349999999999</v>
      </c>
      <c r="F902" s="24">
        <v>1.2324999999999999</v>
      </c>
      <c r="G902" s="24">
        <v>4.8295000000000003</v>
      </c>
      <c r="H902" s="24">
        <v>335.46859999999998</v>
      </c>
      <c r="K902" s="17"/>
      <c r="M902"/>
    </row>
    <row r="903" spans="2:13" x14ac:dyDescent="0.3">
      <c r="B903" s="30">
        <v>12033</v>
      </c>
      <c r="C903" s="27" t="s">
        <v>190</v>
      </c>
      <c r="D903" s="27">
        <f t="shared" si="21"/>
        <v>37.96275</v>
      </c>
      <c r="E903" s="28">
        <v>37.96275</v>
      </c>
      <c r="F903" s="24">
        <v>1.3644000000000001</v>
      </c>
      <c r="G903" s="24">
        <v>5.3464</v>
      </c>
      <c r="H903" s="24">
        <v>371.37470000000002</v>
      </c>
      <c r="K903" s="17"/>
      <c r="M903"/>
    </row>
    <row r="904" spans="2:13" x14ac:dyDescent="0.3">
      <c r="B904" s="30">
        <v>12034</v>
      </c>
      <c r="C904" s="27" t="s">
        <v>191</v>
      </c>
      <c r="D904" s="27">
        <f t="shared" si="21"/>
        <v>39.93347</v>
      </c>
      <c r="E904" s="28">
        <v>39.93347</v>
      </c>
      <c r="F904" s="24">
        <v>1.4352</v>
      </c>
      <c r="G904" s="24">
        <v>5.6239999999999997</v>
      </c>
      <c r="H904" s="24">
        <v>390.65350000000001</v>
      </c>
      <c r="K904" s="17"/>
      <c r="M904"/>
    </row>
    <row r="905" spans="2:13" x14ac:dyDescent="0.3">
      <c r="B905" s="30">
        <v>118033</v>
      </c>
      <c r="C905" s="27" t="s">
        <v>812</v>
      </c>
      <c r="D905" s="27"/>
      <c r="E905" s="28"/>
      <c r="F905" s="24"/>
      <c r="G905" s="24"/>
      <c r="H905" s="24"/>
      <c r="K905" s="17"/>
      <c r="M905"/>
    </row>
    <row r="906" spans="2:13" x14ac:dyDescent="0.3">
      <c r="B906" s="30">
        <v>12105</v>
      </c>
      <c r="C906" s="27" t="s">
        <v>192</v>
      </c>
      <c r="D906" s="27">
        <f t="shared" si="21"/>
        <v>68.851129999999998</v>
      </c>
      <c r="E906" s="28">
        <v>68.851129999999998</v>
      </c>
      <c r="F906" s="24">
        <v>2.4746000000000001</v>
      </c>
      <c r="G906" s="24">
        <v>9.6965000000000003</v>
      </c>
      <c r="H906" s="24">
        <v>673.54369999999994</v>
      </c>
      <c r="K906" s="17"/>
      <c r="M906"/>
    </row>
    <row r="907" spans="2:13" x14ac:dyDescent="0.3">
      <c r="B907" s="30">
        <v>12106</v>
      </c>
      <c r="C907" s="27" t="s">
        <v>193</v>
      </c>
      <c r="D907" s="27">
        <f t="shared" si="21"/>
        <v>62.658749999999998</v>
      </c>
      <c r="E907" s="28">
        <v>62.658749999999998</v>
      </c>
      <c r="F907" s="24">
        <v>2.2519999999999998</v>
      </c>
      <c r="G907" s="24">
        <v>8.8244000000000007</v>
      </c>
      <c r="H907" s="24">
        <v>612.96600000000001</v>
      </c>
      <c r="K907" s="17"/>
      <c r="M907"/>
    </row>
    <row r="908" spans="2:13" x14ac:dyDescent="0.3">
      <c r="B908" s="30">
        <v>12107</v>
      </c>
      <c r="C908" s="27" t="s">
        <v>194</v>
      </c>
      <c r="D908" s="27">
        <f t="shared" si="21"/>
        <v>66.324560000000005</v>
      </c>
      <c r="E908" s="28">
        <v>66.324560000000005</v>
      </c>
      <c r="F908" s="24">
        <v>2.3837999999999999</v>
      </c>
      <c r="G908" s="24">
        <v>9.3407</v>
      </c>
      <c r="H908" s="24">
        <v>648.82719999999995</v>
      </c>
      <c r="K908" s="17"/>
      <c r="M908"/>
    </row>
    <row r="909" spans="2:13" x14ac:dyDescent="0.3">
      <c r="B909" s="30">
        <v>12108</v>
      </c>
      <c r="C909" s="27" t="s">
        <v>195</v>
      </c>
      <c r="D909" s="27">
        <f t="shared" si="21"/>
        <v>66.517499999999998</v>
      </c>
      <c r="E909" s="28">
        <v>66.517499999999998</v>
      </c>
      <c r="F909" s="24">
        <v>2.3906999999999998</v>
      </c>
      <c r="G909" s="24">
        <v>9.3679000000000006</v>
      </c>
      <c r="H909" s="24">
        <v>650.71469999999999</v>
      </c>
      <c r="K909" s="17"/>
      <c r="M909"/>
    </row>
    <row r="910" spans="2:13" x14ac:dyDescent="0.3">
      <c r="B910" s="30">
        <v>12002</v>
      </c>
      <c r="C910" s="27" t="s">
        <v>196</v>
      </c>
      <c r="D910" s="27">
        <f t="shared" si="21"/>
        <v>22.573689999999999</v>
      </c>
      <c r="E910" s="28">
        <v>22.573689999999999</v>
      </c>
      <c r="F910" s="24">
        <v>0.81130000000000002</v>
      </c>
      <c r="G910" s="24">
        <v>3.1791</v>
      </c>
      <c r="H910" s="24">
        <v>220.8296</v>
      </c>
      <c r="J910" s="17"/>
      <c r="M910"/>
    </row>
    <row r="911" spans="2:13" x14ac:dyDescent="0.3">
      <c r="B911" s="30">
        <v>12005</v>
      </c>
      <c r="C911" s="27" t="s">
        <v>197</v>
      </c>
      <c r="D911" s="27">
        <f t="shared" si="21"/>
        <v>26.2395</v>
      </c>
      <c r="E911" s="28">
        <v>26.2395</v>
      </c>
      <c r="F911" s="24">
        <v>0.94310000000000005</v>
      </c>
      <c r="G911" s="24">
        <v>3.6953999999999998</v>
      </c>
      <c r="H911" s="24">
        <v>256.69080000000002</v>
      </c>
      <c r="J911" s="17"/>
      <c r="M911"/>
    </row>
    <row r="912" spans="2:13" x14ac:dyDescent="0.3">
      <c r="B912" s="30">
        <v>12008</v>
      </c>
      <c r="C912" s="27" t="s">
        <v>198</v>
      </c>
      <c r="D912" s="27">
        <f t="shared" si="21"/>
        <v>26.423249999999999</v>
      </c>
      <c r="E912" s="28">
        <v>26.423249999999999</v>
      </c>
      <c r="F912" s="24">
        <v>0.94969999999999999</v>
      </c>
      <c r="G912" s="24">
        <v>3.7212999999999998</v>
      </c>
      <c r="H912" s="24">
        <v>258.48829999999998</v>
      </c>
      <c r="J912" s="17"/>
      <c r="M912"/>
    </row>
    <row r="913" spans="2:13" x14ac:dyDescent="0.3">
      <c r="B913" s="30">
        <v>12306</v>
      </c>
      <c r="C913" s="27" t="s">
        <v>199</v>
      </c>
      <c r="D913" s="27">
        <f t="shared" si="21"/>
        <v>4.2951600000000001</v>
      </c>
      <c r="E913" s="28">
        <v>4.2951600000000001</v>
      </c>
      <c r="F913" s="24">
        <v>0.15440000000000001</v>
      </c>
      <c r="G913" s="24">
        <v>0.60489999999999999</v>
      </c>
      <c r="H913" s="24">
        <v>42.017899999999997</v>
      </c>
      <c r="J913" s="17"/>
      <c r="M913"/>
    </row>
    <row r="914" spans="2:13" x14ac:dyDescent="0.3">
      <c r="B914" s="30">
        <v>12318</v>
      </c>
      <c r="C914" s="27" t="s">
        <v>200</v>
      </c>
      <c r="D914" s="27">
        <f t="shared" si="21"/>
        <v>6.2750599999999999</v>
      </c>
      <c r="E914" s="28">
        <v>6.2750599999999999</v>
      </c>
      <c r="F914" s="24">
        <v>0.22550000000000001</v>
      </c>
      <c r="G914" s="24">
        <v>0.88370000000000004</v>
      </c>
      <c r="H914" s="24">
        <v>61.386499999999998</v>
      </c>
      <c r="K914" s="17"/>
      <c r="M914"/>
    </row>
    <row r="915" spans="2:13" x14ac:dyDescent="0.3">
      <c r="B915" s="30">
        <v>12323</v>
      </c>
      <c r="C915" s="27" t="s">
        <v>201</v>
      </c>
      <c r="D915" s="27">
        <f t="shared" si="21"/>
        <v>16.073540000000001</v>
      </c>
      <c r="E915" s="28">
        <v>16.073540000000001</v>
      </c>
      <c r="F915" s="24">
        <v>0.57769999999999999</v>
      </c>
      <c r="G915" s="24">
        <v>2.2637</v>
      </c>
      <c r="H915" s="24">
        <v>157.24119999999999</v>
      </c>
      <c r="K915" s="17"/>
      <c r="M915"/>
    </row>
    <row r="916" spans="2:13" x14ac:dyDescent="0.3">
      <c r="B916" s="30">
        <v>12319</v>
      </c>
      <c r="C916" s="27" t="s">
        <v>202</v>
      </c>
      <c r="D916" s="27">
        <f t="shared" si="21"/>
        <v>21.0945</v>
      </c>
      <c r="E916" s="28">
        <v>21.0945</v>
      </c>
      <c r="F916" s="24">
        <v>0.75819999999999999</v>
      </c>
      <c r="G916" s="24">
        <v>2.9708000000000001</v>
      </c>
      <c r="H916" s="24">
        <v>206.35919999999999</v>
      </c>
      <c r="K916" s="17"/>
      <c r="M916"/>
    </row>
    <row r="917" spans="2:13" ht="14.25" customHeight="1" x14ac:dyDescent="0.3">
      <c r="B917" s="31">
        <v>12023</v>
      </c>
      <c r="C917" s="25" t="s">
        <v>663</v>
      </c>
      <c r="D917" s="27">
        <f t="shared" si="21"/>
        <v>36.267659999999999</v>
      </c>
      <c r="E917" s="24">
        <v>36.267659999999999</v>
      </c>
      <c r="F917" s="24">
        <v>1.3035000000000001</v>
      </c>
      <c r="G917" s="24">
        <v>5.1077000000000004</v>
      </c>
      <c r="H917" s="24">
        <v>354.79230000000001</v>
      </c>
      <c r="K917" s="17"/>
      <c r="M917"/>
    </row>
    <row r="918" spans="2:13" ht="14.25" customHeight="1" x14ac:dyDescent="0.3">
      <c r="B918" s="32" t="s">
        <v>768</v>
      </c>
      <c r="C918" s="33"/>
      <c r="D918" s="34" t="s">
        <v>767</v>
      </c>
      <c r="E918" s="35" t="s">
        <v>766</v>
      </c>
      <c r="F918" s="34" t="s">
        <v>767</v>
      </c>
      <c r="G918" s="35" t="s">
        <v>766</v>
      </c>
      <c r="H918" s="35"/>
      <c r="K918" s="17"/>
      <c r="M918"/>
    </row>
    <row r="919" spans="2:13" s="137" customFormat="1" ht="14.25" customHeight="1" x14ac:dyDescent="0.3">
      <c r="B919" s="32" t="s">
        <v>754</v>
      </c>
      <c r="C919" s="33" t="s">
        <v>253</v>
      </c>
      <c r="D919" s="34" t="s">
        <v>769</v>
      </c>
      <c r="E919" s="35" t="s">
        <v>769</v>
      </c>
      <c r="F919" s="35" t="str">
        <f t="shared" ref="F919:F938" si="22">CONCATENATE(C919,"",D919)</f>
        <v>STRONG 30N(15580+15585)</v>
      </c>
      <c r="G919" s="35" t="str">
        <f t="shared" ref="G919:G938" si="23">CONCATENATE(C919,"",E919)</f>
        <v>STRONG 30N(15580+15585)</v>
      </c>
      <c r="H919" s="35"/>
      <c r="K919" s="17"/>
    </row>
    <row r="920" spans="2:13" s="137" customFormat="1" ht="14.25" customHeight="1" x14ac:dyDescent="0.3">
      <c r="B920" s="32" t="s">
        <v>754</v>
      </c>
      <c r="C920" s="33" t="s">
        <v>254</v>
      </c>
      <c r="D920" s="34" t="s">
        <v>770</v>
      </c>
      <c r="E920" s="35" t="s">
        <v>770</v>
      </c>
      <c r="F920" s="35" t="str">
        <f t="shared" si="22"/>
        <v>STRONG 60N(15581+15585)</v>
      </c>
      <c r="G920" s="35" t="str">
        <f t="shared" si="23"/>
        <v>STRONG 60N(15581+15585)</v>
      </c>
      <c r="H920" s="35"/>
      <c r="K920" s="17"/>
    </row>
    <row r="921" spans="2:13" s="137" customFormat="1" ht="14.25" customHeight="1" x14ac:dyDescent="0.3">
      <c r="B921" s="32" t="s">
        <v>754</v>
      </c>
      <c r="C921" s="33" t="s">
        <v>255</v>
      </c>
      <c r="D921" s="34" t="s">
        <v>771</v>
      </c>
      <c r="E921" s="35" t="s">
        <v>771</v>
      </c>
      <c r="F921" s="35" t="str">
        <f t="shared" si="22"/>
        <v>STRONG 80N(15582+15585)</v>
      </c>
      <c r="G921" s="35" t="str">
        <f t="shared" si="23"/>
        <v>STRONG 80N(15582+15585)</v>
      </c>
      <c r="H921" s="35"/>
      <c r="K921" s="17"/>
    </row>
    <row r="922" spans="2:13" s="137" customFormat="1" ht="14.25" customHeight="1" x14ac:dyDescent="0.3">
      <c r="B922" s="32" t="s">
        <v>754</v>
      </c>
      <c r="C922" s="33" t="s">
        <v>256</v>
      </c>
      <c r="D922" s="34" t="s">
        <v>772</v>
      </c>
      <c r="E922" s="35" t="s">
        <v>772</v>
      </c>
      <c r="F922" s="35" t="str">
        <f t="shared" si="22"/>
        <v>STRONG 100N(15583+15585)</v>
      </c>
      <c r="G922" s="35" t="str">
        <f t="shared" si="23"/>
        <v>STRONG 100N(15583+15585)</v>
      </c>
      <c r="H922" s="35"/>
      <c r="K922" s="17"/>
    </row>
    <row r="923" spans="2:13" s="137" customFormat="1" ht="14.25" customHeight="1" x14ac:dyDescent="0.3">
      <c r="B923" s="32" t="s">
        <v>754</v>
      </c>
      <c r="C923" s="33" t="s">
        <v>257</v>
      </c>
      <c r="D923" s="34" t="s">
        <v>773</v>
      </c>
      <c r="E923" s="35" t="s">
        <v>773</v>
      </c>
      <c r="F923" s="35" t="str">
        <f t="shared" si="22"/>
        <v>STRONG 120N(15584+15585)</v>
      </c>
      <c r="G923" s="35" t="str">
        <f t="shared" si="23"/>
        <v>STRONG 120N(15584+15585)</v>
      </c>
      <c r="H923" s="35"/>
      <c r="K923" s="17"/>
    </row>
    <row r="924" spans="2:13" s="137" customFormat="1" ht="14.25" customHeight="1" x14ac:dyDescent="0.3">
      <c r="B924" s="32" t="s">
        <v>754</v>
      </c>
      <c r="C924" s="33" t="s">
        <v>775</v>
      </c>
      <c r="D924" s="34" t="s">
        <v>785</v>
      </c>
      <c r="E924" s="34" t="s">
        <v>781</v>
      </c>
      <c r="F924" s="35" t="str">
        <f t="shared" si="22"/>
        <v>HUWILIFT MAXI (A)(135040+135044+135024)</v>
      </c>
      <c r="G924" s="35" t="str">
        <f t="shared" si="23"/>
        <v>HUWILIFT MAXI (A)(135040+135044+135045)</v>
      </c>
      <c r="H924" s="35"/>
      <c r="K924" s="17"/>
    </row>
    <row r="925" spans="2:13" s="137" customFormat="1" ht="14.25" customHeight="1" x14ac:dyDescent="0.3">
      <c r="B925" s="32" t="s">
        <v>754</v>
      </c>
      <c r="C925" s="33" t="s">
        <v>776</v>
      </c>
      <c r="D925" s="34" t="s">
        <v>778</v>
      </c>
      <c r="E925" s="34" t="s">
        <v>782</v>
      </c>
      <c r="F925" s="35" t="str">
        <f t="shared" si="22"/>
        <v>HUWILIFT MAXI (B)(135041+135044+135024)</v>
      </c>
      <c r="G925" s="35" t="str">
        <f t="shared" si="23"/>
        <v>HUWILIFT MAXI (B)(135041+135044+135045)</v>
      </c>
      <c r="H925" s="35"/>
      <c r="K925" s="17"/>
    </row>
    <row r="926" spans="2:13" s="137" customFormat="1" ht="14.25" customHeight="1" x14ac:dyDescent="0.3">
      <c r="B926" s="32" t="s">
        <v>754</v>
      </c>
      <c r="C926" s="33" t="s">
        <v>801</v>
      </c>
      <c r="D926" s="34" t="s">
        <v>779</v>
      </c>
      <c r="E926" s="34" t="s">
        <v>783</v>
      </c>
      <c r="F926" s="35" t="str">
        <f t="shared" si="22"/>
        <v>HUWILIFT MAXI (C )(135042+135044+135024)</v>
      </c>
      <c r="G926" s="35" t="str">
        <f t="shared" si="23"/>
        <v>HUWILIFT MAXI (C )(135042+135044+135045)</v>
      </c>
      <c r="H926" s="35"/>
      <c r="K926" s="17"/>
    </row>
    <row r="927" spans="2:13" s="137" customFormat="1" ht="14.25" customHeight="1" x14ac:dyDescent="0.3">
      <c r="B927" s="32" t="s">
        <v>754</v>
      </c>
      <c r="C927" s="33" t="s">
        <v>777</v>
      </c>
      <c r="D927" s="34" t="s">
        <v>780</v>
      </c>
      <c r="E927" s="34" t="s">
        <v>784</v>
      </c>
      <c r="F927" s="35" t="str">
        <f t="shared" si="22"/>
        <v>HUWILIFT MAXI (D)(135043+135044+135024)</v>
      </c>
      <c r="G927" s="35" t="str">
        <f t="shared" si="23"/>
        <v>HUWILIFT MAXI (D)(135043+135044+135045)</v>
      </c>
      <c r="H927" s="35"/>
      <c r="K927" s="17"/>
    </row>
    <row r="928" spans="2:13" s="137" customFormat="1" ht="14.25" customHeight="1" x14ac:dyDescent="0.3">
      <c r="B928" s="32" t="s">
        <v>754</v>
      </c>
      <c r="C928" s="33" t="s">
        <v>756</v>
      </c>
      <c r="D928" s="34" t="s">
        <v>978</v>
      </c>
      <c r="E928" s="34" t="s">
        <v>786</v>
      </c>
      <c r="F928" s="35" t="str">
        <f t="shared" si="22"/>
        <v>KRABY 164 45N(135006+15595-9 +15598)</v>
      </c>
      <c r="G928" s="35" t="str">
        <f t="shared" si="23"/>
        <v>KRABY 164 45N(135006+15595+15596)</v>
      </c>
      <c r="H928" s="35"/>
      <c r="K928" s="17"/>
    </row>
    <row r="929" spans="2:11" s="137" customFormat="1" ht="14.25" customHeight="1" x14ac:dyDescent="0.3">
      <c r="B929" s="32" t="s">
        <v>754</v>
      </c>
      <c r="C929" s="33" t="s">
        <v>757</v>
      </c>
      <c r="D929" s="34" t="s">
        <v>979</v>
      </c>
      <c r="E929" s="34" t="s">
        <v>787</v>
      </c>
      <c r="F929" s="35" t="str">
        <f t="shared" si="22"/>
        <v>KRABY 164 60N(135007+15595-9 +15598)</v>
      </c>
      <c r="G929" s="35" t="str">
        <f t="shared" si="23"/>
        <v>KRABY 164 60N(135007+15595+15596)</v>
      </c>
      <c r="H929" s="35"/>
      <c r="K929" s="17"/>
    </row>
    <row r="930" spans="2:11" s="137" customFormat="1" ht="14.25" customHeight="1" x14ac:dyDescent="0.3">
      <c r="B930" s="32" t="s">
        <v>754</v>
      </c>
      <c r="C930" s="33" t="s">
        <v>758</v>
      </c>
      <c r="D930" s="34" t="s">
        <v>980</v>
      </c>
      <c r="E930" s="34" t="s">
        <v>788</v>
      </c>
      <c r="F930" s="35" t="str">
        <f t="shared" si="22"/>
        <v>KRABY 244 45N(15590+15595-9 +15598)</v>
      </c>
      <c r="G930" s="35" t="str">
        <f t="shared" si="23"/>
        <v>KRABY 244 45N(15590+15595+15596)</v>
      </c>
      <c r="H930" s="35"/>
      <c r="K930" s="17"/>
    </row>
    <row r="931" spans="2:11" s="137" customFormat="1" ht="14.25" customHeight="1" x14ac:dyDescent="0.3">
      <c r="B931" s="32" t="s">
        <v>754</v>
      </c>
      <c r="C931" s="33" t="s">
        <v>759</v>
      </c>
      <c r="D931" s="34" t="s">
        <v>981</v>
      </c>
      <c r="E931" s="34" t="s">
        <v>789</v>
      </c>
      <c r="F931" s="35" t="str">
        <f t="shared" si="22"/>
        <v>KRABY 244 60N(15591+15595-9 +15598)</v>
      </c>
      <c r="G931" s="35" t="str">
        <f t="shared" si="23"/>
        <v>KRABY 244 60N(15591+15595+15596)</v>
      </c>
      <c r="H931" s="35"/>
      <c r="K931" s="17"/>
    </row>
    <row r="932" spans="2:11" s="137" customFormat="1" ht="14.25" customHeight="1" x14ac:dyDescent="0.3">
      <c r="B932" s="32" t="s">
        <v>754</v>
      </c>
      <c r="C932" s="33" t="s">
        <v>760</v>
      </c>
      <c r="D932" s="34" t="s">
        <v>982</v>
      </c>
      <c r="E932" s="34" t="s">
        <v>790</v>
      </c>
      <c r="F932" s="35" t="str">
        <f t="shared" si="22"/>
        <v>KRABY 244 90N(15592+15595-9 +15598)</v>
      </c>
      <c r="G932" s="35" t="str">
        <f t="shared" si="23"/>
        <v>KRABY 244 90N(15592+15595+15596)</v>
      </c>
      <c r="H932" s="35"/>
      <c r="K932" s="17"/>
    </row>
    <row r="933" spans="2:11" s="137" customFormat="1" ht="14.25" customHeight="1" x14ac:dyDescent="0.3">
      <c r="B933" s="32" t="s">
        <v>754</v>
      </c>
      <c r="C933" s="33" t="s">
        <v>761</v>
      </c>
      <c r="D933" s="34" t="s">
        <v>983</v>
      </c>
      <c r="E933" s="34" t="s">
        <v>791</v>
      </c>
      <c r="F933" s="35" t="str">
        <f t="shared" si="22"/>
        <v>KRABY 244 120N(15593+15595-9 +15598)</v>
      </c>
      <c r="G933" s="35" t="str">
        <f t="shared" si="23"/>
        <v>KRABY 244 120N(15593+15595+15596)</v>
      </c>
      <c r="H933" s="35"/>
      <c r="K933" s="17"/>
    </row>
    <row r="934" spans="2:11" s="137" customFormat="1" ht="14.25" customHeight="1" x14ac:dyDescent="0.3">
      <c r="B934" s="32" t="s">
        <v>754</v>
      </c>
      <c r="C934" s="33" t="s">
        <v>762</v>
      </c>
      <c r="D934" s="34" t="s">
        <v>984</v>
      </c>
      <c r="E934" s="34" t="s">
        <v>792</v>
      </c>
      <c r="F934" s="35" t="str">
        <f t="shared" si="22"/>
        <v>KRABY 355 45N(135008+15595-9 +15598)</v>
      </c>
      <c r="G934" s="35" t="str">
        <f t="shared" si="23"/>
        <v>KRABY 355 45N(135008+15595+15596)</v>
      </c>
      <c r="H934" s="35"/>
      <c r="K934" s="17"/>
    </row>
    <row r="935" spans="2:11" s="137" customFormat="1" ht="14.25" customHeight="1" x14ac:dyDescent="0.3">
      <c r="B935" s="32" t="s">
        <v>754</v>
      </c>
      <c r="C935" s="33" t="s">
        <v>763</v>
      </c>
      <c r="D935" s="34" t="s">
        <v>985</v>
      </c>
      <c r="E935" s="34" t="s">
        <v>793</v>
      </c>
      <c r="F935" s="35" t="str">
        <f t="shared" si="22"/>
        <v>KRABY 355 60N(135009+15595-9 +15598)</v>
      </c>
      <c r="G935" s="35" t="str">
        <f t="shared" si="23"/>
        <v>KRABY 355 60N(135009+15595+15596)</v>
      </c>
      <c r="H935" s="35"/>
      <c r="K935" s="17"/>
    </row>
    <row r="936" spans="2:11" s="137" customFormat="1" ht="14.25" customHeight="1" x14ac:dyDescent="0.3">
      <c r="B936" s="32" t="s">
        <v>754</v>
      </c>
      <c r="C936" s="33" t="s">
        <v>764</v>
      </c>
      <c r="D936" s="34" t="s">
        <v>986</v>
      </c>
      <c r="E936" s="34" t="s">
        <v>794</v>
      </c>
      <c r="F936" s="35" t="str">
        <f t="shared" si="22"/>
        <v>KRABY 355 90N(135010+15595-9 +15598)</v>
      </c>
      <c r="G936" s="35" t="str">
        <f t="shared" si="23"/>
        <v>KRABY 355 90N(135010+15595+15596)</v>
      </c>
      <c r="H936" s="35"/>
      <c r="K936" s="17"/>
    </row>
    <row r="937" spans="2:11" s="137" customFormat="1" ht="14.25" customHeight="1" x14ac:dyDescent="0.3">
      <c r="B937" s="32" t="s">
        <v>754</v>
      </c>
      <c r="C937" s="33" t="s">
        <v>765</v>
      </c>
      <c r="D937" s="34" t="s">
        <v>987</v>
      </c>
      <c r="E937" s="34" t="s">
        <v>795</v>
      </c>
      <c r="F937" s="35" t="str">
        <f t="shared" si="22"/>
        <v>KRABY 355 120N(135011+15595-9 +15598)</v>
      </c>
      <c r="G937" s="35" t="str">
        <f t="shared" si="23"/>
        <v>KRABY 355 120N(135011+15595+15596)</v>
      </c>
      <c r="H937" s="35"/>
      <c r="K937" s="17"/>
    </row>
    <row r="938" spans="2:11" s="137" customFormat="1" ht="14.25" customHeight="1" x14ac:dyDescent="0.3">
      <c r="B938" s="32" t="s">
        <v>805</v>
      </c>
      <c r="C938" s="33" t="s">
        <v>859</v>
      </c>
      <c r="D938" s="34" t="s">
        <v>799</v>
      </c>
      <c r="E938" s="35" t="s">
        <v>800</v>
      </c>
      <c r="F938" s="35" t="str">
        <f t="shared" si="22"/>
        <v>HUWIL DUO (90°)(135017+135019+135024)</v>
      </c>
      <c r="G938" s="35" t="str">
        <f t="shared" si="23"/>
        <v>HUWIL DUO (90°)(135017+135019+135021)</v>
      </c>
      <c r="H938" s="35"/>
      <c r="K938" s="17"/>
    </row>
    <row r="939" spans="2:11" s="137" customFormat="1" ht="14.25" customHeight="1" x14ac:dyDescent="0.3">
      <c r="B939" s="32" t="s">
        <v>755</v>
      </c>
      <c r="C939" s="33" t="s">
        <v>110</v>
      </c>
      <c r="D939" s="34" t="s">
        <v>774</v>
      </c>
      <c r="E939" s="35" t="s">
        <v>774</v>
      </c>
      <c r="F939" s="35" t="str">
        <f>CONCATENATE(C939,"",$B$250,"",D939)</f>
        <v>STRONGspodní(15490+15490)</v>
      </c>
      <c r="G939" s="35" t="str">
        <f>CONCATENATE(C939,"",$B$250,"",E939)</f>
        <v>STRONGspodní(15490+15490)</v>
      </c>
      <c r="H939" s="35"/>
      <c r="K939" s="17"/>
    </row>
    <row r="940" spans="2:11" s="137" customFormat="1" ht="14.25" customHeight="1" x14ac:dyDescent="0.3">
      <c r="B940" s="32" t="s">
        <v>755</v>
      </c>
      <c r="C940" s="33" t="s">
        <v>802</v>
      </c>
      <c r="D940" s="34" t="s">
        <v>988</v>
      </c>
      <c r="E940" s="34" t="s">
        <v>796</v>
      </c>
      <c r="F940" s="35" t="str">
        <f>CONCATENATE(C940,"",$B$250,"",D940)</f>
        <v>KRABY 164spodní(15588+15595-9 +15598)</v>
      </c>
      <c r="G940" s="35" t="str">
        <f>CONCATENATE(C940,"",$B$250,"",E940)</f>
        <v>KRABY 164spodní(15588+15595+15596)</v>
      </c>
      <c r="H940" s="35"/>
      <c r="K940" s="17"/>
    </row>
    <row r="941" spans="2:11" s="137" customFormat="1" ht="14.25" customHeight="1" x14ac:dyDescent="0.3">
      <c r="B941" s="32" t="s">
        <v>755</v>
      </c>
      <c r="C941" s="33" t="s">
        <v>803</v>
      </c>
      <c r="D941" s="34" t="s">
        <v>989</v>
      </c>
      <c r="E941" s="34" t="s">
        <v>797</v>
      </c>
      <c r="F941" s="35" t="str">
        <f>CONCATENATE(C941,"",$B$250,"",D941)</f>
        <v>KRABY 244spodní(15594+15595-9 +15598)</v>
      </c>
      <c r="G941" s="35" t="str">
        <f>CONCATENATE(C941,"",$B$250,"",E941)</f>
        <v>KRABY 244spodní(15594+15595+15596)</v>
      </c>
      <c r="H941" s="35"/>
      <c r="K941" s="17"/>
    </row>
    <row r="942" spans="2:11" s="137" customFormat="1" ht="14.25" customHeight="1" x14ac:dyDescent="0.3">
      <c r="B942" s="32" t="s">
        <v>755</v>
      </c>
      <c r="C942" s="33" t="s">
        <v>804</v>
      </c>
      <c r="D942" s="34" t="s">
        <v>990</v>
      </c>
      <c r="E942" s="34" t="s">
        <v>798</v>
      </c>
      <c r="F942" s="35" t="str">
        <f>CONCATENATE(C942,"",$B$250,"",D942)</f>
        <v>KRABY 355spodní(15589+15595-9 +15598)</v>
      </c>
      <c r="G942" s="35" t="str">
        <f>CONCATENATE(C942,"",$B$250,"",E942)</f>
        <v>KRABY 355spodní(15589+15595+15596)</v>
      </c>
      <c r="H942" s="35"/>
      <c r="K942" s="17"/>
    </row>
    <row r="943" spans="2:11" s="137" customFormat="1" ht="14.25" customHeight="1" x14ac:dyDescent="0.3">
      <c r="B943" s="32"/>
      <c r="C943" s="33"/>
      <c r="D943" s="34"/>
      <c r="E943" s="35"/>
      <c r="F943" s="35"/>
      <c r="G943" s="35"/>
      <c r="H943" s="35"/>
      <c r="K943" s="17"/>
    </row>
    <row r="944" spans="2:11" s="137" customFormat="1" ht="14.25" customHeight="1" x14ac:dyDescent="0.3">
      <c r="B944" s="32"/>
      <c r="C944" s="33"/>
      <c r="D944" s="34"/>
      <c r="E944" s="35"/>
      <c r="F944" s="35"/>
      <c r="G944" s="35"/>
      <c r="H944" s="35"/>
      <c r="K944" s="17" t="str">
        <f>HM_UCH</f>
        <v>Hmotnost úchytky (g)</v>
      </c>
    </row>
    <row r="945" spans="2:13" s="137" customFormat="1" ht="14.25" customHeight="1" x14ac:dyDescent="0.3">
      <c r="B945" s="32"/>
      <c r="C945" s="33"/>
      <c r="D945" s="34"/>
      <c r="E945" s="35"/>
      <c r="F945" s="35"/>
      <c r="G945" s="35"/>
      <c r="H945" s="35"/>
      <c r="K945" s="17"/>
    </row>
    <row r="946" spans="2:13" s="137" customFormat="1" ht="14.25" customHeight="1" x14ac:dyDescent="0.3">
      <c r="B946" s="32"/>
      <c r="C946" s="33"/>
      <c r="D946" s="34"/>
      <c r="E946" s="35"/>
      <c r="F946" s="35"/>
      <c r="G946" s="35"/>
      <c r="H946" s="35"/>
      <c r="K946" s="17"/>
    </row>
    <row r="947" spans="2:13" s="137" customFormat="1" ht="14.25" customHeight="1" x14ac:dyDescent="0.3">
      <c r="B947" s="32"/>
      <c r="C947" s="33"/>
      <c r="D947" s="34"/>
      <c r="E947" s="35"/>
      <c r="F947" s="35"/>
      <c r="G947" s="35"/>
      <c r="H947" s="35"/>
      <c r="K947" s="17"/>
    </row>
    <row r="948" spans="2:13" x14ac:dyDescent="0.3">
      <c r="B948" s="1">
        <v>15555</v>
      </c>
      <c r="C948" s="1" t="s">
        <v>229</v>
      </c>
      <c r="D948" s="34" t="str">
        <f t="shared" ref="D948:D962" si="24">CONCATENATE(C948," (",(B948),")")</f>
        <v>Gamma 30N (15555)</v>
      </c>
      <c r="E948">
        <f>IF($D$1=1,F948,IF($D$1=2,G948,IF($D$1=3,H948,IF($D$1=4,I948,0))))</f>
        <v>199</v>
      </c>
      <c r="F948">
        <f t="shared" ref="F948:F961" si="25">VLOOKUP(B948,$B$973:$H$1071,4)</f>
        <v>199</v>
      </c>
      <c r="G948">
        <f t="shared" ref="G948:G961" si="26">VLOOKUP(B948,$B$973:$H$1071,5)</f>
        <v>8.4144000000000005</v>
      </c>
      <c r="H948">
        <f t="shared" ref="H948:H961" si="27">VLOOKUP(B948,$B$973:$H$1071,6)</f>
        <v>24.875</v>
      </c>
      <c r="I948">
        <f t="shared" ref="I948:I961" si="28">VLOOKUP(B948,$B$973:$H$1071,7)</f>
        <v>1838.587</v>
      </c>
      <c r="M948"/>
    </row>
    <row r="949" spans="2:13" x14ac:dyDescent="0.3">
      <c r="B949" s="1">
        <v>15556</v>
      </c>
      <c r="C949" s="1" t="s">
        <v>230</v>
      </c>
      <c r="D949" s="34" t="str">
        <f t="shared" si="24"/>
        <v>Gamma 60N (15556)</v>
      </c>
      <c r="E949">
        <f t="shared" ref="E949:E961" si="29">IF($D$1=1,F949,IF($D$1=2,G949,IF($D$1=3,H949,IF($D$1=4,I949,0))))</f>
        <v>199</v>
      </c>
      <c r="F949">
        <f t="shared" si="25"/>
        <v>199</v>
      </c>
      <c r="G949">
        <f t="shared" si="26"/>
        <v>8.4144000000000005</v>
      </c>
      <c r="H949">
        <f t="shared" si="27"/>
        <v>24.875</v>
      </c>
      <c r="I949">
        <f t="shared" si="28"/>
        <v>1838.587</v>
      </c>
      <c r="M949"/>
    </row>
    <row r="950" spans="2:13" x14ac:dyDescent="0.3">
      <c r="B950" s="1">
        <v>15557</v>
      </c>
      <c r="C950" s="1" t="s">
        <v>231</v>
      </c>
      <c r="D950" s="34" t="str">
        <f t="shared" si="24"/>
        <v>Gamma 80N (15557)</v>
      </c>
      <c r="E950">
        <f t="shared" si="29"/>
        <v>199</v>
      </c>
      <c r="F950">
        <f t="shared" si="25"/>
        <v>199</v>
      </c>
      <c r="G950">
        <f t="shared" si="26"/>
        <v>8.4144000000000005</v>
      </c>
      <c r="H950">
        <f t="shared" si="27"/>
        <v>24.875</v>
      </c>
      <c r="I950">
        <f t="shared" si="28"/>
        <v>1838.587</v>
      </c>
      <c r="M950"/>
    </row>
    <row r="951" spans="2:13" x14ac:dyDescent="0.3">
      <c r="B951" s="1">
        <v>15558</v>
      </c>
      <c r="C951" s="1" t="s">
        <v>232</v>
      </c>
      <c r="D951" s="34" t="str">
        <f t="shared" si="24"/>
        <v>Gamma 100N (15558)</v>
      </c>
      <c r="E951">
        <f t="shared" si="29"/>
        <v>199</v>
      </c>
      <c r="F951">
        <f t="shared" si="25"/>
        <v>199</v>
      </c>
      <c r="G951">
        <f t="shared" si="26"/>
        <v>8.4144000000000005</v>
      </c>
      <c r="H951">
        <f t="shared" si="27"/>
        <v>24.875</v>
      </c>
      <c r="I951">
        <f t="shared" si="28"/>
        <v>1838.587</v>
      </c>
      <c r="M951"/>
    </row>
    <row r="952" spans="2:13" x14ac:dyDescent="0.3">
      <c r="B952" s="1">
        <v>15559</v>
      </c>
      <c r="C952" s="1" t="s">
        <v>233</v>
      </c>
      <c r="D952" s="34" t="str">
        <f t="shared" si="24"/>
        <v>Gamma 120N (15559)</v>
      </c>
      <c r="E952">
        <f t="shared" si="29"/>
        <v>199</v>
      </c>
      <c r="F952">
        <f t="shared" si="25"/>
        <v>199</v>
      </c>
      <c r="G952">
        <f t="shared" si="26"/>
        <v>8.4144000000000005</v>
      </c>
      <c r="H952">
        <f t="shared" si="27"/>
        <v>24.875</v>
      </c>
      <c r="I952">
        <f t="shared" si="28"/>
        <v>1838.587</v>
      </c>
      <c r="M952"/>
    </row>
    <row r="953" spans="2:13" x14ac:dyDescent="0.3">
      <c r="B953" s="1">
        <v>15580</v>
      </c>
      <c r="C953" s="1" t="s">
        <v>253</v>
      </c>
      <c r="D953" s="34" t="str">
        <f t="shared" si="24"/>
        <v>STRONG 30N (15580)</v>
      </c>
      <c r="E953">
        <f t="shared" si="29"/>
        <v>50</v>
      </c>
      <c r="F953">
        <f t="shared" si="25"/>
        <v>50</v>
      </c>
      <c r="G953">
        <f t="shared" si="26"/>
        <v>2.1141999999999999</v>
      </c>
      <c r="H953">
        <f t="shared" si="27"/>
        <v>6.25</v>
      </c>
      <c r="I953">
        <f t="shared" si="28"/>
        <v>461.95650000000001</v>
      </c>
      <c r="M953"/>
    </row>
    <row r="954" spans="2:13" x14ac:dyDescent="0.3">
      <c r="B954" s="1">
        <v>15581</v>
      </c>
      <c r="C954" s="1" t="s">
        <v>254</v>
      </c>
      <c r="D954" s="34" t="str">
        <f t="shared" si="24"/>
        <v>STRONG 60N (15581)</v>
      </c>
      <c r="E954">
        <f t="shared" si="29"/>
        <v>50</v>
      </c>
      <c r="F954">
        <f t="shared" si="25"/>
        <v>50</v>
      </c>
      <c r="G954">
        <f t="shared" si="26"/>
        <v>2.1141999999999999</v>
      </c>
      <c r="H954">
        <f t="shared" si="27"/>
        <v>6.25</v>
      </c>
      <c r="I954">
        <f t="shared" si="28"/>
        <v>461.95650000000001</v>
      </c>
      <c r="M954"/>
    </row>
    <row r="955" spans="2:13" x14ac:dyDescent="0.3">
      <c r="B955" s="1">
        <v>15582</v>
      </c>
      <c r="C955" s="1" t="s">
        <v>255</v>
      </c>
      <c r="D955" s="34" t="str">
        <f t="shared" si="24"/>
        <v>STRONG 80N (15582)</v>
      </c>
      <c r="E955">
        <f t="shared" si="29"/>
        <v>50</v>
      </c>
      <c r="F955">
        <f t="shared" si="25"/>
        <v>50</v>
      </c>
      <c r="G955">
        <f t="shared" si="26"/>
        <v>2.1141999999999999</v>
      </c>
      <c r="H955">
        <f t="shared" si="27"/>
        <v>6.25</v>
      </c>
      <c r="I955">
        <f t="shared" si="28"/>
        <v>461.95650000000001</v>
      </c>
      <c r="M955"/>
    </row>
    <row r="956" spans="2:13" x14ac:dyDescent="0.3">
      <c r="B956" s="1">
        <v>15583</v>
      </c>
      <c r="C956" s="1" t="s">
        <v>256</v>
      </c>
      <c r="D956" s="34" t="str">
        <f t="shared" si="24"/>
        <v>STRONG 100N (15583)</v>
      </c>
      <c r="E956">
        <f t="shared" si="29"/>
        <v>50</v>
      </c>
      <c r="F956">
        <f t="shared" si="25"/>
        <v>50</v>
      </c>
      <c r="G956">
        <f t="shared" si="26"/>
        <v>2.1141999999999999</v>
      </c>
      <c r="H956">
        <f t="shared" si="27"/>
        <v>6.25</v>
      </c>
      <c r="I956">
        <f t="shared" si="28"/>
        <v>461.95650000000001</v>
      </c>
      <c r="M956"/>
    </row>
    <row r="957" spans="2:13" x14ac:dyDescent="0.3">
      <c r="B957" s="1">
        <v>15584</v>
      </c>
      <c r="C957" s="1" t="s">
        <v>257</v>
      </c>
      <c r="D957" s="34" t="str">
        <f t="shared" si="24"/>
        <v>STRONG 120N (15584)</v>
      </c>
      <c r="E957">
        <f t="shared" si="29"/>
        <v>50</v>
      </c>
      <c r="F957">
        <f t="shared" si="25"/>
        <v>50</v>
      </c>
      <c r="G957">
        <f t="shared" si="26"/>
        <v>2.1141999999999999</v>
      </c>
      <c r="H957">
        <f t="shared" si="27"/>
        <v>6.25</v>
      </c>
      <c r="I957">
        <f t="shared" si="28"/>
        <v>461.95650000000001</v>
      </c>
      <c r="M957"/>
    </row>
    <row r="958" spans="2:13" x14ac:dyDescent="0.3">
      <c r="B958" s="1">
        <v>15590</v>
      </c>
      <c r="C958" s="1" t="s">
        <v>235</v>
      </c>
      <c r="D958" s="34" t="str">
        <f t="shared" si="24"/>
        <v>45N Kraby 244 (15590)</v>
      </c>
      <c r="E958">
        <f t="shared" si="29"/>
        <v>299.89999999999998</v>
      </c>
      <c r="F958">
        <f t="shared" si="25"/>
        <v>299.89999999999998</v>
      </c>
      <c r="G958">
        <f t="shared" si="26"/>
        <v>12.6808</v>
      </c>
      <c r="H958">
        <f t="shared" si="27"/>
        <v>37.487499999999997</v>
      </c>
      <c r="I958">
        <f t="shared" si="28"/>
        <v>2770.8152</v>
      </c>
      <c r="M958"/>
    </row>
    <row r="959" spans="2:13" x14ac:dyDescent="0.3">
      <c r="B959" s="1">
        <v>15591</v>
      </c>
      <c r="C959" s="1" t="s">
        <v>236</v>
      </c>
      <c r="D959" s="34" t="str">
        <f t="shared" si="24"/>
        <v>60N Kraby 244 (15591)</v>
      </c>
      <c r="E959">
        <f t="shared" si="29"/>
        <v>299.89999999999998</v>
      </c>
      <c r="F959">
        <f t="shared" si="25"/>
        <v>299.89999999999998</v>
      </c>
      <c r="G959">
        <f t="shared" si="26"/>
        <v>12.6808</v>
      </c>
      <c r="H959">
        <f t="shared" si="27"/>
        <v>37.487499999999997</v>
      </c>
      <c r="I959">
        <f t="shared" si="28"/>
        <v>2770.8152</v>
      </c>
      <c r="M959"/>
    </row>
    <row r="960" spans="2:13" x14ac:dyDescent="0.3">
      <c r="B960" s="1">
        <v>15592</v>
      </c>
      <c r="C960" s="1" t="s">
        <v>237</v>
      </c>
      <c r="D960" s="34" t="str">
        <f t="shared" si="24"/>
        <v>90N Kraby 244 (15592)</v>
      </c>
      <c r="E960">
        <f t="shared" si="29"/>
        <v>299.89999999999998</v>
      </c>
      <c r="F960">
        <f t="shared" si="25"/>
        <v>299.89999999999998</v>
      </c>
      <c r="G960">
        <f t="shared" si="26"/>
        <v>12.6808</v>
      </c>
      <c r="H960">
        <f t="shared" si="27"/>
        <v>37.487499999999997</v>
      </c>
      <c r="I960">
        <f t="shared" si="28"/>
        <v>2770.8152</v>
      </c>
      <c r="M960"/>
    </row>
    <row r="961" spans="2:13" x14ac:dyDescent="0.3">
      <c r="B961" s="1">
        <v>15593</v>
      </c>
      <c r="C961" s="1" t="s">
        <v>238</v>
      </c>
      <c r="D961" s="34" t="str">
        <f t="shared" si="24"/>
        <v>120N Kraby 244 (15593)</v>
      </c>
      <c r="E961">
        <f t="shared" si="29"/>
        <v>299.89999999999998</v>
      </c>
      <c r="F961">
        <f t="shared" si="25"/>
        <v>299.89999999999998</v>
      </c>
      <c r="G961">
        <f t="shared" si="26"/>
        <v>12.6808</v>
      </c>
      <c r="H961">
        <f t="shared" si="27"/>
        <v>37.487499999999997</v>
      </c>
      <c r="I961">
        <f t="shared" si="28"/>
        <v>2770.8152</v>
      </c>
      <c r="M961"/>
    </row>
    <row r="962" spans="2:13" x14ac:dyDescent="0.3">
      <c r="B962" s="1" t="s">
        <v>631</v>
      </c>
      <c r="C962" s="1" t="s">
        <v>630</v>
      </c>
      <c r="D962" s="34" t="str">
        <f t="shared" si="24"/>
        <v>FGV-Aero Wing (AW007)</v>
      </c>
      <c r="E962">
        <f>IF($D$1=1,F962,IF($D$1=2,G962,IF($D$1=3,H962,IF($D$1=4,I962,0))))</f>
        <v>159</v>
      </c>
      <c r="F962">
        <v>159</v>
      </c>
      <c r="G962">
        <v>6.7229999999999999</v>
      </c>
      <c r="H962">
        <v>19.875</v>
      </c>
      <c r="I962">
        <v>1469.0217</v>
      </c>
      <c r="M962"/>
    </row>
    <row r="963" spans="2:13" x14ac:dyDescent="0.3">
      <c r="B963" s="1">
        <v>15585</v>
      </c>
      <c r="C963" s="1" t="s">
        <v>365</v>
      </c>
      <c r="E963">
        <f t="shared" ref="E963:E969" si="30">IF($D$1=1,F963,IF($D$1=2,G963,IF($D$1=3,H963,IF($D$1=4,I963,0))))</f>
        <v>3.1249699999999998</v>
      </c>
      <c r="F963">
        <f t="shared" ref="F963:F969" si="31">VLOOKUP(B963,$B$973:$H$1071,4)</f>
        <v>3.1249699999999998</v>
      </c>
      <c r="G963">
        <f t="shared" ref="G963:G969" si="32">VLOOKUP(B963,$B$973:$H$1071,5)</f>
        <v>0.1321</v>
      </c>
      <c r="H963">
        <f t="shared" ref="H963:H969" si="33">VLOOKUP(B963,$B$973:$H$1071,6)</f>
        <v>0.3906</v>
      </c>
      <c r="I963">
        <f t="shared" ref="I963:I969" si="34">VLOOKUP(B963,$B$973:$H$1071,7)</f>
        <v>28.872</v>
      </c>
      <c r="M963"/>
    </row>
    <row r="964" spans="2:13" x14ac:dyDescent="0.3">
      <c r="B964" s="1">
        <v>15538</v>
      </c>
      <c r="C964" s="1" t="s">
        <v>234</v>
      </c>
      <c r="E964">
        <f t="shared" si="30"/>
        <v>10.8</v>
      </c>
      <c r="F964">
        <f t="shared" si="31"/>
        <v>10.8</v>
      </c>
      <c r="G964">
        <f t="shared" si="32"/>
        <v>0.45669999999999999</v>
      </c>
      <c r="H964">
        <f t="shared" si="33"/>
        <v>1.35</v>
      </c>
      <c r="I964">
        <f t="shared" si="34"/>
        <v>99.782600000000002</v>
      </c>
      <c r="M964"/>
    </row>
    <row r="965" spans="2:13" x14ac:dyDescent="0.3">
      <c r="B965" s="1">
        <v>15595</v>
      </c>
      <c r="C965" s="1" t="s">
        <v>366</v>
      </c>
      <c r="E965">
        <f t="shared" si="30"/>
        <v>13.4</v>
      </c>
      <c r="F965">
        <f t="shared" si="31"/>
        <v>13.4</v>
      </c>
      <c r="G965">
        <f t="shared" si="32"/>
        <v>0.56659999999999999</v>
      </c>
      <c r="H965">
        <f t="shared" si="33"/>
        <v>1.675</v>
      </c>
      <c r="I965">
        <f t="shared" si="34"/>
        <v>123.8044</v>
      </c>
      <c r="M965"/>
    </row>
    <row r="966" spans="2:13" x14ac:dyDescent="0.3">
      <c r="B966" s="1">
        <v>15596</v>
      </c>
      <c r="C966" s="1" t="s">
        <v>367</v>
      </c>
      <c r="E966">
        <f t="shared" si="30"/>
        <v>11.9</v>
      </c>
      <c r="F966">
        <f t="shared" si="31"/>
        <v>11.9</v>
      </c>
      <c r="G966">
        <f t="shared" si="32"/>
        <v>0.50319999999999998</v>
      </c>
      <c r="H966">
        <f t="shared" si="33"/>
        <v>1.4875</v>
      </c>
      <c r="I966">
        <f t="shared" si="34"/>
        <v>109.9457</v>
      </c>
      <c r="M966"/>
    </row>
    <row r="967" spans="2:13" x14ac:dyDescent="0.3">
      <c r="B967" s="1">
        <v>15597</v>
      </c>
      <c r="C967" s="1" t="s">
        <v>368</v>
      </c>
      <c r="E967">
        <f t="shared" si="30"/>
        <v>11.423999999999999</v>
      </c>
      <c r="F967">
        <f t="shared" si="31"/>
        <v>11.423999999999999</v>
      </c>
      <c r="G967">
        <f t="shared" si="32"/>
        <v>0.48299999999999998</v>
      </c>
      <c r="H967">
        <f t="shared" si="33"/>
        <v>1.4279999999999999</v>
      </c>
      <c r="I967">
        <f t="shared" si="34"/>
        <v>105.5478</v>
      </c>
      <c r="M967"/>
    </row>
    <row r="968" spans="2:13" x14ac:dyDescent="0.3">
      <c r="B968" s="1">
        <v>15598</v>
      </c>
      <c r="C968" s="1" t="s">
        <v>369</v>
      </c>
      <c r="E968">
        <f t="shared" si="30"/>
        <v>0.52359999999999995</v>
      </c>
      <c r="F968">
        <f t="shared" si="31"/>
        <v>0.52359999999999995</v>
      </c>
      <c r="G968">
        <f t="shared" si="32"/>
        <v>2.2100000000000002E-2</v>
      </c>
      <c r="H968">
        <f t="shared" si="33"/>
        <v>6.5500000000000003E-2</v>
      </c>
      <c r="I968">
        <f t="shared" si="34"/>
        <v>4.8376000000000001</v>
      </c>
      <c r="M968"/>
    </row>
    <row r="969" spans="2:13" x14ac:dyDescent="0.3">
      <c r="B969" s="1">
        <v>15599</v>
      </c>
      <c r="C969" s="1" t="s">
        <v>370</v>
      </c>
      <c r="E969">
        <f t="shared" si="30"/>
        <v>0.80920000000000003</v>
      </c>
      <c r="F969">
        <f t="shared" si="31"/>
        <v>0.80920000000000003</v>
      </c>
      <c r="G969">
        <f t="shared" si="32"/>
        <v>3.4200000000000001E-2</v>
      </c>
      <c r="H969">
        <f t="shared" si="33"/>
        <v>0.1012</v>
      </c>
      <c r="I969">
        <f t="shared" si="34"/>
        <v>7.4763000000000002</v>
      </c>
      <c r="M969"/>
    </row>
    <row r="970" spans="2:13" x14ac:dyDescent="0.3">
      <c r="B970" s="1">
        <v>0</v>
      </c>
      <c r="E970">
        <v>0</v>
      </c>
      <c r="M970"/>
    </row>
    <row r="972" spans="2:13" x14ac:dyDescent="0.3">
      <c r="B972" s="39" t="s">
        <v>361</v>
      </c>
      <c r="C972" s="39" t="s">
        <v>33</v>
      </c>
      <c r="D972" s="39" t="s">
        <v>362</v>
      </c>
      <c r="E972" s="39" t="s">
        <v>363</v>
      </c>
      <c r="F972" s="39" t="s">
        <v>364</v>
      </c>
      <c r="G972" s="39" t="s">
        <v>135</v>
      </c>
      <c r="H972" s="39" t="s">
        <v>136</v>
      </c>
      <c r="M972"/>
    </row>
    <row r="973" spans="2:13" x14ac:dyDescent="0.3">
      <c r="B973" s="36">
        <v>15500</v>
      </c>
      <c r="C973" s="38" t="s">
        <v>259</v>
      </c>
      <c r="D973" s="38" t="s">
        <v>260</v>
      </c>
      <c r="E973" s="37">
        <v>97.995000000000005</v>
      </c>
      <c r="F973" s="37">
        <v>4.1436000000000002</v>
      </c>
      <c r="G973" s="37">
        <v>13.066000000000001</v>
      </c>
      <c r="H973" s="37">
        <v>905.3886</v>
      </c>
      <c r="M973"/>
    </row>
    <row r="974" spans="2:13" x14ac:dyDescent="0.3">
      <c r="B974" s="36">
        <v>15501</v>
      </c>
      <c r="C974" s="38" t="s">
        <v>261</v>
      </c>
      <c r="D974" s="38" t="s">
        <v>260</v>
      </c>
      <c r="E974" s="37">
        <v>31.957999999999998</v>
      </c>
      <c r="F974" s="37">
        <v>1.3512999999999999</v>
      </c>
      <c r="G974" s="37">
        <v>4.2610999999999999</v>
      </c>
      <c r="H974" s="37">
        <v>295.26409999999998</v>
      </c>
      <c r="M974"/>
    </row>
    <row r="975" spans="2:13" x14ac:dyDescent="0.3">
      <c r="B975" s="36">
        <v>15502</v>
      </c>
      <c r="C975" s="38" t="s">
        <v>262</v>
      </c>
      <c r="D975" s="38" t="s">
        <v>260</v>
      </c>
      <c r="E975" s="37">
        <v>24.8</v>
      </c>
      <c r="F975" s="37">
        <v>1.0486</v>
      </c>
      <c r="G975" s="37">
        <v>3.3067000000000002</v>
      </c>
      <c r="H975" s="37">
        <v>229.13040000000001</v>
      </c>
      <c r="M975"/>
    </row>
    <row r="976" spans="2:13" x14ac:dyDescent="0.3">
      <c r="B976" s="36">
        <v>15503</v>
      </c>
      <c r="C976" s="38" t="s">
        <v>263</v>
      </c>
      <c r="D976" s="38" t="s">
        <v>260</v>
      </c>
      <c r="E976" s="37">
        <v>36.042000000000002</v>
      </c>
      <c r="F976" s="37">
        <v>1.524</v>
      </c>
      <c r="G976" s="37">
        <v>4.8056000000000001</v>
      </c>
      <c r="H976" s="37">
        <v>332.99669999999998</v>
      </c>
      <c r="M976"/>
    </row>
    <row r="977" spans="2:13" x14ac:dyDescent="0.3">
      <c r="B977" s="36">
        <v>15504</v>
      </c>
      <c r="C977" s="38" t="s">
        <v>264</v>
      </c>
      <c r="D977" s="38" t="s">
        <v>260</v>
      </c>
      <c r="E977" s="37">
        <v>32.917999999999999</v>
      </c>
      <c r="F977" s="37">
        <v>1.3918999999999999</v>
      </c>
      <c r="G977" s="37">
        <v>4.3891</v>
      </c>
      <c r="H977" s="37">
        <v>304.13369999999998</v>
      </c>
      <c r="M977"/>
    </row>
    <row r="978" spans="2:13" x14ac:dyDescent="0.3">
      <c r="B978" s="36">
        <v>15505</v>
      </c>
      <c r="C978" s="38" t="s">
        <v>265</v>
      </c>
      <c r="D978" s="38" t="s">
        <v>260</v>
      </c>
      <c r="E978" s="37">
        <v>3.4950000000000001</v>
      </c>
      <c r="F978" s="37">
        <v>0.14779999999999999</v>
      </c>
      <c r="G978" s="37">
        <v>0.46600000000000003</v>
      </c>
      <c r="H978" s="37">
        <v>32.290799999999997</v>
      </c>
      <c r="M978"/>
    </row>
    <row r="979" spans="2:13" x14ac:dyDescent="0.3">
      <c r="B979" s="36">
        <v>15506</v>
      </c>
      <c r="C979" s="38" t="s">
        <v>266</v>
      </c>
      <c r="D979" s="38" t="s">
        <v>260</v>
      </c>
      <c r="E979" s="37">
        <v>14.977</v>
      </c>
      <c r="F979" s="37">
        <v>0.63329999999999997</v>
      </c>
      <c r="G979" s="37">
        <v>1.9968999999999999</v>
      </c>
      <c r="H979" s="37">
        <v>138.37450000000001</v>
      </c>
      <c r="M979"/>
    </row>
    <row r="980" spans="2:13" x14ac:dyDescent="0.3">
      <c r="B980" s="36">
        <v>15507</v>
      </c>
      <c r="C980" s="38" t="s">
        <v>267</v>
      </c>
      <c r="D980" s="38" t="s">
        <v>260</v>
      </c>
      <c r="E980" s="37">
        <v>39</v>
      </c>
      <c r="F980" s="37">
        <v>1.6491</v>
      </c>
      <c r="G980" s="37">
        <v>5.2</v>
      </c>
      <c r="H980" s="37">
        <v>360.3261</v>
      </c>
      <c r="M980"/>
    </row>
    <row r="981" spans="2:13" x14ac:dyDescent="0.3">
      <c r="B981" s="36">
        <v>15508</v>
      </c>
      <c r="C981" s="38" t="s">
        <v>268</v>
      </c>
      <c r="D981" s="38" t="s">
        <v>260</v>
      </c>
      <c r="E981" s="37">
        <v>5</v>
      </c>
      <c r="F981" s="37">
        <v>0.2114</v>
      </c>
      <c r="G981" s="37">
        <v>0.66669999999999996</v>
      </c>
      <c r="H981" s="37">
        <v>46.195700000000002</v>
      </c>
      <c r="M981"/>
    </row>
    <row r="982" spans="2:13" x14ac:dyDescent="0.3">
      <c r="B982" s="36">
        <v>15509</v>
      </c>
      <c r="C982" s="38" t="s">
        <v>269</v>
      </c>
      <c r="D982" s="38" t="s">
        <v>260</v>
      </c>
      <c r="E982" s="37">
        <v>2</v>
      </c>
      <c r="F982" s="37">
        <v>8.4599999999999995E-2</v>
      </c>
      <c r="G982" s="37">
        <v>0.26669999999999999</v>
      </c>
      <c r="H982" s="37">
        <v>18.478300000000001</v>
      </c>
      <c r="M982"/>
    </row>
    <row r="983" spans="2:13" x14ac:dyDescent="0.3">
      <c r="B983" s="36">
        <v>15510</v>
      </c>
      <c r="C983" s="38" t="s">
        <v>270</v>
      </c>
      <c r="D983" s="38" t="s">
        <v>260</v>
      </c>
      <c r="E983" s="37">
        <v>4.9960000000000004</v>
      </c>
      <c r="F983" s="37">
        <v>0.21129999999999999</v>
      </c>
      <c r="G983" s="37">
        <v>0.54120000000000001</v>
      </c>
      <c r="H983" s="37">
        <v>40.728299999999997</v>
      </c>
      <c r="M983"/>
    </row>
    <row r="984" spans="2:13" x14ac:dyDescent="0.3">
      <c r="B984" s="36">
        <v>15511</v>
      </c>
      <c r="C984" s="38" t="s">
        <v>271</v>
      </c>
      <c r="D984" s="38" t="s">
        <v>260</v>
      </c>
      <c r="E984" s="37">
        <v>2</v>
      </c>
      <c r="F984" s="37">
        <v>8.4599999999999995E-2</v>
      </c>
      <c r="G984" s="37">
        <v>0.26669999999999999</v>
      </c>
      <c r="H984" s="37">
        <v>18.478300000000001</v>
      </c>
      <c r="M984"/>
    </row>
    <row r="985" spans="2:13" x14ac:dyDescent="0.3">
      <c r="B985" s="36">
        <v>15512</v>
      </c>
      <c r="C985" s="38" t="s">
        <v>272</v>
      </c>
      <c r="D985" s="38" t="s">
        <v>260</v>
      </c>
      <c r="E985" s="37">
        <v>121.8</v>
      </c>
      <c r="F985" s="37">
        <v>5.1501000000000001</v>
      </c>
      <c r="G985" s="37">
        <v>16.239999999999998</v>
      </c>
      <c r="H985" s="37">
        <v>1125.3261</v>
      </c>
      <c r="M985"/>
    </row>
    <row r="986" spans="2:13" x14ac:dyDescent="0.3">
      <c r="B986" s="36">
        <v>15513</v>
      </c>
      <c r="C986" s="38" t="s">
        <v>273</v>
      </c>
      <c r="D986" s="38" t="s">
        <v>260</v>
      </c>
      <c r="E986" s="37">
        <v>117</v>
      </c>
      <c r="F986" s="37">
        <v>4.9471999999999996</v>
      </c>
      <c r="G986" s="37">
        <v>15.6</v>
      </c>
      <c r="H986" s="37">
        <v>1080.9783</v>
      </c>
      <c r="M986"/>
    </row>
    <row r="987" spans="2:13" x14ac:dyDescent="0.3">
      <c r="B987" s="36">
        <v>15514</v>
      </c>
      <c r="C987" s="38" t="s">
        <v>274</v>
      </c>
      <c r="D987" s="38" t="s">
        <v>260</v>
      </c>
      <c r="E987" s="37">
        <v>4.9000000000000004</v>
      </c>
      <c r="F987" s="37">
        <v>0.2072</v>
      </c>
      <c r="G987" s="37">
        <v>0.65329999999999999</v>
      </c>
      <c r="H987" s="37">
        <v>45.271700000000003</v>
      </c>
      <c r="M987"/>
    </row>
    <row r="988" spans="2:13" x14ac:dyDescent="0.3">
      <c r="B988" s="36">
        <v>15515</v>
      </c>
      <c r="C988" s="38" t="s">
        <v>275</v>
      </c>
      <c r="D988" s="38" t="s">
        <v>260</v>
      </c>
      <c r="E988" s="37">
        <v>1299</v>
      </c>
      <c r="F988" s="37">
        <v>54.926000000000002</v>
      </c>
      <c r="G988" s="37">
        <v>173.2</v>
      </c>
      <c r="H988" s="37">
        <v>12001.6304</v>
      </c>
      <c r="M988"/>
    </row>
    <row r="989" spans="2:13" x14ac:dyDescent="0.3">
      <c r="B989" s="36">
        <v>15516</v>
      </c>
      <c r="C989" s="38" t="s">
        <v>276</v>
      </c>
      <c r="D989" s="38" t="s">
        <v>260</v>
      </c>
      <c r="E989" s="37">
        <v>1299</v>
      </c>
      <c r="F989" s="37">
        <v>54.926000000000002</v>
      </c>
      <c r="G989" s="37">
        <v>173.2</v>
      </c>
      <c r="H989" s="37">
        <v>12001.6304</v>
      </c>
      <c r="M989"/>
    </row>
    <row r="990" spans="2:13" x14ac:dyDescent="0.3">
      <c r="B990" s="36">
        <v>15517</v>
      </c>
      <c r="C990" s="38" t="s">
        <v>277</v>
      </c>
      <c r="D990" s="38" t="s">
        <v>260</v>
      </c>
      <c r="E990" s="37">
        <v>59.4</v>
      </c>
      <c r="F990" s="37">
        <v>2.5116000000000001</v>
      </c>
      <c r="G990" s="37">
        <v>7.92</v>
      </c>
      <c r="H990" s="37">
        <v>548.80439999999999</v>
      </c>
      <c r="M990"/>
    </row>
    <row r="991" spans="2:13" x14ac:dyDescent="0.3">
      <c r="B991" s="36">
        <v>15518</v>
      </c>
      <c r="C991" s="38" t="s">
        <v>278</v>
      </c>
      <c r="D991" s="38" t="s">
        <v>260</v>
      </c>
      <c r="E991" s="37">
        <v>3.4950000000000001</v>
      </c>
      <c r="F991" s="37">
        <v>0.14779999999999999</v>
      </c>
      <c r="G991" s="37">
        <v>0.46600000000000003</v>
      </c>
      <c r="H991" s="37">
        <v>32.290799999999997</v>
      </c>
      <c r="M991"/>
    </row>
    <row r="992" spans="2:13" x14ac:dyDescent="0.3">
      <c r="B992" s="36">
        <v>15519</v>
      </c>
      <c r="C992" s="38" t="s">
        <v>279</v>
      </c>
      <c r="D992" s="38" t="s">
        <v>260</v>
      </c>
      <c r="E992" s="37">
        <v>78.245999999999995</v>
      </c>
      <c r="F992" s="37">
        <v>3.3085</v>
      </c>
      <c r="G992" s="37">
        <v>10.4328</v>
      </c>
      <c r="H992" s="37">
        <v>722.92499999999995</v>
      </c>
      <c r="M992"/>
    </row>
    <row r="993" spans="2:13" x14ac:dyDescent="0.3">
      <c r="B993" s="36">
        <v>15520</v>
      </c>
      <c r="C993" s="38" t="s">
        <v>280</v>
      </c>
      <c r="D993" s="38" t="s">
        <v>260</v>
      </c>
      <c r="E993" s="37">
        <v>0.39900000000000002</v>
      </c>
      <c r="F993" s="37">
        <v>1.6899999999999998E-2</v>
      </c>
      <c r="G993" s="37">
        <v>5.3199999999999997E-2</v>
      </c>
      <c r="H993" s="37">
        <v>3.6863999999999999</v>
      </c>
      <c r="M993"/>
    </row>
    <row r="994" spans="2:13" x14ac:dyDescent="0.3">
      <c r="B994" s="36">
        <v>15521</v>
      </c>
      <c r="C994" s="38" t="s">
        <v>281</v>
      </c>
      <c r="D994" s="38" t="s">
        <v>260</v>
      </c>
      <c r="E994" s="37">
        <v>153.56479999999999</v>
      </c>
      <c r="F994" s="37">
        <v>6.4931999999999999</v>
      </c>
      <c r="G994" s="37">
        <v>19.195599999999999</v>
      </c>
      <c r="H994" s="37">
        <v>1418.8052</v>
      </c>
      <c r="M994"/>
    </row>
    <row r="995" spans="2:13" x14ac:dyDescent="0.3">
      <c r="B995" s="36">
        <v>15522</v>
      </c>
      <c r="C995" s="38" t="s">
        <v>282</v>
      </c>
      <c r="D995" s="38" t="s">
        <v>260</v>
      </c>
      <c r="E995" s="37">
        <v>159</v>
      </c>
      <c r="F995" s="37">
        <v>6.7229999999999999</v>
      </c>
      <c r="G995" s="37">
        <v>19.875</v>
      </c>
      <c r="H995" s="37">
        <v>1469.0217</v>
      </c>
      <c r="M995"/>
    </row>
    <row r="996" spans="2:13" x14ac:dyDescent="0.3">
      <c r="B996" s="36">
        <v>15523</v>
      </c>
      <c r="C996" s="38" t="s">
        <v>283</v>
      </c>
      <c r="D996" s="38" t="s">
        <v>260</v>
      </c>
      <c r="E996" s="37">
        <v>159</v>
      </c>
      <c r="F996" s="37">
        <v>6.7229999999999999</v>
      </c>
      <c r="G996" s="37">
        <v>19.875</v>
      </c>
      <c r="H996" s="37">
        <v>1469.0217</v>
      </c>
      <c r="M996"/>
    </row>
    <row r="997" spans="2:13" x14ac:dyDescent="0.3">
      <c r="B997" s="36">
        <v>15524</v>
      </c>
      <c r="C997" s="38" t="s">
        <v>284</v>
      </c>
      <c r="D997" s="38" t="s">
        <v>260</v>
      </c>
      <c r="E997" s="37">
        <v>1299</v>
      </c>
      <c r="F997" s="37">
        <v>54.926000000000002</v>
      </c>
      <c r="G997" s="37">
        <v>173.2</v>
      </c>
      <c r="H997" s="37">
        <v>12001.6304</v>
      </c>
      <c r="M997"/>
    </row>
    <row r="998" spans="2:13" x14ac:dyDescent="0.3">
      <c r="B998" s="36">
        <v>15525</v>
      </c>
      <c r="C998" s="38" t="s">
        <v>285</v>
      </c>
      <c r="D998" s="38" t="s">
        <v>260</v>
      </c>
      <c r="E998" s="37">
        <v>1189.92</v>
      </c>
      <c r="F998" s="37">
        <v>50.313699999999997</v>
      </c>
      <c r="G998" s="37">
        <v>148.74</v>
      </c>
      <c r="H998" s="37">
        <v>10993.8261</v>
      </c>
      <c r="M998"/>
    </row>
    <row r="999" spans="2:13" x14ac:dyDescent="0.3">
      <c r="B999" s="36">
        <v>15526</v>
      </c>
      <c r="C999" s="38" t="s">
        <v>286</v>
      </c>
      <c r="D999" s="38" t="s">
        <v>260</v>
      </c>
      <c r="E999" s="37">
        <v>150</v>
      </c>
      <c r="F999" s="37">
        <v>6.3425000000000002</v>
      </c>
      <c r="G999" s="37">
        <v>18.75</v>
      </c>
      <c r="H999" s="37">
        <v>1385.8696</v>
      </c>
      <c r="M999"/>
    </row>
    <row r="1000" spans="2:13" x14ac:dyDescent="0.3">
      <c r="B1000" s="36">
        <v>15527</v>
      </c>
      <c r="C1000" s="38" t="s">
        <v>287</v>
      </c>
      <c r="D1000" s="38" t="s">
        <v>260</v>
      </c>
      <c r="E1000" s="37">
        <v>150</v>
      </c>
      <c r="F1000" s="37">
        <v>6.3425000000000002</v>
      </c>
      <c r="G1000" s="37">
        <v>18.75</v>
      </c>
      <c r="H1000" s="37">
        <v>1385.8696</v>
      </c>
      <c r="M1000"/>
    </row>
    <row r="1001" spans="2:13" x14ac:dyDescent="0.3">
      <c r="B1001" s="36">
        <v>15528</v>
      </c>
      <c r="C1001" s="38" t="s">
        <v>288</v>
      </c>
      <c r="D1001" s="38" t="s">
        <v>260</v>
      </c>
      <c r="E1001" s="37">
        <v>348</v>
      </c>
      <c r="F1001" s="37">
        <v>14.714600000000001</v>
      </c>
      <c r="G1001" s="37">
        <v>43.5</v>
      </c>
      <c r="H1001" s="37">
        <v>3215.2174</v>
      </c>
      <c r="M1001"/>
    </row>
    <row r="1002" spans="2:13" x14ac:dyDescent="0.3">
      <c r="B1002" s="36">
        <v>15529</v>
      </c>
      <c r="C1002" s="38" t="s">
        <v>289</v>
      </c>
      <c r="D1002" s="38" t="s">
        <v>260</v>
      </c>
      <c r="E1002" s="37">
        <v>149</v>
      </c>
      <c r="F1002" s="37">
        <v>6.3002000000000002</v>
      </c>
      <c r="G1002" s="37">
        <v>18.625</v>
      </c>
      <c r="H1002" s="37">
        <v>1376.6304</v>
      </c>
      <c r="M1002"/>
    </row>
    <row r="1003" spans="2:13" x14ac:dyDescent="0.3">
      <c r="B1003" s="36">
        <v>15530</v>
      </c>
      <c r="C1003" s="38" t="s">
        <v>290</v>
      </c>
      <c r="D1003" s="38" t="s">
        <v>260</v>
      </c>
      <c r="E1003" s="37">
        <v>0.61109999999999998</v>
      </c>
      <c r="F1003" s="37">
        <v>2.58E-2</v>
      </c>
      <c r="G1003" s="37">
        <v>7.6399999999999996E-2</v>
      </c>
      <c r="H1003" s="37">
        <v>5.3139000000000003</v>
      </c>
      <c r="M1003"/>
    </row>
    <row r="1004" spans="2:13" x14ac:dyDescent="0.3">
      <c r="B1004" s="36">
        <v>15531</v>
      </c>
      <c r="C1004" s="38" t="s">
        <v>291</v>
      </c>
      <c r="D1004" s="38" t="s">
        <v>260</v>
      </c>
      <c r="E1004" s="37">
        <v>299</v>
      </c>
      <c r="F1004" s="37">
        <v>12.6427</v>
      </c>
      <c r="G1004" s="37">
        <v>37.375</v>
      </c>
      <c r="H1004" s="37">
        <v>2762.5</v>
      </c>
      <c r="M1004"/>
    </row>
    <row r="1005" spans="2:13" x14ac:dyDescent="0.3">
      <c r="B1005" s="36">
        <v>15532</v>
      </c>
      <c r="C1005" s="38" t="s">
        <v>292</v>
      </c>
      <c r="D1005" s="38" t="s">
        <v>260</v>
      </c>
      <c r="E1005" s="37">
        <v>299</v>
      </c>
      <c r="F1005" s="37">
        <v>12.6427</v>
      </c>
      <c r="G1005" s="37">
        <v>37.375</v>
      </c>
      <c r="H1005" s="37">
        <v>2762.5</v>
      </c>
      <c r="M1005"/>
    </row>
    <row r="1006" spans="2:13" x14ac:dyDescent="0.3">
      <c r="B1006" s="36">
        <v>15533</v>
      </c>
      <c r="C1006" s="38" t="s">
        <v>293</v>
      </c>
      <c r="D1006" s="38" t="s">
        <v>260</v>
      </c>
      <c r="E1006" s="37">
        <v>199</v>
      </c>
      <c r="F1006" s="37">
        <v>8.4144000000000005</v>
      </c>
      <c r="G1006" s="37">
        <v>24.875</v>
      </c>
      <c r="H1006" s="37">
        <v>1838.587</v>
      </c>
      <c r="M1006"/>
    </row>
    <row r="1007" spans="2:13" x14ac:dyDescent="0.3">
      <c r="B1007" s="36">
        <v>15534</v>
      </c>
      <c r="C1007" s="38" t="s">
        <v>294</v>
      </c>
      <c r="D1007" s="38" t="s">
        <v>260</v>
      </c>
      <c r="E1007" s="37">
        <v>199</v>
      </c>
      <c r="F1007" s="37">
        <v>8.4144000000000005</v>
      </c>
      <c r="G1007" s="37">
        <v>24.875</v>
      </c>
      <c r="H1007" s="37">
        <v>1838.587</v>
      </c>
      <c r="M1007"/>
    </row>
    <row r="1008" spans="2:13" x14ac:dyDescent="0.3">
      <c r="B1008" s="36">
        <v>15535</v>
      </c>
      <c r="C1008" s="38" t="s">
        <v>295</v>
      </c>
      <c r="D1008" s="38" t="s">
        <v>260</v>
      </c>
      <c r="E1008" s="37">
        <v>199</v>
      </c>
      <c r="F1008" s="37">
        <v>8.4144000000000005</v>
      </c>
      <c r="G1008" s="37">
        <v>24.875</v>
      </c>
      <c r="H1008" s="37">
        <v>1838.587</v>
      </c>
      <c r="M1008"/>
    </row>
    <row r="1009" spans="2:13" x14ac:dyDescent="0.3">
      <c r="B1009" s="36">
        <v>15536</v>
      </c>
      <c r="C1009" s="38" t="s">
        <v>296</v>
      </c>
      <c r="D1009" s="38" t="s">
        <v>260</v>
      </c>
      <c r="E1009" s="37">
        <v>199</v>
      </c>
      <c r="F1009" s="37">
        <v>8.4144000000000005</v>
      </c>
      <c r="G1009" s="37">
        <v>24.875</v>
      </c>
      <c r="H1009" s="37">
        <v>1838.587</v>
      </c>
      <c r="M1009"/>
    </row>
    <row r="1010" spans="2:13" x14ac:dyDescent="0.3">
      <c r="B1010" s="36">
        <v>15537</v>
      </c>
      <c r="C1010" s="38" t="s">
        <v>297</v>
      </c>
      <c r="D1010" s="38" t="s">
        <v>260</v>
      </c>
      <c r="E1010" s="37">
        <v>199</v>
      </c>
      <c r="F1010" s="37">
        <v>8.4144000000000005</v>
      </c>
      <c r="G1010" s="37">
        <v>24.875</v>
      </c>
      <c r="H1010" s="37">
        <v>1838.587</v>
      </c>
      <c r="M1010"/>
    </row>
    <row r="1011" spans="2:13" x14ac:dyDescent="0.3">
      <c r="B1011" s="36">
        <v>15538</v>
      </c>
      <c r="C1011" s="38" t="s">
        <v>298</v>
      </c>
      <c r="D1011" s="38" t="s">
        <v>260</v>
      </c>
      <c r="E1011" s="37">
        <v>10.8</v>
      </c>
      <c r="F1011" s="37">
        <v>0.45669999999999999</v>
      </c>
      <c r="G1011" s="37">
        <v>1.35</v>
      </c>
      <c r="H1011" s="37">
        <v>99.782600000000002</v>
      </c>
      <c r="M1011"/>
    </row>
    <row r="1012" spans="2:13" x14ac:dyDescent="0.3">
      <c r="B1012" s="36">
        <v>15539</v>
      </c>
      <c r="C1012" s="38" t="s">
        <v>299</v>
      </c>
      <c r="D1012" s="38" t="s">
        <v>260</v>
      </c>
      <c r="E1012" s="37">
        <v>180</v>
      </c>
      <c r="F1012" s="37">
        <v>7.6109999999999998</v>
      </c>
      <c r="G1012" s="37">
        <v>22.5</v>
      </c>
      <c r="H1012" s="37">
        <v>1663.0435</v>
      </c>
      <c r="M1012"/>
    </row>
    <row r="1013" spans="2:13" x14ac:dyDescent="0.3">
      <c r="B1013" s="36">
        <v>15540</v>
      </c>
      <c r="C1013" s="38" t="s">
        <v>300</v>
      </c>
      <c r="D1013" s="38" t="s">
        <v>260</v>
      </c>
      <c r="E1013" s="37">
        <v>180</v>
      </c>
      <c r="F1013" s="37">
        <v>7.6109999999999998</v>
      </c>
      <c r="G1013" s="37">
        <v>22.5</v>
      </c>
      <c r="H1013" s="37">
        <v>1663.0435</v>
      </c>
      <c r="M1013"/>
    </row>
    <row r="1014" spans="2:13" x14ac:dyDescent="0.3">
      <c r="B1014" s="36">
        <v>15541</v>
      </c>
      <c r="C1014" s="38" t="s">
        <v>301</v>
      </c>
      <c r="D1014" s="38" t="s">
        <v>260</v>
      </c>
      <c r="E1014" s="37">
        <v>13.92</v>
      </c>
      <c r="F1014" s="37">
        <v>0.58860000000000001</v>
      </c>
      <c r="G1014" s="37">
        <v>1.8560000000000001</v>
      </c>
      <c r="H1014" s="37">
        <v>128.6087</v>
      </c>
      <c r="M1014"/>
    </row>
    <row r="1015" spans="2:13" x14ac:dyDescent="0.3">
      <c r="B1015" s="36">
        <v>15542</v>
      </c>
      <c r="C1015" s="38" t="s">
        <v>302</v>
      </c>
      <c r="D1015" s="38" t="s">
        <v>260</v>
      </c>
      <c r="E1015" s="37">
        <v>4.4080000000000004</v>
      </c>
      <c r="F1015" s="37">
        <v>0.18640000000000001</v>
      </c>
      <c r="G1015" s="37">
        <v>0.5877</v>
      </c>
      <c r="H1015" s="37">
        <v>40.726100000000002</v>
      </c>
      <c r="M1015"/>
    </row>
    <row r="1016" spans="2:13" x14ac:dyDescent="0.3">
      <c r="B1016" s="36">
        <v>15543</v>
      </c>
      <c r="C1016" s="38" t="s">
        <v>303</v>
      </c>
      <c r="D1016" s="38" t="s">
        <v>260</v>
      </c>
      <c r="E1016" s="37">
        <v>111.41200000000001</v>
      </c>
      <c r="F1016" s="37">
        <v>4.7108999999999996</v>
      </c>
      <c r="G1016" s="37">
        <v>14.854900000000001</v>
      </c>
      <c r="H1016" s="37">
        <v>1029.3499999999999</v>
      </c>
      <c r="M1016"/>
    </row>
    <row r="1017" spans="2:13" x14ac:dyDescent="0.3">
      <c r="B1017" s="36">
        <v>15544</v>
      </c>
      <c r="C1017" s="38" t="s">
        <v>304</v>
      </c>
      <c r="D1017" s="38" t="s">
        <v>260</v>
      </c>
      <c r="E1017" s="37">
        <v>111.27200000000001</v>
      </c>
      <c r="F1017" s="37">
        <v>4.7050000000000001</v>
      </c>
      <c r="G1017" s="37">
        <v>14.8363</v>
      </c>
      <c r="H1017" s="37">
        <v>1028.0564999999999</v>
      </c>
      <c r="M1017"/>
    </row>
    <row r="1018" spans="2:13" x14ac:dyDescent="0.3">
      <c r="B1018" s="36">
        <v>15545</v>
      </c>
      <c r="C1018" s="38" t="s">
        <v>305</v>
      </c>
      <c r="D1018" s="38" t="s">
        <v>260</v>
      </c>
      <c r="E1018" s="37">
        <v>1500</v>
      </c>
      <c r="F1018" s="37">
        <v>63.424999999999997</v>
      </c>
      <c r="G1018" s="37">
        <v>200</v>
      </c>
      <c r="H1018" s="37">
        <v>13858.6957</v>
      </c>
      <c r="M1018"/>
    </row>
    <row r="1019" spans="2:13" x14ac:dyDescent="0.3">
      <c r="B1019" s="36">
        <v>15546</v>
      </c>
      <c r="C1019" s="38" t="s">
        <v>306</v>
      </c>
      <c r="D1019" s="38" t="s">
        <v>260</v>
      </c>
      <c r="E1019" s="37">
        <v>1599</v>
      </c>
      <c r="F1019" s="37">
        <v>67.611000000000004</v>
      </c>
      <c r="G1019" s="37">
        <v>213.2</v>
      </c>
      <c r="H1019" s="37">
        <v>14773.3696</v>
      </c>
      <c r="M1019"/>
    </row>
    <row r="1020" spans="2:13" x14ac:dyDescent="0.3">
      <c r="B1020" s="36">
        <v>15547</v>
      </c>
      <c r="C1020" s="38" t="s">
        <v>307</v>
      </c>
      <c r="D1020" s="38" t="s">
        <v>260</v>
      </c>
      <c r="E1020" s="37">
        <v>1599</v>
      </c>
      <c r="F1020" s="37">
        <v>67.611000000000004</v>
      </c>
      <c r="G1020" s="37">
        <v>213.2</v>
      </c>
      <c r="H1020" s="37">
        <v>14773.3696</v>
      </c>
      <c r="M1020"/>
    </row>
    <row r="1021" spans="2:13" x14ac:dyDescent="0.3">
      <c r="B1021" s="36">
        <v>15548</v>
      </c>
      <c r="C1021" s="38" t="s">
        <v>308</v>
      </c>
      <c r="D1021" s="38" t="s">
        <v>260</v>
      </c>
      <c r="E1021" s="37">
        <v>230.86</v>
      </c>
      <c r="F1021" s="37">
        <v>9.7614999999999998</v>
      </c>
      <c r="G1021" s="37">
        <v>30.781300000000002</v>
      </c>
      <c r="H1021" s="37">
        <v>2132.9457000000002</v>
      </c>
      <c r="M1021"/>
    </row>
    <row r="1022" spans="2:13" x14ac:dyDescent="0.3">
      <c r="B1022" s="36">
        <v>15549</v>
      </c>
      <c r="C1022" s="38" t="s">
        <v>309</v>
      </c>
      <c r="D1022" s="38" t="s">
        <v>260</v>
      </c>
      <c r="E1022" s="37">
        <v>111.09</v>
      </c>
      <c r="F1022" s="37">
        <v>4.6973000000000003</v>
      </c>
      <c r="G1022" s="37">
        <v>14.811999999999999</v>
      </c>
      <c r="H1022" s="37">
        <v>1026.375</v>
      </c>
      <c r="M1022"/>
    </row>
    <row r="1023" spans="2:13" x14ac:dyDescent="0.3">
      <c r="B1023" s="36">
        <v>15550</v>
      </c>
      <c r="C1023" s="38" t="s">
        <v>310</v>
      </c>
      <c r="D1023" s="38" t="s">
        <v>260</v>
      </c>
      <c r="E1023" s="37">
        <v>64.300319999999999</v>
      </c>
      <c r="F1023" s="37">
        <v>2.7187999999999999</v>
      </c>
      <c r="G1023" s="37">
        <v>8.5733999999999995</v>
      </c>
      <c r="H1023" s="37">
        <v>559.13319999999999</v>
      </c>
      <c r="M1023"/>
    </row>
    <row r="1024" spans="2:13" x14ac:dyDescent="0.3">
      <c r="B1024" s="36">
        <v>15551</v>
      </c>
      <c r="C1024" s="38" t="s">
        <v>311</v>
      </c>
      <c r="D1024" s="38" t="s">
        <v>260</v>
      </c>
      <c r="E1024" s="37">
        <v>73.426640000000006</v>
      </c>
      <c r="F1024" s="37">
        <v>3.1046999999999998</v>
      </c>
      <c r="G1024" s="37">
        <v>9.7902000000000005</v>
      </c>
      <c r="H1024" s="37">
        <v>638.49249999999995</v>
      </c>
      <c r="M1024"/>
    </row>
    <row r="1025" spans="2:13" x14ac:dyDescent="0.3">
      <c r="B1025" s="36">
        <v>15552</v>
      </c>
      <c r="C1025" s="38" t="s">
        <v>312</v>
      </c>
      <c r="D1025" s="38" t="s">
        <v>260</v>
      </c>
      <c r="E1025" s="37">
        <v>7</v>
      </c>
      <c r="F1025" s="37">
        <v>0.29599999999999999</v>
      </c>
      <c r="G1025" s="37">
        <v>0.93330000000000002</v>
      </c>
      <c r="H1025" s="37">
        <v>60.869599999999998</v>
      </c>
      <c r="M1025"/>
    </row>
    <row r="1026" spans="2:13" x14ac:dyDescent="0.3">
      <c r="B1026" s="36">
        <v>15553</v>
      </c>
      <c r="C1026" s="38" t="s">
        <v>313</v>
      </c>
      <c r="D1026" s="38" t="s">
        <v>260</v>
      </c>
      <c r="E1026" s="37">
        <v>6.9160000000000004</v>
      </c>
      <c r="F1026" s="37">
        <v>0.29239999999999999</v>
      </c>
      <c r="G1026" s="37">
        <v>0.92210000000000003</v>
      </c>
      <c r="H1026" s="37">
        <v>63.897799999999997</v>
      </c>
      <c r="M1026"/>
    </row>
    <row r="1027" spans="2:13" x14ac:dyDescent="0.3">
      <c r="B1027" s="36">
        <v>15554</v>
      </c>
      <c r="C1027" s="38" t="s">
        <v>314</v>
      </c>
      <c r="D1027" s="38" t="s">
        <v>260</v>
      </c>
      <c r="E1027" s="37">
        <v>103.5</v>
      </c>
      <c r="F1027" s="37">
        <v>4.3762999999999996</v>
      </c>
      <c r="G1027" s="37">
        <v>13.8</v>
      </c>
      <c r="H1027" s="37">
        <v>956.25</v>
      </c>
      <c r="M1027"/>
    </row>
    <row r="1028" spans="2:13" x14ac:dyDescent="0.3">
      <c r="B1028" s="36">
        <v>15555</v>
      </c>
      <c r="C1028" s="38" t="s">
        <v>315</v>
      </c>
      <c r="D1028" s="38" t="s">
        <v>260</v>
      </c>
      <c r="E1028" s="37">
        <v>199</v>
      </c>
      <c r="F1028" s="37">
        <v>8.4144000000000005</v>
      </c>
      <c r="G1028" s="37">
        <v>24.875</v>
      </c>
      <c r="H1028" s="37">
        <v>1838.587</v>
      </c>
      <c r="M1028"/>
    </row>
    <row r="1029" spans="2:13" x14ac:dyDescent="0.3">
      <c r="B1029" s="36">
        <v>15556</v>
      </c>
      <c r="C1029" s="38" t="s">
        <v>316</v>
      </c>
      <c r="D1029" s="38" t="s">
        <v>260</v>
      </c>
      <c r="E1029" s="37">
        <v>199</v>
      </c>
      <c r="F1029" s="37">
        <v>8.4144000000000005</v>
      </c>
      <c r="G1029" s="37">
        <v>24.875</v>
      </c>
      <c r="H1029" s="37">
        <v>1838.587</v>
      </c>
      <c r="M1029"/>
    </row>
    <row r="1030" spans="2:13" x14ac:dyDescent="0.3">
      <c r="B1030" s="36">
        <v>15557</v>
      </c>
      <c r="C1030" s="38" t="s">
        <v>317</v>
      </c>
      <c r="D1030" s="38" t="s">
        <v>260</v>
      </c>
      <c r="E1030" s="37">
        <v>199</v>
      </c>
      <c r="F1030" s="37">
        <v>8.4144000000000005</v>
      </c>
      <c r="G1030" s="37">
        <v>24.875</v>
      </c>
      <c r="H1030" s="37">
        <v>1838.587</v>
      </c>
      <c r="M1030"/>
    </row>
    <row r="1031" spans="2:13" x14ac:dyDescent="0.3">
      <c r="B1031" s="36">
        <v>15558</v>
      </c>
      <c r="C1031" s="38" t="s">
        <v>318</v>
      </c>
      <c r="D1031" s="38" t="s">
        <v>260</v>
      </c>
      <c r="E1031" s="37">
        <v>199</v>
      </c>
      <c r="F1031" s="37">
        <v>8.4144000000000005</v>
      </c>
      <c r="G1031" s="37">
        <v>24.875</v>
      </c>
      <c r="H1031" s="37">
        <v>1838.587</v>
      </c>
      <c r="M1031"/>
    </row>
    <row r="1032" spans="2:13" x14ac:dyDescent="0.3">
      <c r="B1032" s="36">
        <v>15559</v>
      </c>
      <c r="C1032" s="38" t="s">
        <v>319</v>
      </c>
      <c r="D1032" s="38" t="s">
        <v>260</v>
      </c>
      <c r="E1032" s="37">
        <v>199</v>
      </c>
      <c r="F1032" s="37">
        <v>8.4144000000000005</v>
      </c>
      <c r="G1032" s="37">
        <v>24.875</v>
      </c>
      <c r="H1032" s="37">
        <v>1838.587</v>
      </c>
      <c r="M1032"/>
    </row>
    <row r="1033" spans="2:13" x14ac:dyDescent="0.3">
      <c r="B1033" s="36">
        <v>15560</v>
      </c>
      <c r="C1033" s="38" t="s">
        <v>320</v>
      </c>
      <c r="D1033" s="38" t="s">
        <v>260</v>
      </c>
      <c r="E1033" s="37">
        <v>299</v>
      </c>
      <c r="F1033" s="37">
        <v>12.6427</v>
      </c>
      <c r="G1033" s="37">
        <v>37.375</v>
      </c>
      <c r="H1033" s="37">
        <v>2762.5</v>
      </c>
      <c r="M1033"/>
    </row>
    <row r="1034" spans="2:13" x14ac:dyDescent="0.3">
      <c r="B1034" s="36">
        <v>15561</v>
      </c>
      <c r="C1034" s="38" t="s">
        <v>321</v>
      </c>
      <c r="D1034" s="38" t="s">
        <v>260</v>
      </c>
      <c r="E1034" s="37">
        <v>1599.33</v>
      </c>
      <c r="F1034" s="37">
        <v>67.625</v>
      </c>
      <c r="G1034" s="37">
        <v>213.244</v>
      </c>
      <c r="H1034" s="37">
        <v>14776.4185</v>
      </c>
      <c r="M1034"/>
    </row>
    <row r="1035" spans="2:13" x14ac:dyDescent="0.3">
      <c r="B1035" s="36">
        <v>15562</v>
      </c>
      <c r="C1035" s="38" t="s">
        <v>322</v>
      </c>
      <c r="D1035" s="38" t="s">
        <v>260</v>
      </c>
      <c r="E1035" s="37">
        <v>82.08</v>
      </c>
      <c r="F1035" s="37">
        <v>3.4706000000000001</v>
      </c>
      <c r="G1035" s="37">
        <v>10.944000000000001</v>
      </c>
      <c r="H1035" s="37">
        <v>758.34780000000001</v>
      </c>
      <c r="M1035"/>
    </row>
    <row r="1036" spans="2:13" x14ac:dyDescent="0.3">
      <c r="B1036" s="36">
        <v>15563</v>
      </c>
      <c r="C1036" s="38" t="s">
        <v>323</v>
      </c>
      <c r="D1036" s="38" t="s">
        <v>260</v>
      </c>
      <c r="E1036" s="37">
        <v>82.08</v>
      </c>
      <c r="F1036" s="37">
        <v>3.4706000000000001</v>
      </c>
      <c r="G1036" s="37">
        <v>10.944000000000001</v>
      </c>
      <c r="H1036" s="37">
        <v>758.34780000000001</v>
      </c>
      <c r="M1036"/>
    </row>
    <row r="1037" spans="2:13" x14ac:dyDescent="0.3">
      <c r="B1037" s="36">
        <v>15564</v>
      </c>
      <c r="C1037" s="38" t="s">
        <v>324</v>
      </c>
      <c r="D1037" s="38" t="s">
        <v>260</v>
      </c>
      <c r="E1037" s="37">
        <v>28</v>
      </c>
      <c r="F1037" s="37">
        <v>1.1247</v>
      </c>
      <c r="G1037" s="37">
        <v>4.2</v>
      </c>
      <c r="H1037" s="37">
        <v>273.91300000000001</v>
      </c>
      <c r="M1037"/>
    </row>
    <row r="1038" spans="2:13" x14ac:dyDescent="0.3">
      <c r="B1038" s="36">
        <v>15565</v>
      </c>
      <c r="C1038" s="38" t="s">
        <v>325</v>
      </c>
      <c r="D1038" s="38" t="s">
        <v>260</v>
      </c>
      <c r="E1038" s="37">
        <v>24</v>
      </c>
      <c r="F1038" s="37">
        <v>0.96409999999999996</v>
      </c>
      <c r="G1038" s="37">
        <v>3.6</v>
      </c>
      <c r="H1038" s="37">
        <v>234.7826</v>
      </c>
      <c r="M1038"/>
    </row>
    <row r="1039" spans="2:13" x14ac:dyDescent="0.3">
      <c r="B1039" s="36">
        <v>15566</v>
      </c>
      <c r="C1039" s="38" t="s">
        <v>326</v>
      </c>
      <c r="D1039" s="38" t="s">
        <v>260</v>
      </c>
      <c r="E1039" s="37">
        <v>24</v>
      </c>
      <c r="F1039" s="37">
        <v>0.96409999999999996</v>
      </c>
      <c r="G1039" s="37">
        <v>3.6</v>
      </c>
      <c r="H1039" s="37">
        <v>234.7826</v>
      </c>
      <c r="M1039"/>
    </row>
    <row r="1040" spans="2:13" x14ac:dyDescent="0.3">
      <c r="B1040" s="36">
        <v>15567</v>
      </c>
      <c r="C1040" s="38" t="s">
        <v>327</v>
      </c>
      <c r="D1040" s="38" t="s">
        <v>260</v>
      </c>
      <c r="E1040" s="37">
        <v>37</v>
      </c>
      <c r="F1040" s="37">
        <v>1.4863</v>
      </c>
      <c r="G1040" s="37">
        <v>5.55</v>
      </c>
      <c r="H1040" s="37">
        <v>361.95650000000001</v>
      </c>
      <c r="M1040"/>
    </row>
    <row r="1041" spans="2:13" x14ac:dyDescent="0.3">
      <c r="B1041" s="36">
        <v>15568</v>
      </c>
      <c r="C1041" s="38" t="s">
        <v>328</v>
      </c>
      <c r="D1041" s="38" t="s">
        <v>260</v>
      </c>
      <c r="E1041" s="37">
        <v>168</v>
      </c>
      <c r="F1041" s="37">
        <v>6.7484000000000002</v>
      </c>
      <c r="G1041" s="37">
        <v>25.2</v>
      </c>
      <c r="H1041" s="37">
        <v>1643.4783</v>
      </c>
      <c r="M1041"/>
    </row>
    <row r="1042" spans="2:13" x14ac:dyDescent="0.3">
      <c r="B1042" s="36">
        <v>15569</v>
      </c>
      <c r="C1042" s="38" t="s">
        <v>329</v>
      </c>
      <c r="D1042" s="38" t="s">
        <v>260</v>
      </c>
      <c r="E1042" s="37">
        <v>78</v>
      </c>
      <c r="F1042" s="37">
        <v>3.1332</v>
      </c>
      <c r="G1042" s="37">
        <v>11.7</v>
      </c>
      <c r="H1042" s="37">
        <v>763.04349999999999</v>
      </c>
      <c r="M1042"/>
    </row>
    <row r="1043" spans="2:13" x14ac:dyDescent="0.3">
      <c r="B1043" s="36">
        <v>15570</v>
      </c>
      <c r="C1043" s="38" t="s">
        <v>330</v>
      </c>
      <c r="D1043" s="38" t="s">
        <v>260</v>
      </c>
      <c r="E1043" s="37">
        <v>58</v>
      </c>
      <c r="F1043" s="37">
        <v>2.3298000000000001</v>
      </c>
      <c r="G1043" s="37">
        <v>8.6999999999999993</v>
      </c>
      <c r="H1043" s="37">
        <v>567.3913</v>
      </c>
      <c r="M1043"/>
    </row>
    <row r="1044" spans="2:13" x14ac:dyDescent="0.3">
      <c r="B1044" s="36">
        <v>15571</v>
      </c>
      <c r="C1044" s="38" t="s">
        <v>331</v>
      </c>
      <c r="D1044" s="38" t="s">
        <v>260</v>
      </c>
      <c r="E1044" s="37">
        <v>95</v>
      </c>
      <c r="F1044" s="37">
        <v>3.8161</v>
      </c>
      <c r="G1044" s="37">
        <v>14.25</v>
      </c>
      <c r="H1044" s="37">
        <v>929.34780000000001</v>
      </c>
      <c r="M1044"/>
    </row>
    <row r="1045" spans="2:13" x14ac:dyDescent="0.3">
      <c r="B1045" s="36">
        <v>15572</v>
      </c>
      <c r="C1045" s="38" t="s">
        <v>332</v>
      </c>
      <c r="D1045" s="38" t="s">
        <v>260</v>
      </c>
      <c r="E1045" s="37">
        <v>138</v>
      </c>
      <c r="F1045" s="37">
        <v>5.5433000000000003</v>
      </c>
      <c r="G1045" s="37">
        <v>20.7</v>
      </c>
      <c r="H1045" s="37">
        <v>1350</v>
      </c>
      <c r="M1045"/>
    </row>
    <row r="1046" spans="2:13" x14ac:dyDescent="0.3">
      <c r="B1046" s="36">
        <v>15573</v>
      </c>
      <c r="C1046" s="38" t="s">
        <v>333</v>
      </c>
      <c r="D1046" s="38" t="s">
        <v>260</v>
      </c>
      <c r="E1046" s="37">
        <v>113</v>
      </c>
      <c r="F1046" s="37">
        <v>4.5391000000000004</v>
      </c>
      <c r="G1046" s="37">
        <v>16.95</v>
      </c>
      <c r="H1046" s="37">
        <v>1105.4348</v>
      </c>
      <c r="M1046"/>
    </row>
    <row r="1047" spans="2:13" x14ac:dyDescent="0.3">
      <c r="B1047" s="36">
        <v>15574</v>
      </c>
      <c r="C1047" s="38" t="s">
        <v>334</v>
      </c>
      <c r="D1047" s="38" t="s">
        <v>260</v>
      </c>
      <c r="E1047" s="37">
        <v>104</v>
      </c>
      <c r="F1047" s="37">
        <v>4.1776</v>
      </c>
      <c r="G1047" s="37">
        <v>15.6</v>
      </c>
      <c r="H1047" s="37">
        <v>1017.3913</v>
      </c>
      <c r="M1047"/>
    </row>
    <row r="1048" spans="2:13" x14ac:dyDescent="0.3">
      <c r="B1048" s="36">
        <v>15575</v>
      </c>
      <c r="C1048" s="38" t="s">
        <v>335</v>
      </c>
      <c r="D1048" s="38" t="s">
        <v>260</v>
      </c>
      <c r="E1048" s="37">
        <v>87</v>
      </c>
      <c r="F1048" s="37">
        <v>3.4946999999999999</v>
      </c>
      <c r="G1048" s="37">
        <v>13.05</v>
      </c>
      <c r="H1048" s="37">
        <v>851.08699999999999</v>
      </c>
      <c r="M1048"/>
    </row>
    <row r="1049" spans="2:13" x14ac:dyDescent="0.3">
      <c r="B1049" s="36">
        <v>15576</v>
      </c>
      <c r="C1049" s="38" t="s">
        <v>336</v>
      </c>
      <c r="D1049" s="38" t="s">
        <v>260</v>
      </c>
      <c r="E1049" s="37">
        <v>87</v>
      </c>
      <c r="F1049" s="37">
        <v>3.4946999999999999</v>
      </c>
      <c r="G1049" s="37">
        <v>13.05</v>
      </c>
      <c r="H1049" s="37">
        <v>851.08699999999999</v>
      </c>
      <c r="M1049"/>
    </row>
    <row r="1050" spans="2:13" x14ac:dyDescent="0.3">
      <c r="B1050" s="36">
        <v>15577</v>
      </c>
      <c r="C1050" s="38" t="s">
        <v>337</v>
      </c>
      <c r="D1050" s="38" t="s">
        <v>338</v>
      </c>
      <c r="E1050" s="37">
        <v>386</v>
      </c>
      <c r="F1050" s="37">
        <v>15.5053</v>
      </c>
      <c r="G1050" s="37">
        <v>57.9</v>
      </c>
      <c r="H1050" s="37">
        <v>3776.087</v>
      </c>
      <c r="M1050"/>
    </row>
    <row r="1051" spans="2:13" x14ac:dyDescent="0.3">
      <c r="B1051" s="36">
        <v>15578</v>
      </c>
      <c r="C1051" s="38" t="s">
        <v>339</v>
      </c>
      <c r="D1051" s="38" t="s">
        <v>260</v>
      </c>
      <c r="E1051" s="37">
        <v>4.1173999999999999</v>
      </c>
      <c r="F1051" s="37">
        <v>0.16539999999999999</v>
      </c>
      <c r="G1051" s="37">
        <v>0.61760000000000004</v>
      </c>
      <c r="H1051" s="37">
        <v>40.2789</v>
      </c>
      <c r="M1051"/>
    </row>
    <row r="1052" spans="2:13" x14ac:dyDescent="0.3">
      <c r="B1052" s="36">
        <v>15579</v>
      </c>
      <c r="C1052" s="38" t="s">
        <v>340</v>
      </c>
      <c r="D1052" s="38" t="s">
        <v>260</v>
      </c>
      <c r="E1052" s="37">
        <v>47.6</v>
      </c>
      <c r="F1052" s="37">
        <v>1.9120999999999999</v>
      </c>
      <c r="G1052" s="37">
        <v>7.14</v>
      </c>
      <c r="H1052" s="37">
        <v>465.65219999999999</v>
      </c>
      <c r="M1052"/>
    </row>
    <row r="1053" spans="2:13" x14ac:dyDescent="0.3">
      <c r="B1053" s="36">
        <v>15580</v>
      </c>
      <c r="C1053" s="38" t="s">
        <v>341</v>
      </c>
      <c r="D1053" s="38" t="s">
        <v>260</v>
      </c>
      <c r="E1053" s="37">
        <v>50</v>
      </c>
      <c r="F1053" s="37">
        <v>2.1141999999999999</v>
      </c>
      <c r="G1053" s="37">
        <v>6.25</v>
      </c>
      <c r="H1053" s="37">
        <v>461.95650000000001</v>
      </c>
      <c r="M1053"/>
    </row>
    <row r="1054" spans="2:13" x14ac:dyDescent="0.3">
      <c r="B1054" s="36">
        <v>15581</v>
      </c>
      <c r="C1054" s="38" t="s">
        <v>342</v>
      </c>
      <c r="D1054" s="38" t="s">
        <v>260</v>
      </c>
      <c r="E1054" s="37">
        <v>50</v>
      </c>
      <c r="F1054" s="37">
        <v>2.1141999999999999</v>
      </c>
      <c r="G1054" s="37">
        <v>6.25</v>
      </c>
      <c r="H1054" s="37">
        <v>461.95650000000001</v>
      </c>
      <c r="M1054"/>
    </row>
    <row r="1055" spans="2:13" x14ac:dyDescent="0.3">
      <c r="B1055" s="36">
        <v>15582</v>
      </c>
      <c r="C1055" s="38" t="s">
        <v>343</v>
      </c>
      <c r="D1055" s="38" t="s">
        <v>260</v>
      </c>
      <c r="E1055" s="37">
        <v>50</v>
      </c>
      <c r="F1055" s="37">
        <v>2.1141999999999999</v>
      </c>
      <c r="G1055" s="37">
        <v>6.25</v>
      </c>
      <c r="H1055" s="37">
        <v>461.95650000000001</v>
      </c>
      <c r="M1055"/>
    </row>
    <row r="1056" spans="2:13" x14ac:dyDescent="0.3">
      <c r="B1056" s="36">
        <v>15583</v>
      </c>
      <c r="C1056" s="38" t="s">
        <v>344</v>
      </c>
      <c r="D1056" s="38" t="s">
        <v>260</v>
      </c>
      <c r="E1056" s="37">
        <v>50</v>
      </c>
      <c r="F1056" s="37">
        <v>2.1141999999999999</v>
      </c>
      <c r="G1056" s="37">
        <v>6.25</v>
      </c>
      <c r="H1056" s="37">
        <v>461.95650000000001</v>
      </c>
      <c r="M1056"/>
    </row>
    <row r="1057" spans="2:13" x14ac:dyDescent="0.3">
      <c r="B1057" s="36">
        <v>15584</v>
      </c>
      <c r="C1057" s="38" t="s">
        <v>345</v>
      </c>
      <c r="D1057" s="38" t="s">
        <v>260</v>
      </c>
      <c r="E1057" s="37">
        <v>50</v>
      </c>
      <c r="F1057" s="37">
        <v>2.1141999999999999</v>
      </c>
      <c r="G1057" s="37">
        <v>6.25</v>
      </c>
      <c r="H1057" s="37">
        <v>461.95650000000001</v>
      </c>
      <c r="M1057"/>
    </row>
    <row r="1058" spans="2:13" x14ac:dyDescent="0.3">
      <c r="B1058" s="36">
        <v>15585</v>
      </c>
      <c r="C1058" s="38" t="s">
        <v>346</v>
      </c>
      <c r="D1058" s="38" t="s">
        <v>347</v>
      </c>
      <c r="E1058" s="37">
        <v>3.1249699999999998</v>
      </c>
      <c r="F1058" s="37">
        <v>0.1321</v>
      </c>
      <c r="G1058" s="37">
        <v>0.3906</v>
      </c>
      <c r="H1058" s="37">
        <v>28.872</v>
      </c>
      <c r="M1058"/>
    </row>
    <row r="1059" spans="2:13" x14ac:dyDescent="0.3">
      <c r="B1059" s="36">
        <v>15586</v>
      </c>
      <c r="C1059" s="38" t="s">
        <v>348</v>
      </c>
      <c r="D1059" s="38" t="s">
        <v>260</v>
      </c>
      <c r="E1059" s="37">
        <v>3.4</v>
      </c>
      <c r="F1059" s="37">
        <v>0.14380000000000001</v>
      </c>
      <c r="G1059" s="37">
        <v>0.42499999999999999</v>
      </c>
      <c r="H1059" s="37">
        <v>31.413</v>
      </c>
      <c r="M1059"/>
    </row>
    <row r="1060" spans="2:13" x14ac:dyDescent="0.3">
      <c r="B1060" s="36">
        <v>15588</v>
      </c>
      <c r="C1060" s="38" t="s">
        <v>349</v>
      </c>
      <c r="D1060" s="38" t="s">
        <v>260</v>
      </c>
      <c r="E1060" s="37">
        <v>259.11144000000002</v>
      </c>
      <c r="F1060" s="37">
        <v>10.956099999999999</v>
      </c>
      <c r="G1060" s="37">
        <v>32.3889</v>
      </c>
      <c r="H1060" s="37">
        <v>2393.9643999999998</v>
      </c>
      <c r="M1060"/>
    </row>
    <row r="1061" spans="2:13" x14ac:dyDescent="0.3">
      <c r="B1061" s="36">
        <v>15589</v>
      </c>
      <c r="C1061" s="38" t="s">
        <v>350</v>
      </c>
      <c r="D1061" s="38" t="s">
        <v>260</v>
      </c>
      <c r="E1061" s="37">
        <v>314.29257999999999</v>
      </c>
      <c r="F1061" s="37">
        <v>13.289300000000001</v>
      </c>
      <c r="G1061" s="37">
        <v>39.2866</v>
      </c>
      <c r="H1061" s="37">
        <v>2903.7901000000002</v>
      </c>
      <c r="M1061"/>
    </row>
    <row r="1062" spans="2:13" x14ac:dyDescent="0.3">
      <c r="B1062" s="36">
        <v>15590</v>
      </c>
      <c r="C1062" s="38" t="s">
        <v>351</v>
      </c>
      <c r="D1062" s="38" t="s">
        <v>260</v>
      </c>
      <c r="E1062" s="37">
        <v>299.89999999999998</v>
      </c>
      <c r="F1062" s="37">
        <v>12.6808</v>
      </c>
      <c r="G1062" s="37">
        <v>37.487499999999997</v>
      </c>
      <c r="H1062" s="37">
        <v>2770.8152</v>
      </c>
      <c r="M1062"/>
    </row>
    <row r="1063" spans="2:13" x14ac:dyDescent="0.3">
      <c r="B1063" s="36">
        <v>15591</v>
      </c>
      <c r="C1063" s="38" t="s">
        <v>352</v>
      </c>
      <c r="D1063" s="38" t="s">
        <v>260</v>
      </c>
      <c r="E1063" s="37">
        <v>299.89999999999998</v>
      </c>
      <c r="F1063" s="37">
        <v>12.6808</v>
      </c>
      <c r="G1063" s="37">
        <v>37.487499999999997</v>
      </c>
      <c r="H1063" s="37">
        <v>2770.8152</v>
      </c>
      <c r="M1063"/>
    </row>
    <row r="1064" spans="2:13" x14ac:dyDescent="0.3">
      <c r="B1064" s="36">
        <v>15592</v>
      </c>
      <c r="C1064" s="38" t="s">
        <v>353</v>
      </c>
      <c r="D1064" s="38" t="s">
        <v>260</v>
      </c>
      <c r="E1064" s="37">
        <v>299.89999999999998</v>
      </c>
      <c r="F1064" s="37">
        <v>12.6808</v>
      </c>
      <c r="G1064" s="37">
        <v>37.487499999999997</v>
      </c>
      <c r="H1064" s="37">
        <v>2770.8152</v>
      </c>
      <c r="M1064"/>
    </row>
    <row r="1065" spans="2:13" x14ac:dyDescent="0.3">
      <c r="B1065" s="36">
        <v>15593</v>
      </c>
      <c r="C1065" s="38" t="s">
        <v>354</v>
      </c>
      <c r="D1065" s="38" t="s">
        <v>260</v>
      </c>
      <c r="E1065" s="37">
        <v>299.89999999999998</v>
      </c>
      <c r="F1065" s="37">
        <v>12.6808</v>
      </c>
      <c r="G1065" s="37">
        <v>37.487499999999997</v>
      </c>
      <c r="H1065" s="37">
        <v>2770.8152</v>
      </c>
      <c r="M1065"/>
    </row>
    <row r="1066" spans="2:13" x14ac:dyDescent="0.3">
      <c r="B1066" s="36">
        <v>15594</v>
      </c>
      <c r="C1066" s="38" t="s">
        <v>355</v>
      </c>
      <c r="D1066" s="38" t="s">
        <v>260</v>
      </c>
      <c r="E1066" s="37">
        <v>299.89999999999998</v>
      </c>
      <c r="F1066" s="37">
        <v>12.6808</v>
      </c>
      <c r="G1066" s="37">
        <v>37.487499999999997</v>
      </c>
      <c r="H1066" s="37">
        <v>2770.8152</v>
      </c>
      <c r="M1066"/>
    </row>
    <row r="1067" spans="2:13" x14ac:dyDescent="0.3">
      <c r="B1067" s="36">
        <v>15595</v>
      </c>
      <c r="C1067" s="38" t="s">
        <v>356</v>
      </c>
      <c r="D1067" s="38" t="s">
        <v>260</v>
      </c>
      <c r="E1067" s="37">
        <v>13.4</v>
      </c>
      <c r="F1067" s="37">
        <v>0.56659999999999999</v>
      </c>
      <c r="G1067" s="37">
        <v>1.675</v>
      </c>
      <c r="H1067" s="37">
        <v>123.8044</v>
      </c>
      <c r="M1067"/>
    </row>
    <row r="1068" spans="2:13" x14ac:dyDescent="0.3">
      <c r="B1068" s="36">
        <v>15596</v>
      </c>
      <c r="C1068" s="38" t="s">
        <v>357</v>
      </c>
      <c r="D1068" s="38" t="s">
        <v>260</v>
      </c>
      <c r="E1068" s="37">
        <v>11.9</v>
      </c>
      <c r="F1068" s="37">
        <v>0.50319999999999998</v>
      </c>
      <c r="G1068" s="37">
        <v>1.4875</v>
      </c>
      <c r="H1068" s="37">
        <v>109.9457</v>
      </c>
      <c r="M1068"/>
    </row>
    <row r="1069" spans="2:13" x14ac:dyDescent="0.3">
      <c r="B1069" s="36">
        <v>15597</v>
      </c>
      <c r="C1069" s="38" t="s">
        <v>358</v>
      </c>
      <c r="D1069" s="38" t="s">
        <v>260</v>
      </c>
      <c r="E1069" s="37">
        <v>11.423999999999999</v>
      </c>
      <c r="F1069" s="37">
        <v>0.48299999999999998</v>
      </c>
      <c r="G1069" s="37">
        <v>1.4279999999999999</v>
      </c>
      <c r="H1069" s="37">
        <v>105.5478</v>
      </c>
      <c r="M1069"/>
    </row>
    <row r="1070" spans="2:13" x14ac:dyDescent="0.3">
      <c r="B1070" s="36">
        <v>15598</v>
      </c>
      <c r="C1070" s="38" t="s">
        <v>359</v>
      </c>
      <c r="D1070" s="38" t="s">
        <v>260</v>
      </c>
      <c r="E1070" s="37">
        <v>0.52359999999999995</v>
      </c>
      <c r="F1070" s="37">
        <v>2.2100000000000002E-2</v>
      </c>
      <c r="G1070" s="37">
        <v>6.5500000000000003E-2</v>
      </c>
      <c r="H1070" s="37">
        <v>4.8376000000000001</v>
      </c>
      <c r="M1070"/>
    </row>
    <row r="1071" spans="2:13" x14ac:dyDescent="0.3">
      <c r="B1071" s="36">
        <v>15599</v>
      </c>
      <c r="C1071" s="38" t="s">
        <v>360</v>
      </c>
      <c r="D1071" s="38" t="s">
        <v>260</v>
      </c>
      <c r="E1071" s="37">
        <v>0.80920000000000003</v>
      </c>
      <c r="F1071" s="37">
        <v>3.4200000000000001E-2</v>
      </c>
      <c r="G1071" s="37">
        <v>0.1012</v>
      </c>
      <c r="H1071" s="37">
        <v>7.4763000000000002</v>
      </c>
      <c r="M1071"/>
    </row>
  </sheetData>
  <autoFilter ref="A128:IW497" xr:uid="{1D19A15E-1545-465F-95F5-B2DDD0F40DE6}"/>
  <mergeCells count="340">
    <mergeCell ref="C88:D88"/>
    <mergeCell ref="C89:D89"/>
    <mergeCell ref="C90:D90"/>
    <mergeCell ref="C91:D91"/>
    <mergeCell ref="C92:D92"/>
    <mergeCell ref="C93:D93"/>
    <mergeCell ref="C106:D106"/>
    <mergeCell ref="E71:F71"/>
    <mergeCell ref="G71:H71"/>
    <mergeCell ref="C101:D101"/>
    <mergeCell ref="C102:D102"/>
    <mergeCell ref="C103:D103"/>
    <mergeCell ref="C98:D98"/>
    <mergeCell ref="G103:H103"/>
    <mergeCell ref="G101:H101"/>
    <mergeCell ref="G99:H99"/>
    <mergeCell ref="C97:D97"/>
    <mergeCell ref="C99:D99"/>
    <mergeCell ref="C100:D100"/>
    <mergeCell ref="G97:H97"/>
    <mergeCell ref="C75:D75"/>
    <mergeCell ref="C76:D76"/>
    <mergeCell ref="C77:D77"/>
    <mergeCell ref="C78:D78"/>
    <mergeCell ref="G94:H94"/>
    <mergeCell ref="I94:J94"/>
    <mergeCell ref="K94:L94"/>
    <mergeCell ref="E95:F95"/>
    <mergeCell ref="C123:D123"/>
    <mergeCell ref="C122:D122"/>
    <mergeCell ref="C107:D107"/>
    <mergeCell ref="G124:H124"/>
    <mergeCell ref="I124:J124"/>
    <mergeCell ref="E107:F107"/>
    <mergeCell ref="I107:J107"/>
    <mergeCell ref="E118:F118"/>
    <mergeCell ref="G118:H118"/>
    <mergeCell ref="C124:D124"/>
    <mergeCell ref="E124:F124"/>
    <mergeCell ref="G107:H107"/>
    <mergeCell ref="C95:D95"/>
    <mergeCell ref="C96:D96"/>
    <mergeCell ref="E123:F123"/>
    <mergeCell ref="E121:F121"/>
    <mergeCell ref="E122:F122"/>
    <mergeCell ref="I123:J123"/>
    <mergeCell ref="C94:D94"/>
    <mergeCell ref="K124:L124"/>
    <mergeCell ref="G121:H121"/>
    <mergeCell ref="I121:J121"/>
    <mergeCell ref="K121:L121"/>
    <mergeCell ref="G122:H122"/>
    <mergeCell ref="I122:J122"/>
    <mergeCell ref="K122:L122"/>
    <mergeCell ref="G123:H123"/>
    <mergeCell ref="C104:D104"/>
    <mergeCell ref="C105:D105"/>
    <mergeCell ref="K123:L123"/>
    <mergeCell ref="C121:D121"/>
    <mergeCell ref="C118:D118"/>
    <mergeCell ref="E108:F108"/>
    <mergeCell ref="G108:H108"/>
    <mergeCell ref="I108:J108"/>
    <mergeCell ref="K108:L108"/>
    <mergeCell ref="E109:F109"/>
    <mergeCell ref="G109:H109"/>
    <mergeCell ref="I109:J109"/>
    <mergeCell ref="K109:L109"/>
    <mergeCell ref="E110:F110"/>
    <mergeCell ref="G110:H110"/>
    <mergeCell ref="I110:J110"/>
    <mergeCell ref="K110:L110"/>
    <mergeCell ref="C64:D64"/>
    <mergeCell ref="C65:D65"/>
    <mergeCell ref="C68:D68"/>
    <mergeCell ref="C70:D70"/>
    <mergeCell ref="C72:D72"/>
    <mergeCell ref="C73:D73"/>
    <mergeCell ref="C85:D85"/>
    <mergeCell ref="C86:D86"/>
    <mergeCell ref="C87:D87"/>
    <mergeCell ref="C80:D80"/>
    <mergeCell ref="C81:D81"/>
    <mergeCell ref="C82:D82"/>
    <mergeCell ref="C83:D83"/>
    <mergeCell ref="C84:D84"/>
    <mergeCell ref="C74:D74"/>
    <mergeCell ref="C79:D79"/>
    <mergeCell ref="C71:D71"/>
    <mergeCell ref="C66:D66"/>
    <mergeCell ref="C67:D67"/>
    <mergeCell ref="C69:D69"/>
    <mergeCell ref="K91:L91"/>
    <mergeCell ref="E92:F92"/>
    <mergeCell ref="G92:H92"/>
    <mergeCell ref="K106:L106"/>
    <mergeCell ref="I103:J103"/>
    <mergeCell ref="E101:F101"/>
    <mergeCell ref="E99:F99"/>
    <mergeCell ref="E97:F97"/>
    <mergeCell ref="K103:L103"/>
    <mergeCell ref="E104:F104"/>
    <mergeCell ref="G104:H104"/>
    <mergeCell ref="I104:J104"/>
    <mergeCell ref="E100:F100"/>
    <mergeCell ref="G100:H100"/>
    <mergeCell ref="I100:J100"/>
    <mergeCell ref="K100:L100"/>
    <mergeCell ref="E103:F103"/>
    <mergeCell ref="I92:J92"/>
    <mergeCell ref="K92:L92"/>
    <mergeCell ref="E91:F91"/>
    <mergeCell ref="G91:H91"/>
    <mergeCell ref="I93:J93"/>
    <mergeCell ref="K93:L93"/>
    <mergeCell ref="E94:F94"/>
    <mergeCell ref="C57:D57"/>
    <mergeCell ref="C59:D59"/>
    <mergeCell ref="C60:D60"/>
    <mergeCell ref="C62:D62"/>
    <mergeCell ref="C63:D63"/>
    <mergeCell ref="C58:D58"/>
    <mergeCell ref="I99:J99"/>
    <mergeCell ref="K99:L99"/>
    <mergeCell ref="I97:J97"/>
    <mergeCell ref="K97:L97"/>
    <mergeCell ref="E98:F98"/>
    <mergeCell ref="G98:H98"/>
    <mergeCell ref="I98:J98"/>
    <mergeCell ref="K98:L98"/>
    <mergeCell ref="G95:H95"/>
    <mergeCell ref="I95:J95"/>
    <mergeCell ref="K95:L95"/>
    <mergeCell ref="E96:F96"/>
    <mergeCell ref="G96:H96"/>
    <mergeCell ref="I96:J96"/>
    <mergeCell ref="K96:L96"/>
    <mergeCell ref="E93:F93"/>
    <mergeCell ref="G93:H93"/>
    <mergeCell ref="I91:J91"/>
    <mergeCell ref="C4:D4"/>
    <mergeCell ref="C51:D51"/>
    <mergeCell ref="C52:D52"/>
    <mergeCell ref="C54:D54"/>
    <mergeCell ref="C55:D55"/>
    <mergeCell ref="C56:D56"/>
    <mergeCell ref="C53:D53"/>
    <mergeCell ref="I118:J118"/>
    <mergeCell ref="K118:L118"/>
    <mergeCell ref="E105:F105"/>
    <mergeCell ref="G105:H105"/>
    <mergeCell ref="I105:J105"/>
    <mergeCell ref="K105:L105"/>
    <mergeCell ref="E106:F106"/>
    <mergeCell ref="G106:H106"/>
    <mergeCell ref="K107:L107"/>
    <mergeCell ref="I106:J106"/>
    <mergeCell ref="K104:L104"/>
    <mergeCell ref="I101:J101"/>
    <mergeCell ref="K101:L101"/>
    <mergeCell ref="E102:F102"/>
    <mergeCell ref="G102:H102"/>
    <mergeCell ref="I102:J102"/>
    <mergeCell ref="K102:L102"/>
    <mergeCell ref="I89:J89"/>
    <mergeCell ref="K89:L89"/>
    <mergeCell ref="E90:F90"/>
    <mergeCell ref="G90:H90"/>
    <mergeCell ref="I90:J90"/>
    <mergeCell ref="K90:L90"/>
    <mergeCell ref="E87:F87"/>
    <mergeCell ref="G87:H87"/>
    <mergeCell ref="I87:J87"/>
    <mergeCell ref="K87:L87"/>
    <mergeCell ref="E88:F88"/>
    <mergeCell ref="G88:H88"/>
    <mergeCell ref="I88:J88"/>
    <mergeCell ref="K88:L88"/>
    <mergeCell ref="E89:F89"/>
    <mergeCell ref="G89:H89"/>
    <mergeCell ref="I85:J85"/>
    <mergeCell ref="K85:L85"/>
    <mergeCell ref="E86:F86"/>
    <mergeCell ref="G86:H86"/>
    <mergeCell ref="I86:J86"/>
    <mergeCell ref="K86:L86"/>
    <mergeCell ref="E83:F83"/>
    <mergeCell ref="G83:H83"/>
    <mergeCell ref="I83:J83"/>
    <mergeCell ref="K83:L83"/>
    <mergeCell ref="E84:F84"/>
    <mergeCell ref="G84:H84"/>
    <mergeCell ref="I84:J84"/>
    <mergeCell ref="K84:L84"/>
    <mergeCell ref="E85:F85"/>
    <mergeCell ref="G85:H85"/>
    <mergeCell ref="I82:J82"/>
    <mergeCell ref="K82:L82"/>
    <mergeCell ref="E80:F80"/>
    <mergeCell ref="G80:H80"/>
    <mergeCell ref="I80:J80"/>
    <mergeCell ref="K80:L80"/>
    <mergeCell ref="E81:F81"/>
    <mergeCell ref="G81:H81"/>
    <mergeCell ref="I81:J81"/>
    <mergeCell ref="K81:L81"/>
    <mergeCell ref="E82:F82"/>
    <mergeCell ref="G82:H82"/>
    <mergeCell ref="I78:J78"/>
    <mergeCell ref="K78:L78"/>
    <mergeCell ref="E79:F79"/>
    <mergeCell ref="G79:H79"/>
    <mergeCell ref="I79:J79"/>
    <mergeCell ref="K79:L79"/>
    <mergeCell ref="E76:F76"/>
    <mergeCell ref="G76:H76"/>
    <mergeCell ref="I76:J76"/>
    <mergeCell ref="K76:L76"/>
    <mergeCell ref="E77:F77"/>
    <mergeCell ref="G77:H77"/>
    <mergeCell ref="I77:J77"/>
    <mergeCell ref="K77:L77"/>
    <mergeCell ref="E78:F78"/>
    <mergeCell ref="G78:H78"/>
    <mergeCell ref="I75:J75"/>
    <mergeCell ref="K75:L75"/>
    <mergeCell ref="E72:F72"/>
    <mergeCell ref="G72:H72"/>
    <mergeCell ref="I72:J72"/>
    <mergeCell ref="K72:L72"/>
    <mergeCell ref="E73:F73"/>
    <mergeCell ref="G73:H73"/>
    <mergeCell ref="I73:J73"/>
    <mergeCell ref="K73:L73"/>
    <mergeCell ref="E74:F74"/>
    <mergeCell ref="G74:H74"/>
    <mergeCell ref="E75:F75"/>
    <mergeCell ref="G75:H75"/>
    <mergeCell ref="E63:F63"/>
    <mergeCell ref="G63:H63"/>
    <mergeCell ref="I63:J63"/>
    <mergeCell ref="K63:L63"/>
    <mergeCell ref="E68:F68"/>
    <mergeCell ref="G68:H68"/>
    <mergeCell ref="E64:F64"/>
    <mergeCell ref="G64:H64"/>
    <mergeCell ref="E66:F66"/>
    <mergeCell ref="E67:F67"/>
    <mergeCell ref="E69:F69"/>
    <mergeCell ref="G69:H69"/>
    <mergeCell ref="I69:J69"/>
    <mergeCell ref="K69:L69"/>
    <mergeCell ref="E70:F70"/>
    <mergeCell ref="G70:H70"/>
    <mergeCell ref="I70:J70"/>
    <mergeCell ref="K70:L70"/>
    <mergeCell ref="E65:F65"/>
    <mergeCell ref="G65:H65"/>
    <mergeCell ref="I65:J65"/>
    <mergeCell ref="K65:L65"/>
    <mergeCell ref="I57:J57"/>
    <mergeCell ref="K57:L57"/>
    <mergeCell ref="I64:J64"/>
    <mergeCell ref="K64:L64"/>
    <mergeCell ref="G62:H62"/>
    <mergeCell ref="I62:J62"/>
    <mergeCell ref="I74:J74"/>
    <mergeCell ref="K74:L74"/>
    <mergeCell ref="I68:J68"/>
    <mergeCell ref="K68:L68"/>
    <mergeCell ref="I71:J71"/>
    <mergeCell ref="K71:L71"/>
    <mergeCell ref="G66:H66"/>
    <mergeCell ref="I66:J66"/>
    <mergeCell ref="K66:L66"/>
    <mergeCell ref="G67:H67"/>
    <mergeCell ref="I67:J67"/>
    <mergeCell ref="K67:L67"/>
    <mergeCell ref="K62:L62"/>
    <mergeCell ref="E58:F58"/>
    <mergeCell ref="G58:H58"/>
    <mergeCell ref="I58:J58"/>
    <mergeCell ref="K58:L58"/>
    <mergeCell ref="I51:J51"/>
    <mergeCell ref="K51:L51"/>
    <mergeCell ref="E52:F52"/>
    <mergeCell ref="G52:H52"/>
    <mergeCell ref="I52:J52"/>
    <mergeCell ref="K52:L52"/>
    <mergeCell ref="E55:F55"/>
    <mergeCell ref="G55:H55"/>
    <mergeCell ref="I55:J55"/>
    <mergeCell ref="K55:L55"/>
    <mergeCell ref="E54:F54"/>
    <mergeCell ref="G54:H54"/>
    <mergeCell ref="E53:F53"/>
    <mergeCell ref="G53:H53"/>
    <mergeCell ref="I53:J53"/>
    <mergeCell ref="K53:L53"/>
    <mergeCell ref="E56:F56"/>
    <mergeCell ref="G56:H56"/>
    <mergeCell ref="I56:J56"/>
    <mergeCell ref="K56:L56"/>
    <mergeCell ref="C61:D61"/>
    <mergeCell ref="E61:F61"/>
    <mergeCell ref="G61:H61"/>
    <mergeCell ref="I61:J61"/>
    <mergeCell ref="K61:L61"/>
    <mergeCell ref="E62:F62"/>
    <mergeCell ref="E4:F4"/>
    <mergeCell ref="G4:H4"/>
    <mergeCell ref="I4:J4"/>
    <mergeCell ref="K4:L4"/>
    <mergeCell ref="E51:F51"/>
    <mergeCell ref="G51:H51"/>
    <mergeCell ref="I54:J54"/>
    <mergeCell ref="K54:L54"/>
    <mergeCell ref="E59:F59"/>
    <mergeCell ref="G59:H59"/>
    <mergeCell ref="I59:J59"/>
    <mergeCell ref="K59:L59"/>
    <mergeCell ref="E60:F60"/>
    <mergeCell ref="G60:H60"/>
    <mergeCell ref="I60:J60"/>
    <mergeCell ref="K60:L60"/>
    <mergeCell ref="E57:F57"/>
    <mergeCell ref="G57:H57"/>
    <mergeCell ref="E111:F111"/>
    <mergeCell ref="G111:H111"/>
    <mergeCell ref="I111:J111"/>
    <mergeCell ref="K111:L111"/>
    <mergeCell ref="E112:F112"/>
    <mergeCell ref="G112:H112"/>
    <mergeCell ref="I112:J112"/>
    <mergeCell ref="K112:L112"/>
    <mergeCell ref="C108:D108"/>
    <mergeCell ref="C109:D109"/>
    <mergeCell ref="C110:D110"/>
    <mergeCell ref="C111:D111"/>
    <mergeCell ref="C112:D112"/>
  </mergeCells>
  <dataValidations count="1">
    <dataValidation type="list" allowBlank="1" showInputMessage="1" showErrorMessage="1" sqref="C1" xr:uid="{00000000-0002-0000-0200-000000000000}">
      <formula1>$E$1:$L$1</formula1>
    </dataValidation>
  </dataValidations>
  <hyperlinks>
    <hyperlink ref="P272" r:id="rId1" xr:uid="{00000000-0004-0000-0200-000000000000}"/>
    <hyperlink ref="O272" r:id="rId2" xr:uid="{00000000-0004-0000-0200-000001000000}"/>
    <hyperlink ref="N272" r:id="rId3" xr:uid="{00000000-0004-0000-0200-000002000000}"/>
    <hyperlink ref="M272" r:id="rId4" xr:uid="{00000000-0004-0000-0200-000003000000}"/>
  </hyperlinks>
  <pageMargins left="0.7" right="0.7" top="0.78740157499999996" bottom="0.78740157499999996" header="0.3" footer="0.3"/>
  <pageSetup paperSize="9" orientation="portrait"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15299-87AE-4345-BC00-40833BFA4CFC}">
  <sheetPr codeName="List28"/>
  <dimension ref="A1:Z64"/>
  <sheetViews>
    <sheetView showGridLines="0" zoomScale="90" zoomScaleNormal="90" workbookViewId="0">
      <selection activeCell="I8" sqref="I8:R8"/>
    </sheetView>
  </sheetViews>
  <sheetFormatPr defaultColWidth="0" defaultRowHeight="14.4" customHeight="1" zeroHeight="1" x14ac:dyDescent="0.3"/>
  <cols>
    <col min="1" max="3" width="8.88671875" style="610" customWidth="1"/>
    <col min="4" max="4" width="6.6640625" style="610" customWidth="1"/>
    <col min="5" max="16" width="8.88671875" style="610" customWidth="1"/>
    <col min="17" max="17" width="6.6640625" style="610" customWidth="1"/>
    <col min="18" max="20" width="8.88671875" style="610" customWidth="1"/>
    <col min="21" max="21" width="17.6640625" style="610" hidden="1" customWidth="1"/>
    <col min="22" max="26" width="0" style="610" hidden="1" customWidth="1"/>
    <col min="27" max="16384" width="8.88671875" style="610" hidden="1"/>
  </cols>
  <sheetData>
    <row r="1" spans="1:26" x14ac:dyDescent="0.3">
      <c r="A1" s="439"/>
      <c r="B1" s="439"/>
      <c r="C1" s="439"/>
      <c r="D1" s="439"/>
      <c r="E1" s="439"/>
      <c r="F1" s="439"/>
      <c r="G1" s="439"/>
      <c r="H1" s="439"/>
      <c r="I1" s="439"/>
      <c r="J1" s="439"/>
      <c r="K1" s="439"/>
      <c r="L1" s="439"/>
      <c r="M1" s="439"/>
      <c r="N1" s="439"/>
      <c r="O1" s="439"/>
      <c r="P1" s="574"/>
      <c r="Q1" s="574"/>
      <c r="R1" s="574"/>
      <c r="S1" s="574"/>
      <c r="T1" s="574"/>
    </row>
    <row r="2" spans="1:26" x14ac:dyDescent="0.3">
      <c r="A2" s="440"/>
      <c r="B2" s="440"/>
      <c r="C2" s="440"/>
      <c r="D2" s="440"/>
      <c r="E2" s="440"/>
      <c r="F2" s="440"/>
      <c r="G2" s="440"/>
      <c r="H2" s="440"/>
      <c r="I2" s="440"/>
      <c r="J2" s="440"/>
      <c r="K2" s="440"/>
      <c r="L2" s="440"/>
      <c r="M2" s="440"/>
      <c r="N2" s="440"/>
      <c r="O2" s="440"/>
      <c r="P2" s="378"/>
      <c r="Q2" s="745" t="str">
        <f>'Translate &amp; Prices'!$B$520</f>
        <v>Úvod</v>
      </c>
      <c r="R2" s="746"/>
      <c r="S2" s="746"/>
      <c r="T2" s="746"/>
    </row>
    <row r="3" spans="1:26" x14ac:dyDescent="0.3">
      <c r="A3" s="440"/>
      <c r="B3" s="440"/>
      <c r="C3" s="440"/>
      <c r="D3" s="440"/>
      <c r="E3" s="440"/>
      <c r="F3" s="440"/>
      <c r="G3" s="440"/>
      <c r="H3" s="440"/>
      <c r="I3" s="440"/>
      <c r="J3" s="440"/>
      <c r="K3" s="440"/>
      <c r="L3" s="440"/>
      <c r="M3" s="440"/>
      <c r="N3" s="440"/>
      <c r="O3" s="440"/>
      <c r="P3" s="378"/>
      <c r="Q3" s="745"/>
      <c r="R3" s="746"/>
      <c r="S3" s="746"/>
      <c r="T3" s="746"/>
      <c r="W3" s="610">
        <v>1</v>
      </c>
    </row>
    <row r="4" spans="1:26" x14ac:dyDescent="0.3">
      <c r="A4" s="439"/>
      <c r="B4" s="439"/>
      <c r="C4" s="439"/>
      <c r="D4" s="439"/>
      <c r="E4" s="439"/>
      <c r="F4" s="439"/>
      <c r="G4" s="439"/>
      <c r="H4" s="439"/>
      <c r="I4" s="439"/>
      <c r="J4" s="178"/>
      <c r="K4" s="178"/>
      <c r="L4" s="178"/>
      <c r="M4" s="178"/>
      <c r="N4" s="178"/>
      <c r="O4" s="178"/>
      <c r="P4" s="574"/>
      <c r="Q4" s="574"/>
      <c r="R4" s="574"/>
      <c r="S4" s="574"/>
      <c r="T4" s="574"/>
    </row>
    <row r="5" spans="1:26" ht="14.4" customHeight="1" x14ac:dyDescent="0.3">
      <c r="A5" s="1"/>
      <c r="B5" s="1"/>
      <c r="C5" s="1"/>
      <c r="D5" s="1"/>
      <c r="E5" s="1"/>
      <c r="F5" s="1"/>
      <c r="G5" s="1"/>
      <c r="H5" s="1"/>
      <c r="I5" s="1"/>
      <c r="J5" s="1"/>
      <c r="K5" s="1"/>
      <c r="L5" s="1"/>
      <c r="M5" s="1"/>
      <c r="N5" s="1"/>
      <c r="O5" s="1"/>
      <c r="P5" s="1"/>
      <c r="Q5" s="1"/>
      <c r="R5" s="1"/>
      <c r="S5" s="1"/>
      <c r="T5" s="1"/>
    </row>
    <row r="6" spans="1:26" ht="14.4" customHeight="1" x14ac:dyDescent="0.3">
      <c r="A6" s="1"/>
      <c r="B6" s="1"/>
      <c r="C6" s="1"/>
      <c r="D6" s="1"/>
      <c r="E6" s="1"/>
      <c r="F6" s="1"/>
      <c r="G6" s="1"/>
      <c r="H6" s="1"/>
      <c r="I6" s="1"/>
      <c r="J6" s="1"/>
      <c r="K6" s="1"/>
      <c r="L6" s="1"/>
      <c r="M6" s="1"/>
      <c r="N6" s="1"/>
      <c r="O6" s="1"/>
      <c r="P6" s="1"/>
      <c r="Q6" s="1"/>
      <c r="R6" s="1"/>
      <c r="S6" s="1"/>
      <c r="T6" s="1"/>
    </row>
    <row r="7" spans="1:26" ht="14.4" customHeight="1" x14ac:dyDescent="0.3">
      <c r="A7" s="1"/>
      <c r="B7" s="1"/>
      <c r="C7" s="1"/>
      <c r="D7" s="1"/>
      <c r="E7" s="1"/>
      <c r="F7" s="1"/>
      <c r="G7" s="1"/>
      <c r="H7" s="1"/>
      <c r="I7" s="1"/>
      <c r="J7" s="1"/>
      <c r="K7" s="1"/>
      <c r="L7" s="1"/>
      <c r="M7" s="1"/>
      <c r="N7" s="1"/>
      <c r="O7" s="1"/>
      <c r="P7" s="1"/>
      <c r="Q7" s="1"/>
      <c r="R7" s="1"/>
      <c r="S7" s="1"/>
      <c r="T7" s="1"/>
      <c r="Z7" s="610" t="str" cm="1">
        <f t="array" ref="Z7:Z64">IF(W3=1,_N1,IF(W3=2,_N2,IF(W3=3,_N3)))</f>
        <v>Čiré</v>
      </c>
    </row>
    <row r="8" spans="1:26" ht="14.4" customHeight="1" x14ac:dyDescent="0.3">
      <c r="A8" s="1"/>
      <c r="B8" s="1"/>
      <c r="C8" s="758" t="str">
        <f>'Translate &amp; Prices'!$B$155</f>
        <v xml:space="preserve">Šířka </v>
      </c>
      <c r="D8" s="759"/>
      <c r="E8" s="759"/>
      <c r="F8" s="759"/>
      <c r="G8" s="759"/>
      <c r="H8" s="550"/>
      <c r="I8" s="773">
        <v>0</v>
      </c>
      <c r="J8" s="773"/>
      <c r="K8" s="773"/>
      <c r="L8" s="773"/>
      <c r="M8" s="773"/>
      <c r="N8" s="773"/>
      <c r="O8" s="773"/>
      <c r="P8" s="773"/>
      <c r="Q8" s="773"/>
      <c r="R8" s="774"/>
      <c r="S8" s="1"/>
      <c r="T8" s="1"/>
      <c r="Z8" s="610" t="str">
        <v>Optiwhite</v>
      </c>
    </row>
    <row r="9" spans="1:26" ht="14.4" customHeight="1" x14ac:dyDescent="0.3">
      <c r="A9" s="1"/>
      <c r="B9" s="1"/>
      <c r="C9" s="758" t="str">
        <f>'Translate &amp; Prices'!$B$156</f>
        <v>Výška</v>
      </c>
      <c r="D9" s="759"/>
      <c r="E9" s="759"/>
      <c r="F9" s="759"/>
      <c r="G9" s="759"/>
      <c r="H9" s="550"/>
      <c r="I9" s="773">
        <v>0</v>
      </c>
      <c r="J9" s="773"/>
      <c r="K9" s="773"/>
      <c r="L9" s="773"/>
      <c r="M9" s="773"/>
      <c r="N9" s="773"/>
      <c r="O9" s="773"/>
      <c r="P9" s="773"/>
      <c r="Q9" s="773"/>
      <c r="R9" s="774"/>
      <c r="S9" s="1"/>
      <c r="T9" s="1"/>
      <c r="U9" s="610">
        <f>IF(W3=2,'Translate &amp; Prices'!C77,0)</f>
        <v>0</v>
      </c>
      <c r="V9" s="610" t="s">
        <v>3342</v>
      </c>
      <c r="Z9" s="610" t="str">
        <v>Satinato</v>
      </c>
    </row>
    <row r="10" spans="1:26" ht="14.4" customHeight="1" x14ac:dyDescent="0.3">
      <c r="A10" s="1"/>
      <c r="B10" s="1"/>
      <c r="C10" s="581"/>
      <c r="D10" s="579"/>
      <c r="E10" s="579"/>
      <c r="F10" s="579"/>
      <c r="G10" s="579"/>
      <c r="H10" s="43"/>
      <c r="I10" s="43"/>
      <c r="J10" s="43"/>
      <c r="K10" s="43"/>
      <c r="L10" s="43"/>
      <c r="M10" s="43"/>
      <c r="N10" s="43"/>
      <c r="O10" s="43"/>
      <c r="P10" s="43"/>
      <c r="Q10" s="43"/>
      <c r="R10" s="580"/>
      <c r="S10" s="1"/>
      <c r="T10" s="1"/>
      <c r="U10" s="610">
        <f>IFERROR(IF(W3=3,(VLOOKUP(I14,'Translate &amp; Prices'!B74:C76,2,0))*((I8/1000)*(I9/1000)),0),0)</f>
        <v>0</v>
      </c>
      <c r="V10" s="610" t="s">
        <v>3343</v>
      </c>
      <c r="Z10" s="610" t="str">
        <v>Satinato hnědé</v>
      </c>
    </row>
    <row r="11" spans="1:26" ht="14.4" customHeight="1" x14ac:dyDescent="0.3">
      <c r="A11" s="1"/>
      <c r="B11" s="1"/>
      <c r="C11" s="758" t="str">
        <f>'Translate &amp; Prices'!$B$153</f>
        <v>Typ skla</v>
      </c>
      <c r="D11" s="759"/>
      <c r="E11" s="759"/>
      <c r="F11" s="759"/>
      <c r="G11" s="759"/>
      <c r="H11" s="550"/>
      <c r="I11" s="775" t="str">
        <f>'Translate &amp; Prices'!$B$85</f>
        <v>Bez úprav</v>
      </c>
      <c r="J11" s="776"/>
      <c r="K11" s="776"/>
      <c r="L11" s="770" t="str">
        <f>'Translate &amp; Prices'!$B$83</f>
        <v>Kalené</v>
      </c>
      <c r="M11" s="770"/>
      <c r="N11" s="770"/>
      <c r="O11" s="770" t="str">
        <f>'Translate &amp; Prices'!$B$84</f>
        <v>Folie</v>
      </c>
      <c r="P11" s="770"/>
      <c r="Q11" s="770"/>
      <c r="R11" s="770"/>
      <c r="S11" s="1"/>
      <c r="T11" s="1"/>
      <c r="Z11" s="610" t="str">
        <v>Satinato grafit</v>
      </c>
    </row>
    <row r="12" spans="1:26" ht="14.4" customHeight="1" x14ac:dyDescent="0.3">
      <c r="A12" s="1"/>
      <c r="B12" s="1"/>
      <c r="C12" s="582"/>
      <c r="D12" s="578"/>
      <c r="E12" s="578"/>
      <c r="F12" s="578"/>
      <c r="G12" s="578"/>
      <c r="H12" s="551"/>
      <c r="I12" s="775"/>
      <c r="J12" s="776"/>
      <c r="K12" s="776"/>
      <c r="L12" s="770"/>
      <c r="M12" s="770"/>
      <c r="N12" s="770"/>
      <c r="O12" s="770"/>
      <c r="P12" s="770"/>
      <c r="Q12" s="770"/>
      <c r="R12" s="770"/>
      <c r="S12" s="1"/>
      <c r="T12" s="1"/>
      <c r="Z12" s="610" t="str">
        <v>Screen</v>
      </c>
    </row>
    <row r="13" spans="1:26" ht="14.4" customHeight="1" x14ac:dyDescent="0.3">
      <c r="A13" s="1"/>
      <c r="B13" s="1"/>
      <c r="C13" s="582"/>
      <c r="D13" s="578"/>
      <c r="E13" s="578"/>
      <c r="F13" s="578"/>
      <c r="G13" s="578"/>
      <c r="H13" s="551"/>
      <c r="I13" s="771" t="str">
        <f>"↥↥"&amp;"   "&amp;'Translate &amp; Prices'!$B$553&amp;" "&amp;C15&amp;"   "&amp;"↥↥"</f>
        <v>↥↥   Již neměnit po tom co vyberete Typ skla   ↥↥</v>
      </c>
      <c r="J13" s="771"/>
      <c r="K13" s="771"/>
      <c r="L13" s="771"/>
      <c r="M13" s="771"/>
      <c r="N13" s="771"/>
      <c r="O13" s="771"/>
      <c r="P13" s="771"/>
      <c r="Q13" s="771"/>
      <c r="R13" s="772"/>
      <c r="S13" s="1"/>
      <c r="T13" s="1"/>
      <c r="Z13" s="610" t="str">
        <v>Venus VG10</v>
      </c>
    </row>
    <row r="14" spans="1:26" ht="14.4" customHeight="1" x14ac:dyDescent="0.3">
      <c r="A14" s="1"/>
      <c r="B14" s="1"/>
      <c r="C14" s="758" t="str">
        <f>'Translate &amp; Prices'!$B$542</f>
        <v>Typ folie</v>
      </c>
      <c r="D14" s="759"/>
      <c r="E14" s="759"/>
      <c r="F14" s="759"/>
      <c r="G14" s="759"/>
      <c r="H14" s="550"/>
      <c r="I14" s="756"/>
      <c r="J14" s="756"/>
      <c r="K14" s="756"/>
      <c r="L14" s="756"/>
      <c r="M14" s="756"/>
      <c r="N14" s="756"/>
      <c r="O14" s="756"/>
      <c r="P14" s="756"/>
      <c r="Q14" s="756"/>
      <c r="R14" s="757"/>
      <c r="S14" s="1"/>
      <c r="T14" s="1"/>
      <c r="Z14" s="610" t="str">
        <v>Stopsol bronz</v>
      </c>
    </row>
    <row r="15" spans="1:26" ht="14.4" customHeight="1" x14ac:dyDescent="0.3">
      <c r="A15" s="1"/>
      <c r="B15" s="1"/>
      <c r="C15" s="758" t="str">
        <f>'Translate &amp; Prices'!$B$153</f>
        <v>Typ skla</v>
      </c>
      <c r="D15" s="759"/>
      <c r="E15" s="759"/>
      <c r="F15" s="759"/>
      <c r="G15" s="759"/>
      <c r="H15" s="550"/>
      <c r="I15" s="756"/>
      <c r="J15" s="756"/>
      <c r="K15" s="756"/>
      <c r="L15" s="756"/>
      <c r="M15" s="756"/>
      <c r="N15" s="756"/>
      <c r="O15" s="756"/>
      <c r="P15" s="756"/>
      <c r="Q15" s="756"/>
      <c r="R15" s="757"/>
      <c r="S15" s="1"/>
      <c r="T15" s="1"/>
      <c r="Z15" s="610" t="str">
        <v>Lakomat</v>
      </c>
    </row>
    <row r="16" spans="1:26" ht="14.4" customHeight="1" x14ac:dyDescent="0.3">
      <c r="A16" s="1"/>
      <c r="B16" s="1"/>
      <c r="C16" s="758" t="s">
        <v>2775</v>
      </c>
      <c r="D16" s="759"/>
      <c r="E16" s="759"/>
      <c r="F16" s="759"/>
      <c r="G16" s="759"/>
      <c r="H16" s="550"/>
      <c r="I16" s="756"/>
      <c r="J16" s="756"/>
      <c r="K16" s="756"/>
      <c r="L16" s="756"/>
      <c r="M16" s="756"/>
      <c r="N16" s="756"/>
      <c r="O16" s="756"/>
      <c r="P16" s="756"/>
      <c r="Q16" s="756"/>
      <c r="R16" s="757"/>
      <c r="S16" s="1"/>
      <c r="T16" s="1"/>
      <c r="V16" s="610" t="e">
        <f>VLOOKUP(I16,'Translate &amp; Prices'!B78:C79,2,0)</f>
        <v>#N/A</v>
      </c>
      <c r="W16" s="610" t="e">
        <f>V16*(2*(I8/1000))*(2*(I9/1000))</f>
        <v>#N/A</v>
      </c>
      <c r="Z16" s="610" t="str">
        <v>Pisek</v>
      </c>
    </row>
    <row r="17" spans="1:26" ht="14.4" customHeight="1" x14ac:dyDescent="0.3">
      <c r="A17" s="1"/>
      <c r="B17" s="1"/>
      <c r="C17" s="758" t="str">
        <f>('Translate &amp; Prices'!$B$154)</f>
        <v>Počet kusů</v>
      </c>
      <c r="D17" s="759"/>
      <c r="E17" s="759"/>
      <c r="F17" s="759"/>
      <c r="G17" s="759"/>
      <c r="H17" s="550"/>
      <c r="I17" s="756">
        <v>1</v>
      </c>
      <c r="J17" s="756"/>
      <c r="K17" s="756"/>
      <c r="L17" s="756"/>
      <c r="M17" s="756"/>
      <c r="N17" s="756"/>
      <c r="O17" s="756"/>
      <c r="P17" s="756"/>
      <c r="Q17" s="756"/>
      <c r="R17" s="757"/>
      <c r="S17" s="1"/>
      <c r="T17" s="1"/>
      <c r="Z17" s="610" t="str">
        <v>Antisol bronz</v>
      </c>
    </row>
    <row r="18" spans="1:26" ht="14.4" customHeight="1" x14ac:dyDescent="0.3">
      <c r="A18" s="1"/>
      <c r="B18" s="1"/>
      <c r="C18" s="583"/>
      <c r="D18" s="43"/>
      <c r="E18" s="43"/>
      <c r="F18" s="43"/>
      <c r="G18" s="43"/>
      <c r="H18" s="43"/>
      <c r="I18" s="43"/>
      <c r="J18" s="43"/>
      <c r="K18" s="43"/>
      <c r="L18" s="43"/>
      <c r="M18" s="43"/>
      <c r="N18" s="43"/>
      <c r="O18" s="43"/>
      <c r="P18" s="43"/>
      <c r="Q18" s="43"/>
      <c r="R18" s="580"/>
      <c r="S18" s="1"/>
      <c r="T18" s="1"/>
      <c r="Z18" s="610" t="str">
        <v>Antisol grafit</v>
      </c>
    </row>
    <row r="19" spans="1:26" ht="14.4" customHeight="1" x14ac:dyDescent="0.3">
      <c r="A19" s="1"/>
      <c r="B19" s="1"/>
      <c r="C19" s="760" t="str">
        <f>'Translate &amp; Prices'!$B$158</f>
        <v>Cena rámečků celkem</v>
      </c>
      <c r="D19" s="761"/>
      <c r="E19" s="761"/>
      <c r="F19" s="761"/>
      <c r="G19" s="761"/>
      <c r="H19" s="761"/>
      <c r="I19" s="761"/>
      <c r="J19" s="761"/>
      <c r="K19" s="761"/>
      <c r="L19" s="764"/>
      <c r="M19" s="766">
        <f>V19*I17</f>
        <v>0</v>
      </c>
      <c r="N19" s="766"/>
      <c r="O19" s="766"/>
      <c r="P19" s="766"/>
      <c r="Q19" s="766"/>
      <c r="R19" s="767"/>
      <c r="S19" s="1"/>
      <c r="T19" s="1"/>
      <c r="V19" s="610">
        <f>IFERROR((VLOOKUP(I15,'Translate &amp; Prices'!B82:D146,2,0))*((I8/1000)*(I9/1000))+U9+U10+W16,0)</f>
        <v>0</v>
      </c>
      <c r="Z19" s="610" t="str">
        <v>Zrcadlo</v>
      </c>
    </row>
    <row r="20" spans="1:26" ht="14.4" customHeight="1" thickBot="1" x14ac:dyDescent="0.35">
      <c r="A20" s="1"/>
      <c r="B20" s="1"/>
      <c r="C20" s="762"/>
      <c r="D20" s="763"/>
      <c r="E20" s="763"/>
      <c r="F20" s="763"/>
      <c r="G20" s="763"/>
      <c r="H20" s="763"/>
      <c r="I20" s="763"/>
      <c r="J20" s="763"/>
      <c r="K20" s="763"/>
      <c r="L20" s="765"/>
      <c r="M20" s="768"/>
      <c r="N20" s="768"/>
      <c r="O20" s="768"/>
      <c r="P20" s="768"/>
      <c r="Q20" s="768"/>
      <c r="R20" s="769"/>
      <c r="S20" s="1"/>
      <c r="T20" s="1"/>
      <c r="Z20" s="610" t="str">
        <v>Zrcadlo hnědé</v>
      </c>
    </row>
    <row r="21" spans="1:26" ht="14.4" customHeight="1" x14ac:dyDescent="0.3">
      <c r="A21" s="1"/>
      <c r="B21" s="1"/>
      <c r="C21" s="1"/>
      <c r="D21" s="1"/>
      <c r="E21" s="1"/>
      <c r="F21" s="1"/>
      <c r="G21" s="1"/>
      <c r="H21" s="1"/>
      <c r="I21" s="1"/>
      <c r="J21" s="1"/>
      <c r="K21" s="1"/>
      <c r="L21" s="1"/>
      <c r="M21" s="1"/>
      <c r="N21" s="1"/>
      <c r="O21" s="1"/>
      <c r="P21" s="1"/>
      <c r="Q21" s="1"/>
      <c r="R21" s="1"/>
      <c r="S21" s="1"/>
      <c r="T21" s="1"/>
      <c r="Z21" s="610" t="str">
        <v>Zrcadlo grafit</v>
      </c>
    </row>
    <row r="22" spans="1:26" ht="14.4" customHeight="1" x14ac:dyDescent="0.3">
      <c r="A22" s="1"/>
      <c r="B22" s="1"/>
      <c r="C22" s="1"/>
      <c r="D22" s="1"/>
      <c r="E22" s="1"/>
      <c r="F22" s="1"/>
      <c r="G22" s="1"/>
      <c r="H22" s="1"/>
      <c r="I22" s="1"/>
      <c r="J22" s="1"/>
      <c r="K22" s="1"/>
      <c r="L22" s="1"/>
      <c r="M22" s="1"/>
      <c r="N22" s="1"/>
      <c r="O22" s="1"/>
      <c r="P22" s="1"/>
      <c r="Q22" s="1"/>
      <c r="R22" s="1"/>
      <c r="S22" s="1"/>
      <c r="T22" s="1"/>
      <c r="Z22" s="610" t="str">
        <v>Krizet</v>
      </c>
    </row>
    <row r="23" spans="1:26" ht="14.4" hidden="1" customHeight="1" x14ac:dyDescent="0.3">
      <c r="Z23" s="610" t="str">
        <v>Master (Carre)</v>
      </c>
    </row>
    <row r="24" spans="1:26" ht="14.4" hidden="1" customHeight="1" x14ac:dyDescent="0.3">
      <c r="Z24" s="610" t="str">
        <v xml:space="preserve">Master  Lens </v>
      </c>
    </row>
    <row r="25" spans="1:26" ht="14.4" hidden="1" customHeight="1" x14ac:dyDescent="0.3">
      <c r="Z25" s="610" t="str">
        <v>Master  Ligne</v>
      </c>
    </row>
    <row r="26" spans="1:26" ht="14.4" hidden="1" customHeight="1" x14ac:dyDescent="0.3">
      <c r="Z26" s="610" t="str">
        <v>Master  Point</v>
      </c>
    </row>
    <row r="27" spans="1:26" ht="14.4" hidden="1" customHeight="1" x14ac:dyDescent="0.3">
      <c r="Z27" s="610" t="str">
        <v>Master  Shine</v>
      </c>
    </row>
    <row r="28" spans="1:26" ht="14.4" customHeight="1" x14ac:dyDescent="0.3">
      <c r="Z28" s="610" t="str">
        <v>Lacobel RAL 1013</v>
      </c>
    </row>
    <row r="29" spans="1:26" ht="14.4" hidden="1" customHeight="1" x14ac:dyDescent="0.3">
      <c r="Z29" s="610" t="str">
        <v>Lacobel RAL 1014</v>
      </c>
    </row>
    <row r="30" spans="1:26" ht="14.4" hidden="1" customHeight="1" x14ac:dyDescent="0.3">
      <c r="Z30" s="610" t="str">
        <v>Lacobel RAL 1015</v>
      </c>
    </row>
    <row r="31" spans="1:26" ht="14.4" hidden="1" customHeight="1" x14ac:dyDescent="0.3">
      <c r="Z31" s="610" t="str">
        <v>Lacobel RAL 2001</v>
      </c>
    </row>
    <row r="32" spans="1:26" ht="14.4" hidden="1" customHeight="1" x14ac:dyDescent="0.3">
      <c r="Z32" s="610" t="str">
        <v>Lacobel RAL 3004</v>
      </c>
    </row>
    <row r="33" spans="26:26" ht="14.4" hidden="1" customHeight="1" x14ac:dyDescent="0.3">
      <c r="Z33" s="610" t="str">
        <v>Lacobel RAL 4006</v>
      </c>
    </row>
    <row r="34" spans="26:26" ht="14.4" hidden="1" customHeight="1" x14ac:dyDescent="0.3">
      <c r="Z34" s="610" t="str">
        <v>Lacobel RAL 5002</v>
      </c>
    </row>
    <row r="35" spans="26:26" ht="14.4" hidden="1" customHeight="1" x14ac:dyDescent="0.3">
      <c r="Z35" s="610" t="str">
        <v>Lacobel RAL 7035</v>
      </c>
    </row>
    <row r="36" spans="26:26" ht="14.4" hidden="1" customHeight="1" x14ac:dyDescent="0.3">
      <c r="Z36" s="610" t="str">
        <v>Lacobel RAL 8017</v>
      </c>
    </row>
    <row r="37" spans="26:26" ht="14.4" hidden="1" customHeight="1" x14ac:dyDescent="0.3">
      <c r="Z37" s="610" t="str">
        <v>Lacobel RAL 9003</v>
      </c>
    </row>
    <row r="38" spans="26:26" ht="14.4" hidden="1" customHeight="1" x14ac:dyDescent="0.3">
      <c r="Z38" s="610" t="str">
        <v>Lacobel RAL 9005</v>
      </c>
    </row>
    <row r="39" spans="26:26" ht="14.4" hidden="1" customHeight="1" x14ac:dyDescent="0.3">
      <c r="Z39" s="610" t="str">
        <v>Lacobel RAL 9006</v>
      </c>
    </row>
    <row r="40" spans="26:26" ht="14.4" hidden="1" customHeight="1" x14ac:dyDescent="0.3">
      <c r="Z40" s="610" t="str">
        <v>Lacobel RAL 9007</v>
      </c>
    </row>
    <row r="41" spans="26:26" ht="14.4" hidden="1" customHeight="1" x14ac:dyDescent="0.3">
      <c r="Z41" s="610" t="str">
        <v>Lacobel RAL 9010</v>
      </c>
    </row>
    <row r="42" spans="26:26" ht="14.4" hidden="1" customHeight="1" x14ac:dyDescent="0.3">
      <c r="Z42" s="610" t="str">
        <v>Lacobel REF 0128</v>
      </c>
    </row>
    <row r="43" spans="26:26" ht="14.4" hidden="1" customHeight="1" x14ac:dyDescent="0.3">
      <c r="Z43" s="610" t="str">
        <v>Lacobel REF 0327</v>
      </c>
    </row>
    <row r="44" spans="26:26" ht="14.4" hidden="1" customHeight="1" x14ac:dyDescent="0.3">
      <c r="Z44" s="610" t="str">
        <v>Lacobel REF 0337</v>
      </c>
    </row>
    <row r="45" spans="26:26" ht="14.4" hidden="1" customHeight="1" x14ac:dyDescent="0.3">
      <c r="Z45" s="610" t="str">
        <v>Lacobel REF 0627</v>
      </c>
    </row>
    <row r="46" spans="26:26" ht="14.4" hidden="1" customHeight="1" x14ac:dyDescent="0.3">
      <c r="Z46" s="610" t="str">
        <v>Lacobel REF 0667</v>
      </c>
    </row>
    <row r="47" spans="26:26" ht="14.4" hidden="1" customHeight="1" x14ac:dyDescent="0.3">
      <c r="Z47" s="610" t="str">
        <v>Lacobel REF 1164</v>
      </c>
    </row>
    <row r="48" spans="26:26" ht="14.4" hidden="1" customHeight="1" x14ac:dyDescent="0.3">
      <c r="Z48" s="610" t="str">
        <v>Lacobel REF 1236</v>
      </c>
    </row>
    <row r="49" spans="26:26" ht="14.4" hidden="1" customHeight="1" x14ac:dyDescent="0.3">
      <c r="Z49" s="610" t="str">
        <v>Lacobel REF 1435</v>
      </c>
    </row>
    <row r="50" spans="26:26" ht="14.4" hidden="1" customHeight="1" x14ac:dyDescent="0.3">
      <c r="Z50" s="610" t="str">
        <v>Lacobel REF 1586</v>
      </c>
    </row>
    <row r="51" spans="26:26" ht="14.4" hidden="1" customHeight="1" x14ac:dyDescent="0.3">
      <c r="Z51" s="610" t="str">
        <v>Lacobel REF 1603</v>
      </c>
    </row>
    <row r="52" spans="26:26" ht="14.4" hidden="1" customHeight="1" x14ac:dyDescent="0.3">
      <c r="Z52" s="610" t="str">
        <v>Lacobel REF 1604</v>
      </c>
    </row>
    <row r="53" spans="26:26" ht="14.4" hidden="1" customHeight="1" x14ac:dyDescent="0.3">
      <c r="Z53" s="610" t="str">
        <v>Matelac RAL 2001</v>
      </c>
    </row>
    <row r="54" spans="26:26" ht="14.4" hidden="1" customHeight="1" x14ac:dyDescent="0.3">
      <c r="Z54" s="610" t="str">
        <v>Matelac RAL 3004</v>
      </c>
    </row>
    <row r="55" spans="26:26" ht="14.4" hidden="1" customHeight="1" x14ac:dyDescent="0.3">
      <c r="Z55" s="610" t="str">
        <v>Matelac RAL 7021</v>
      </c>
    </row>
    <row r="56" spans="26:26" ht="14.4" hidden="1" customHeight="1" x14ac:dyDescent="0.3">
      <c r="Z56" s="610" t="str">
        <v>Matelac RAL 9003</v>
      </c>
    </row>
    <row r="57" spans="26:26" ht="14.4" hidden="1" customHeight="1" x14ac:dyDescent="0.3">
      <c r="Z57" s="610" t="str">
        <v>Matelac RAL 9005</v>
      </c>
    </row>
    <row r="58" spans="26:26" ht="14.4" hidden="1" customHeight="1" x14ac:dyDescent="0.3">
      <c r="Z58" s="610" t="str">
        <v>Matelac RAL 9006</v>
      </c>
    </row>
    <row r="59" spans="26:26" ht="14.4" hidden="1" customHeight="1" x14ac:dyDescent="0.3">
      <c r="Z59" s="610" t="str">
        <v>Matelac RAL 9010</v>
      </c>
    </row>
    <row r="60" spans="26:26" ht="14.4" hidden="1" customHeight="1" x14ac:dyDescent="0.3">
      <c r="Z60" s="610" t="str">
        <v>Matelac REF 1435</v>
      </c>
    </row>
    <row r="61" spans="26:26" ht="14.4" hidden="1" customHeight="1" x14ac:dyDescent="0.3">
      <c r="Z61" s="610" t="str">
        <v>Matelac REF 1586</v>
      </c>
    </row>
    <row r="62" spans="26:26" ht="14.4" hidden="1" customHeight="1" x14ac:dyDescent="0.3">
      <c r="Z62" s="610" t="str">
        <v>Matelac zrcadlo bronz</v>
      </c>
    </row>
    <row r="63" spans="26:26" ht="14.4" hidden="1" customHeight="1" x14ac:dyDescent="0.3">
      <c r="Z63" s="610" t="str">
        <v>Matelac zrcadlo grafit</v>
      </c>
    </row>
    <row r="64" spans="26:26" ht="14.4" hidden="1" customHeight="1" x14ac:dyDescent="0.3">
      <c r="Z64" s="610" t="str">
        <v>Matelac zrcadlo stříbr.</v>
      </c>
    </row>
  </sheetData>
  <sheetProtection algorithmName="SHA-512" hashValue="vTzu87kxoGw500sIPQAuJ+C+b4qXg4x4M/YeRzJ74MFm6Al4tj4ceo3XrgWXChSPTy3D++Oog850r3mCcHS6yQ==" saltValue="35KEAxdvDET6fEEqa6bacA==" spinCount="100000" sheet="1" objects="1" scenarios="1" selectLockedCells="1"/>
  <mergeCells count="21">
    <mergeCell ref="C19:K20"/>
    <mergeCell ref="L19:L20"/>
    <mergeCell ref="M19:R20"/>
    <mergeCell ref="Q2:T3"/>
    <mergeCell ref="O11:R12"/>
    <mergeCell ref="I13:R13"/>
    <mergeCell ref="C14:G14"/>
    <mergeCell ref="I14:R14"/>
    <mergeCell ref="C9:G9"/>
    <mergeCell ref="C8:G8"/>
    <mergeCell ref="I9:R9"/>
    <mergeCell ref="I8:R8"/>
    <mergeCell ref="C11:G11"/>
    <mergeCell ref="I11:K12"/>
    <mergeCell ref="L11:N12"/>
    <mergeCell ref="C15:G15"/>
    <mergeCell ref="I15:R15"/>
    <mergeCell ref="C16:G16"/>
    <mergeCell ref="I16:R16"/>
    <mergeCell ref="C17:G17"/>
    <mergeCell ref="I17:R17"/>
  </mergeCells>
  <conditionalFormatting sqref="I13">
    <cfRule type="expression" dxfId="795" priority="6">
      <formula>#REF!&gt;0</formula>
    </cfRule>
  </conditionalFormatting>
  <conditionalFormatting sqref="C14:R14">
    <cfRule type="expression" dxfId="794" priority="5">
      <formula>$W$3&lt;3</formula>
    </cfRule>
  </conditionalFormatting>
  <dataValidations count="1">
    <dataValidation type="list" allowBlank="1" showInputMessage="1" showErrorMessage="1" sqref="I15:R15" xr:uid="{94C5B5E3-1861-4E97-9C94-090B691B9101}">
      <formula1>IF(W3=1,_N1,IF(W3=2,_N2,IF(W3=3,_N3)))</formula1>
    </dataValidation>
  </dataValidations>
  <hyperlinks>
    <hyperlink ref="Q2:T3" location="Hlavní!A1" display="Hlavní!A1" xr:uid="{DF52E2AE-A66D-4DD6-8B22-CF90012F0C1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7377" r:id="rId4" name="Check Box 1967">
              <controlPr locked="0" defaultSize="0" autoFill="0" autoLine="0" autoPict="0">
                <anchor moveWithCells="1">
                  <from>
                    <xdr:col>15</xdr:col>
                    <xdr:colOff>0</xdr:colOff>
                    <xdr:row>0</xdr:row>
                    <xdr:rowOff>0</xdr:rowOff>
                  </from>
                  <to>
                    <xdr:col>15</xdr:col>
                    <xdr:colOff>0</xdr:colOff>
                    <xdr:row>0</xdr:row>
                    <xdr:rowOff>175260</xdr:rowOff>
                  </to>
                </anchor>
              </controlPr>
            </control>
          </mc:Choice>
        </mc:AlternateContent>
        <mc:AlternateContent xmlns:mc="http://schemas.openxmlformats.org/markup-compatibility/2006">
          <mc:Choice Requires="x14">
            <control shapeId="357378" r:id="rId5" name="Option Button 2">
              <controlPr defaultSize="0" autoFill="0" autoLine="0" autoPict="0">
                <anchor moveWithCells="1">
                  <from>
                    <xdr:col>9</xdr:col>
                    <xdr:colOff>175260</xdr:colOff>
                    <xdr:row>10</xdr:row>
                    <xdr:rowOff>15240</xdr:rowOff>
                  </from>
                  <to>
                    <xdr:col>9</xdr:col>
                    <xdr:colOff>480060</xdr:colOff>
                    <xdr:row>11</xdr:row>
                    <xdr:rowOff>60960</xdr:rowOff>
                  </to>
                </anchor>
              </controlPr>
            </control>
          </mc:Choice>
        </mc:AlternateContent>
        <mc:AlternateContent xmlns:mc="http://schemas.openxmlformats.org/markup-compatibility/2006">
          <mc:Choice Requires="x14">
            <control shapeId="357379" r:id="rId6" name="Option Button 3">
              <controlPr defaultSize="0" autoFill="0" autoLine="0" autoPict="0">
                <anchor moveWithCells="1">
                  <from>
                    <xdr:col>12</xdr:col>
                    <xdr:colOff>190500</xdr:colOff>
                    <xdr:row>9</xdr:row>
                    <xdr:rowOff>160020</xdr:rowOff>
                  </from>
                  <to>
                    <xdr:col>12</xdr:col>
                    <xdr:colOff>457200</xdr:colOff>
                    <xdr:row>11</xdr:row>
                    <xdr:rowOff>60960</xdr:rowOff>
                  </to>
                </anchor>
              </controlPr>
            </control>
          </mc:Choice>
        </mc:AlternateContent>
        <mc:AlternateContent xmlns:mc="http://schemas.openxmlformats.org/markup-compatibility/2006">
          <mc:Choice Requires="x14">
            <control shapeId="357380" r:id="rId7" name="Option Button 4">
              <controlPr defaultSize="0" autoFill="0" autoLine="0" autoPict="0">
                <anchor moveWithCells="1">
                  <from>
                    <xdr:col>15</xdr:col>
                    <xdr:colOff>419100</xdr:colOff>
                    <xdr:row>9</xdr:row>
                    <xdr:rowOff>175260</xdr:rowOff>
                  </from>
                  <to>
                    <xdr:col>16</xdr:col>
                    <xdr:colOff>137160</xdr:colOff>
                    <xdr:row>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CFD8725-986C-46EC-8B9F-0BBB817F8AAC}">
            <xm:f>'Translate &amp; Prices'!$D$1=4</xm:f>
            <x14:dxf>
              <numFmt numFmtId="173" formatCode="#,##0.00\ [$Ft-40E]"/>
            </x14:dxf>
          </x14:cfRule>
          <x14:cfRule type="expression" priority="2" id="{64042A32-9E3E-4ED8-9C27-0E94E63ACC3C}">
            <xm:f>'Translate &amp; Prices'!$D$1=3</xm:f>
            <x14:dxf>
              <numFmt numFmtId="172" formatCode="#,##0.00\ [$zł-415]"/>
            </x14:dxf>
          </x14:cfRule>
          <x14:cfRule type="expression" priority="3" id="{B3F40183-3400-4AFD-BC7F-CA6EAE290A81}">
            <xm:f>'Translate &amp; Prices'!$D$1=2</xm:f>
            <x14:dxf>
              <numFmt numFmtId="171" formatCode="#,##0.00\ [$€-1]"/>
            </x14:dxf>
          </x14:cfRule>
          <x14:cfRule type="expression" priority="4" id="{E1157EE5-423F-4943-A82A-BEB29D480611}">
            <xm:f>'Translate &amp; Prices'!$D$1=1</xm:f>
            <x14:dxf>
              <numFmt numFmtId="170" formatCode="#,##0.00\ &quot;Kč&quot;"/>
            </x14:dxf>
          </x14:cfRule>
          <xm:sqref>M19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CA494601-A9FE-4E3A-ACA7-AF54C34D7382}">
          <x14:formula1>
            <xm:f>kombinace_1!$X$3:$X$5</xm:f>
          </x14:formula1>
          <xm:sqref>I14:R14</xm:sqref>
        </x14:dataValidation>
        <x14:dataValidation type="list" allowBlank="1" showInputMessage="1" showErrorMessage="1" xr:uid="{61F63EF9-D93A-4A41-B558-ED6CE4BAF7B1}">
          <x14:formula1>
            <xm:f>'Translate &amp; Prices'!$B$78:$B$79</xm:f>
          </x14:formula1>
          <xm:sqref>I16:R16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170BD-5237-4B55-BB49-DBA5EAB8B53A}">
  <sheetPr codeName="List22"/>
  <dimension ref="A1:IZ1073"/>
  <sheetViews>
    <sheetView topLeftCell="A31" zoomScaleNormal="100" workbookViewId="0">
      <selection activeCell="A25" sqref="A25"/>
    </sheetView>
  </sheetViews>
  <sheetFormatPr defaultRowHeight="14.4" x14ac:dyDescent="0.3"/>
  <cols>
    <col min="1" max="1" width="19.88671875" style="137" customWidth="1"/>
    <col min="2" max="2" width="37.6640625" style="137" customWidth="1"/>
    <col min="3" max="3" width="28.109375" style="137" customWidth="1"/>
    <col min="4" max="4" width="34.44140625" style="137" bestFit="1" customWidth="1"/>
    <col min="5" max="5" width="19" style="137" bestFit="1" customWidth="1"/>
    <col min="6" max="6" width="10.88671875" style="137" bestFit="1" customWidth="1"/>
    <col min="7" max="7" width="10.33203125" style="137" bestFit="1" customWidth="1"/>
    <col min="8" max="8" width="10.88671875" style="137" bestFit="1" customWidth="1"/>
    <col min="9" max="9" width="10.33203125" style="137" bestFit="1" customWidth="1"/>
    <col min="10" max="10" width="10.88671875" style="137" bestFit="1" customWidth="1"/>
    <col min="11" max="11" width="10.33203125" style="137" bestFit="1" customWidth="1"/>
    <col min="12" max="12" width="10.88671875" style="137" bestFit="1" customWidth="1"/>
    <col min="13" max="14" width="10.88671875" style="137" customWidth="1"/>
    <col min="15" max="15" width="31.33203125" style="17" customWidth="1"/>
    <col min="16" max="19" width="27.5546875" style="137" customWidth="1"/>
    <col min="20" max="16384" width="8.88671875" style="137"/>
  </cols>
  <sheetData>
    <row r="1" spans="1:25" x14ac:dyDescent="0.3">
      <c r="B1" s="137" t="s">
        <v>77</v>
      </c>
      <c r="C1" s="137" t="s">
        <v>78</v>
      </c>
      <c r="D1" s="137">
        <v>1</v>
      </c>
      <c r="E1" s="137" t="s">
        <v>78</v>
      </c>
      <c r="G1" s="137" t="s">
        <v>79</v>
      </c>
      <c r="I1" s="137" t="s">
        <v>80</v>
      </c>
      <c r="K1" s="137" t="s">
        <v>81</v>
      </c>
      <c r="O1" s="17" t="s">
        <v>78</v>
      </c>
      <c r="P1" s="137" t="s">
        <v>79</v>
      </c>
      <c r="Q1" s="137" t="s">
        <v>80</v>
      </c>
      <c r="R1" s="137" t="s">
        <v>81</v>
      </c>
      <c r="T1" s="137" t="s">
        <v>21</v>
      </c>
      <c r="U1" s="137" t="s">
        <v>19</v>
      </c>
    </row>
    <row r="2" spans="1:25" x14ac:dyDescent="0.3">
      <c r="C2" s="137">
        <v>2</v>
      </c>
      <c r="D2" s="137">
        <v>3</v>
      </c>
      <c r="E2" s="137">
        <v>4</v>
      </c>
      <c r="F2" s="137">
        <v>5</v>
      </c>
      <c r="G2" s="137">
        <v>6</v>
      </c>
      <c r="H2" s="137">
        <v>7</v>
      </c>
      <c r="I2" s="137">
        <v>8</v>
      </c>
      <c r="J2" s="137">
        <v>9</v>
      </c>
      <c r="K2" s="137">
        <v>10</v>
      </c>
      <c r="L2" s="137">
        <v>11</v>
      </c>
      <c r="M2" s="137">
        <v>12</v>
      </c>
      <c r="N2" s="137">
        <v>13</v>
      </c>
      <c r="O2" s="137">
        <v>14</v>
      </c>
      <c r="P2" s="137">
        <v>15</v>
      </c>
      <c r="Q2" s="137">
        <v>16</v>
      </c>
      <c r="R2" s="137">
        <v>17</v>
      </c>
      <c r="S2" s="137">
        <v>18</v>
      </c>
      <c r="T2" s="137">
        <v>19</v>
      </c>
      <c r="U2" s="137">
        <v>20</v>
      </c>
    </row>
    <row r="3" spans="1:25" x14ac:dyDescent="0.3">
      <c r="B3" s="280"/>
      <c r="C3" s="280"/>
      <c r="D3" s="280"/>
      <c r="E3" s="280"/>
      <c r="F3" s="280"/>
      <c r="G3" s="7" t="s">
        <v>32</v>
      </c>
      <c r="H3" s="8">
        <v>25</v>
      </c>
      <c r="I3" s="7" t="s">
        <v>32</v>
      </c>
      <c r="J3" s="8">
        <v>6.5</v>
      </c>
      <c r="K3" s="7" t="s">
        <v>1015</v>
      </c>
      <c r="L3" s="8">
        <v>9.1999999999999993</v>
      </c>
      <c r="M3" s="308"/>
      <c r="N3" s="308"/>
    </row>
    <row r="4" spans="1:25" x14ac:dyDescent="0.3">
      <c r="B4" s="9" t="s">
        <v>33</v>
      </c>
      <c r="C4" s="1169" t="s">
        <v>34</v>
      </c>
      <c r="D4" s="1170"/>
      <c r="E4" s="1169" t="s">
        <v>34</v>
      </c>
      <c r="F4" s="1170"/>
      <c r="G4" s="1169" t="s">
        <v>35</v>
      </c>
      <c r="H4" s="1170"/>
      <c r="I4" s="1169" t="s">
        <v>36</v>
      </c>
      <c r="J4" s="1170"/>
      <c r="K4" s="1169" t="s">
        <v>37</v>
      </c>
      <c r="L4" s="1170"/>
      <c r="M4" s="309"/>
      <c r="N4" s="309"/>
    </row>
    <row r="5" spans="1:25" x14ac:dyDescent="0.3">
      <c r="B5" s="142" t="s">
        <v>38</v>
      </c>
      <c r="C5" s="143" t="s">
        <v>39</v>
      </c>
      <c r="D5" s="144" t="s">
        <v>40</v>
      </c>
      <c r="E5" s="143" t="s">
        <v>39</v>
      </c>
      <c r="F5" s="144" t="s">
        <v>40</v>
      </c>
      <c r="G5" s="143" t="s">
        <v>39</v>
      </c>
      <c r="H5" s="144" t="s">
        <v>40</v>
      </c>
      <c r="I5" s="143" t="s">
        <v>39</v>
      </c>
      <c r="J5" s="144" t="s">
        <v>40</v>
      </c>
      <c r="K5" s="143" t="s">
        <v>39</v>
      </c>
      <c r="L5" s="144" t="s">
        <v>40</v>
      </c>
      <c r="M5" s="310"/>
      <c r="N5" s="310"/>
      <c r="O5" s="17" t="s">
        <v>78</v>
      </c>
      <c r="P5" s="137" t="s">
        <v>79</v>
      </c>
      <c r="Q5" s="137" t="s">
        <v>80</v>
      </c>
      <c r="R5" s="137" t="s">
        <v>81</v>
      </c>
      <c r="S5" s="137" t="s">
        <v>1760</v>
      </c>
      <c r="T5" s="137" t="s">
        <v>21</v>
      </c>
      <c r="U5" s="137" t="s">
        <v>19</v>
      </c>
    </row>
    <row r="6" spans="1:25" x14ac:dyDescent="0.3">
      <c r="A6" s="280" t="s">
        <v>991</v>
      </c>
      <c r="B6" s="305" t="str">
        <f t="shared" ref="B6:B47" si="0">IF($D$1=1,O:O,IF($D$1=2,P:P,IF($D$1=3,Q:Q,IF($D$1=4,R:R,IF($D$1=5,S:S)))))</f>
        <v>BRW (elox.)</v>
      </c>
      <c r="C6" s="311">
        <f t="shared" ref="C6:C47" si="1">IF($D$1=1,E:E,IF($D$1=2,G:G,IF($D$1=3,I:I,IF($D$1=4,K:K,IF($D$1=5,M:M)))))</f>
        <v>212.18</v>
      </c>
      <c r="D6" s="311">
        <f t="shared" ref="D6:D47" si="2">IF($D$1=1,F:F,IF($D$1=2,H:H,IF($D$1=3,J:J,IF($D$1=4,L:L,IF($D$1=5,N:N)))))</f>
        <v>92.7</v>
      </c>
      <c r="E6" s="306">
        <v>212.18</v>
      </c>
      <c r="F6" s="306">
        <v>92.7</v>
      </c>
      <c r="G6" s="312">
        <v>6.2856381923076921</v>
      </c>
      <c r="H6" s="312">
        <v>3.4277639423076924</v>
      </c>
      <c r="I6" s="312">
        <v>31.692307692307693</v>
      </c>
      <c r="J6" s="312">
        <v>13.846153846153847</v>
      </c>
      <c r="K6" s="313">
        <v>2239.130434782609</v>
      </c>
      <c r="L6" s="313">
        <v>978.26086956521738</v>
      </c>
      <c r="M6" s="313"/>
      <c r="N6" s="313"/>
      <c r="O6" s="314" t="s">
        <v>991</v>
      </c>
      <c r="P6" s="314" t="s">
        <v>991</v>
      </c>
      <c r="Q6" s="314" t="s">
        <v>991</v>
      </c>
      <c r="R6" s="314" t="s">
        <v>991</v>
      </c>
      <c r="S6" s="314" t="s">
        <v>1761</v>
      </c>
      <c r="T6" s="315">
        <v>1</v>
      </c>
      <c r="U6" s="315">
        <v>1</v>
      </c>
      <c r="Y6" s="137" t="s">
        <v>991</v>
      </c>
    </row>
    <row r="7" spans="1:25" x14ac:dyDescent="0.3">
      <c r="A7" s="280" t="s">
        <v>1400</v>
      </c>
      <c r="B7" s="305" t="str">
        <f t="shared" si="0"/>
        <v>BRW antracit</v>
      </c>
      <c r="C7" s="311">
        <f t="shared" si="1"/>
        <v>424.36</v>
      </c>
      <c r="D7" s="311">
        <f t="shared" si="2"/>
        <v>112.27</v>
      </c>
      <c r="E7" s="306">
        <v>424.36</v>
      </c>
      <c r="F7" s="306">
        <v>112.27</v>
      </c>
      <c r="G7" s="312">
        <v>11.554309250000001</v>
      </c>
      <c r="H7" s="312">
        <v>3.4277639423076924</v>
      </c>
      <c r="I7" s="312">
        <v>63.384615384615387</v>
      </c>
      <c r="J7" s="312">
        <v>16.76923076923077</v>
      </c>
      <c r="K7" s="313">
        <v>4478.2608695652179</v>
      </c>
      <c r="L7" s="313">
        <v>1184.7826086956522</v>
      </c>
      <c r="M7" s="313"/>
      <c r="N7" s="313"/>
      <c r="O7" s="314" t="s">
        <v>1400</v>
      </c>
      <c r="P7" s="314" t="s">
        <v>1400</v>
      </c>
      <c r="Q7" s="316" t="s">
        <v>1409</v>
      </c>
      <c r="R7" s="314" t="s">
        <v>1409</v>
      </c>
      <c r="S7" s="314" t="s">
        <v>1762</v>
      </c>
      <c r="T7" s="315">
        <v>1</v>
      </c>
      <c r="U7" s="315">
        <v>1</v>
      </c>
      <c r="Y7" s="137" t="s">
        <v>1400</v>
      </c>
    </row>
    <row r="8" spans="1:25" x14ac:dyDescent="0.3">
      <c r="A8" s="280" t="s">
        <v>1658</v>
      </c>
      <c r="B8" s="305" t="str">
        <f t="shared" si="0"/>
        <v>BRW bílá mat</v>
      </c>
      <c r="C8" s="311">
        <f t="shared" si="1"/>
        <v>424.36</v>
      </c>
      <c r="D8" s="311">
        <f t="shared" si="2"/>
        <v>112.27</v>
      </c>
      <c r="E8" s="306">
        <v>424.36</v>
      </c>
      <c r="F8" s="306">
        <v>112.27</v>
      </c>
      <c r="G8" s="312">
        <v>11.554309250000001</v>
      </c>
      <c r="H8" s="312">
        <v>3.4277639423076924</v>
      </c>
      <c r="I8" s="312">
        <v>63.384615384615387</v>
      </c>
      <c r="J8" s="312">
        <v>16.76923076923077</v>
      </c>
      <c r="K8" s="313">
        <v>4478.2608695652179</v>
      </c>
      <c r="L8" s="313">
        <v>1184.7826086956522</v>
      </c>
      <c r="M8" s="313"/>
      <c r="N8" s="313"/>
      <c r="O8" s="314" t="s">
        <v>1656</v>
      </c>
      <c r="P8" s="314" t="s">
        <v>1657</v>
      </c>
      <c r="Q8" s="316" t="s">
        <v>1658</v>
      </c>
      <c r="R8" s="314" t="s">
        <v>1659</v>
      </c>
      <c r="S8" s="314" t="s">
        <v>1763</v>
      </c>
      <c r="T8" s="315">
        <v>1</v>
      </c>
      <c r="U8" s="315">
        <v>1</v>
      </c>
      <c r="Y8" s="137" t="s">
        <v>1656</v>
      </c>
    </row>
    <row r="9" spans="1:25" x14ac:dyDescent="0.3">
      <c r="A9" s="280" t="s">
        <v>1662</v>
      </c>
      <c r="B9" s="305" t="str">
        <f t="shared" si="0"/>
        <v>BRW bílá lesk</v>
      </c>
      <c r="C9" s="311">
        <f t="shared" si="1"/>
        <v>424.36</v>
      </c>
      <c r="D9" s="311">
        <f t="shared" si="2"/>
        <v>112.27</v>
      </c>
      <c r="E9" s="306">
        <v>424.36</v>
      </c>
      <c r="F9" s="306">
        <v>112.27</v>
      </c>
      <c r="G9" s="312">
        <v>11.55</v>
      </c>
      <c r="H9" s="312">
        <v>3.43</v>
      </c>
      <c r="I9" s="312">
        <v>63.38</v>
      </c>
      <c r="J9" s="312">
        <v>16.77</v>
      </c>
      <c r="K9" s="313">
        <v>4478</v>
      </c>
      <c r="L9" s="313">
        <v>1185</v>
      </c>
      <c r="M9" s="313"/>
      <c r="N9" s="313"/>
      <c r="O9" s="314" t="s">
        <v>1660</v>
      </c>
      <c r="P9" s="314" t="s">
        <v>1661</v>
      </c>
      <c r="Q9" s="316" t="s">
        <v>1662</v>
      </c>
      <c r="R9" s="314" t="s">
        <v>1663</v>
      </c>
      <c r="S9" s="314" t="s">
        <v>1764</v>
      </c>
      <c r="T9" s="315">
        <v>1</v>
      </c>
      <c r="U9" s="315">
        <v>1</v>
      </c>
    </row>
    <row r="10" spans="1:25" x14ac:dyDescent="0.3">
      <c r="A10" s="280" t="s">
        <v>1401</v>
      </c>
      <c r="B10" s="305" t="str">
        <f t="shared" si="0"/>
        <v>BRW hnědá</v>
      </c>
      <c r="C10" s="311">
        <f t="shared" si="1"/>
        <v>340.93</v>
      </c>
      <c r="D10" s="311">
        <f t="shared" si="2"/>
        <v>112.27</v>
      </c>
      <c r="E10" s="306">
        <v>340.93</v>
      </c>
      <c r="F10" s="306">
        <v>112.27</v>
      </c>
      <c r="G10" s="312">
        <v>7.9469994153846164</v>
      </c>
      <c r="H10" s="312">
        <v>3.4277639423076924</v>
      </c>
      <c r="I10" s="312">
        <v>50.92307692307692</v>
      </c>
      <c r="J10" s="312">
        <v>16.76923076923077</v>
      </c>
      <c r="K10" s="313">
        <v>3597.826086956522</v>
      </c>
      <c r="L10" s="313">
        <v>1184.7826086956522</v>
      </c>
      <c r="M10" s="313"/>
      <c r="N10" s="313"/>
      <c r="O10" s="314" t="s">
        <v>1410</v>
      </c>
      <c r="P10" s="314" t="s">
        <v>1410</v>
      </c>
      <c r="Q10" s="316" t="s">
        <v>1401</v>
      </c>
      <c r="R10" s="314" t="s">
        <v>1411</v>
      </c>
      <c r="S10" s="314" t="s">
        <v>1765</v>
      </c>
      <c r="T10" s="315">
        <v>1</v>
      </c>
      <c r="U10" s="315">
        <v>1</v>
      </c>
      <c r="Y10" s="137" t="s">
        <v>1410</v>
      </c>
    </row>
    <row r="11" spans="1:25" x14ac:dyDescent="0.3">
      <c r="A11" s="280" t="s">
        <v>994</v>
      </c>
      <c r="B11" s="305" t="str">
        <f t="shared" si="0"/>
        <v>BRW broušené</v>
      </c>
      <c r="C11" s="311">
        <f t="shared" si="1"/>
        <v>391.40000000000003</v>
      </c>
      <c r="D11" s="311">
        <f t="shared" si="2"/>
        <v>112.27</v>
      </c>
      <c r="E11" s="306">
        <v>391.40000000000003</v>
      </c>
      <c r="F11" s="306">
        <v>112.27</v>
      </c>
      <c r="G11" s="312">
        <v>11.604608653846155</v>
      </c>
      <c r="H11" s="312">
        <v>3.4277639423076924</v>
      </c>
      <c r="I11" s="312">
        <v>58.46153846153846</v>
      </c>
      <c r="J11" s="312">
        <v>16.76923076923077</v>
      </c>
      <c r="K11" s="313">
        <v>4130.434782608696</v>
      </c>
      <c r="L11" s="313">
        <v>1184.7826086956522</v>
      </c>
      <c r="M11" s="313"/>
      <c r="N11" s="313"/>
      <c r="O11" s="317" t="s">
        <v>992</v>
      </c>
      <c r="P11" s="317" t="s">
        <v>993</v>
      </c>
      <c r="Q11" s="317" t="s">
        <v>994</v>
      </c>
      <c r="R11" s="317" t="s">
        <v>995</v>
      </c>
      <c r="S11" s="314" t="s">
        <v>1766</v>
      </c>
      <c r="T11" s="315">
        <v>1</v>
      </c>
      <c r="U11" s="315">
        <v>1</v>
      </c>
      <c r="Y11" s="137" t="s">
        <v>992</v>
      </c>
    </row>
    <row r="12" spans="1:25" x14ac:dyDescent="0.3">
      <c r="A12" s="280" t="s">
        <v>1674</v>
      </c>
      <c r="B12" s="305" t="str">
        <f t="shared" si="0"/>
        <v>BRW černá mat</v>
      </c>
      <c r="C12" s="311">
        <f t="shared" si="1"/>
        <v>340.93</v>
      </c>
      <c r="D12" s="311">
        <f t="shared" si="2"/>
        <v>112.27</v>
      </c>
      <c r="E12" s="306">
        <v>340.93</v>
      </c>
      <c r="F12" s="306">
        <v>112.27</v>
      </c>
      <c r="G12" s="312">
        <v>7.9469994153846164</v>
      </c>
      <c r="H12" s="312">
        <v>3.4277639423076924</v>
      </c>
      <c r="I12" s="312">
        <v>50.92307692307692</v>
      </c>
      <c r="J12" s="312">
        <v>16.76923076923077</v>
      </c>
      <c r="K12" s="313">
        <v>3597.826086956522</v>
      </c>
      <c r="L12" s="313">
        <v>1184.7826086956522</v>
      </c>
      <c r="M12" s="313"/>
      <c r="N12" s="313"/>
      <c r="O12" s="317" t="s">
        <v>1648</v>
      </c>
      <c r="P12" s="317" t="s">
        <v>1649</v>
      </c>
      <c r="Q12" s="317" t="s">
        <v>1650</v>
      </c>
      <c r="R12" s="317" t="s">
        <v>1651</v>
      </c>
      <c r="S12" s="314" t="s">
        <v>1767</v>
      </c>
      <c r="T12" s="315">
        <v>1</v>
      </c>
      <c r="U12" s="315">
        <v>1</v>
      </c>
      <c r="Y12" s="137" t="s">
        <v>1648</v>
      </c>
    </row>
    <row r="13" spans="1:25" x14ac:dyDescent="0.3">
      <c r="A13" s="280" t="s">
        <v>1675</v>
      </c>
      <c r="B13" s="305" t="str">
        <f t="shared" si="0"/>
        <v>BRW černá lesk</v>
      </c>
      <c r="C13" s="311">
        <f t="shared" si="1"/>
        <v>496.46000000000004</v>
      </c>
      <c r="D13" s="311">
        <f t="shared" si="2"/>
        <v>112.27</v>
      </c>
      <c r="E13" s="306">
        <v>496.46000000000004</v>
      </c>
      <c r="F13" s="306">
        <v>112.27</v>
      </c>
      <c r="G13" s="312">
        <v>11.58</v>
      </c>
      <c r="H13" s="312">
        <v>3.43</v>
      </c>
      <c r="I13" s="312">
        <v>74.150000000000006</v>
      </c>
      <c r="J13" s="312">
        <v>16.77</v>
      </c>
      <c r="K13" s="313">
        <v>5239</v>
      </c>
      <c r="L13" s="313">
        <v>1185</v>
      </c>
      <c r="M13" s="313"/>
      <c r="N13" s="313"/>
      <c r="O13" s="317" t="s">
        <v>1652</v>
      </c>
      <c r="P13" s="317" t="s">
        <v>1653</v>
      </c>
      <c r="Q13" s="317" t="s">
        <v>1654</v>
      </c>
      <c r="R13" s="317" t="s">
        <v>1655</v>
      </c>
      <c r="S13" s="314" t="s">
        <v>1768</v>
      </c>
      <c r="T13" s="315">
        <v>1</v>
      </c>
      <c r="U13" s="315">
        <v>1</v>
      </c>
    </row>
    <row r="14" spans="1:25" x14ac:dyDescent="0.3">
      <c r="A14" s="280" t="s">
        <v>998</v>
      </c>
      <c r="B14" s="305" t="str">
        <f t="shared" si="0"/>
        <v>BRW černá broušená</v>
      </c>
      <c r="C14" s="311">
        <f t="shared" si="1"/>
        <v>355.35</v>
      </c>
      <c r="D14" s="311">
        <f t="shared" si="2"/>
        <v>112.27</v>
      </c>
      <c r="E14" s="306">
        <v>355.35</v>
      </c>
      <c r="F14" s="306">
        <v>112.27</v>
      </c>
      <c r="G14" s="312">
        <v>7.9741662000000018</v>
      </c>
      <c r="H14" s="312">
        <v>3.4277639423076924</v>
      </c>
      <c r="I14" s="312">
        <v>53.07692307692308</v>
      </c>
      <c r="J14" s="312">
        <v>16.76923076923077</v>
      </c>
      <c r="K14" s="313">
        <v>3750</v>
      </c>
      <c r="L14" s="313">
        <v>1184.7826086956522</v>
      </c>
      <c r="M14" s="313"/>
      <c r="N14" s="313"/>
      <c r="O14" s="317" t="s">
        <v>996</v>
      </c>
      <c r="P14" s="317" t="s">
        <v>997</v>
      </c>
      <c r="Q14" s="317" t="s">
        <v>998</v>
      </c>
      <c r="R14" s="317" t="s">
        <v>999</v>
      </c>
      <c r="S14" s="314" t="s">
        <v>1769</v>
      </c>
      <c r="T14" s="315">
        <v>1</v>
      </c>
      <c r="U14" s="315">
        <v>1</v>
      </c>
      <c r="Y14" s="137" t="s">
        <v>996</v>
      </c>
    </row>
    <row r="15" spans="1:25" x14ac:dyDescent="0.3">
      <c r="A15" s="280" t="s">
        <v>1402</v>
      </c>
      <c r="B15" s="305" t="str">
        <f t="shared" si="0"/>
        <v>BRW světlá nerez (ACIER GRATA)</v>
      </c>
      <c r="C15" s="311">
        <f t="shared" si="1"/>
        <v>352.26</v>
      </c>
      <c r="D15" s="311">
        <f t="shared" si="2"/>
        <v>112.27</v>
      </c>
      <c r="E15" s="306">
        <v>352.26</v>
      </c>
      <c r="F15" s="306">
        <v>112.27</v>
      </c>
      <c r="G15" s="312">
        <v>8.147737442307692</v>
      </c>
      <c r="H15" s="312">
        <v>3.4277639423076924</v>
      </c>
      <c r="I15" s="312">
        <v>52.615384615384613</v>
      </c>
      <c r="J15" s="312">
        <v>16.76923076923077</v>
      </c>
      <c r="K15" s="313">
        <v>3717.3913043478265</v>
      </c>
      <c r="L15" s="313">
        <v>1184.7826086956522</v>
      </c>
      <c r="M15" s="313"/>
      <c r="N15" s="313"/>
      <c r="O15" s="317" t="s">
        <v>1412</v>
      </c>
      <c r="P15" s="317" t="s">
        <v>1413</v>
      </c>
      <c r="Q15" s="317" t="s">
        <v>1414</v>
      </c>
      <c r="R15" s="317" t="s">
        <v>1415</v>
      </c>
      <c r="S15" s="314" t="s">
        <v>1770</v>
      </c>
      <c r="T15" s="315">
        <v>1</v>
      </c>
      <c r="U15" s="315">
        <v>1</v>
      </c>
      <c r="Y15" s="137" t="s">
        <v>1412</v>
      </c>
    </row>
    <row r="16" spans="1:25" x14ac:dyDescent="0.3">
      <c r="A16" s="280" t="s">
        <v>416</v>
      </c>
      <c r="B16" s="305" t="str">
        <f t="shared" si="0"/>
        <v>BRW champagne</v>
      </c>
      <c r="C16" s="311">
        <f t="shared" si="1"/>
        <v>340.93</v>
      </c>
      <c r="D16" s="311">
        <f t="shared" si="2"/>
        <v>112.27</v>
      </c>
      <c r="E16" s="306">
        <v>340.93</v>
      </c>
      <c r="F16" s="306">
        <v>112.27</v>
      </c>
      <c r="G16" s="312">
        <v>7.9472036769230776</v>
      </c>
      <c r="H16" s="312">
        <v>3.4277639423076924</v>
      </c>
      <c r="I16" s="312">
        <v>50.92307692307692</v>
      </c>
      <c r="J16" s="312">
        <v>16.76923076923077</v>
      </c>
      <c r="K16" s="313">
        <v>3597.826086956522</v>
      </c>
      <c r="L16" s="313">
        <v>1184.7826086956522</v>
      </c>
      <c r="M16" s="313"/>
      <c r="N16" s="313"/>
      <c r="O16" s="317" t="s">
        <v>42</v>
      </c>
      <c r="P16" s="317" t="s">
        <v>42</v>
      </c>
      <c r="Q16" s="317" t="s">
        <v>416</v>
      </c>
      <c r="R16" s="317" t="s">
        <v>624</v>
      </c>
      <c r="S16" s="314" t="s">
        <v>42</v>
      </c>
      <c r="T16" s="315">
        <v>1</v>
      </c>
      <c r="U16" s="315">
        <v>1</v>
      </c>
      <c r="Y16" s="137" t="s">
        <v>42</v>
      </c>
    </row>
    <row r="17" spans="1:25" x14ac:dyDescent="0.3">
      <c r="A17" s="280" t="s">
        <v>1403</v>
      </c>
      <c r="B17" s="305" t="str">
        <f t="shared" si="0"/>
        <v>BRW tmavá nerez br. (Inox lija)</v>
      </c>
      <c r="C17" s="311">
        <f t="shared" si="1"/>
        <v>352.26</v>
      </c>
      <c r="D17" s="311">
        <f t="shared" si="2"/>
        <v>112.27</v>
      </c>
      <c r="E17" s="306">
        <v>352.26</v>
      </c>
      <c r="F17" s="306">
        <v>112.27</v>
      </c>
      <c r="G17" s="312">
        <v>8.147737442307692</v>
      </c>
      <c r="H17" s="312">
        <v>3.4277639423076924</v>
      </c>
      <c r="I17" s="312">
        <v>52.615384615384613</v>
      </c>
      <c r="J17" s="312">
        <v>16.76923076923077</v>
      </c>
      <c r="K17" s="313">
        <v>3717.3913043478265</v>
      </c>
      <c r="L17" s="313">
        <v>1184.7826086956522</v>
      </c>
      <c r="M17" s="313"/>
      <c r="N17" s="313"/>
      <c r="O17" s="317" t="s">
        <v>1416</v>
      </c>
      <c r="P17" s="317" t="s">
        <v>1417</v>
      </c>
      <c r="Q17" s="318" t="s">
        <v>417</v>
      </c>
      <c r="R17" s="317" t="s">
        <v>625</v>
      </c>
      <c r="S17" s="314" t="s">
        <v>1771</v>
      </c>
      <c r="T17" s="315">
        <v>1</v>
      </c>
      <c r="U17" s="315">
        <v>1</v>
      </c>
      <c r="Y17" s="137" t="s">
        <v>1416</v>
      </c>
    </row>
    <row r="18" spans="1:25" x14ac:dyDescent="0.3">
      <c r="A18" s="280" t="s">
        <v>1000</v>
      </c>
      <c r="B18" s="305" t="str">
        <f t="shared" si="0"/>
        <v>Corleone (elox.)</v>
      </c>
      <c r="C18" s="311">
        <f t="shared" si="1"/>
        <v>391.40000000000003</v>
      </c>
      <c r="D18" s="311">
        <f t="shared" si="2"/>
        <v>161.71</v>
      </c>
      <c r="E18" s="306">
        <v>391.40000000000003</v>
      </c>
      <c r="F18" s="306">
        <v>161.71</v>
      </c>
      <c r="G18" s="312">
        <v>9.7074274846153852</v>
      </c>
      <c r="H18" s="312">
        <v>5.0516431730769238</v>
      </c>
      <c r="I18" s="312">
        <v>58.46153846153846</v>
      </c>
      <c r="J18" s="312">
        <v>24.153846153846153</v>
      </c>
      <c r="K18" s="313">
        <v>4130.434782608696</v>
      </c>
      <c r="L18" s="313">
        <v>1706.5217391304348</v>
      </c>
      <c r="M18" s="313"/>
      <c r="N18" s="313"/>
      <c r="O18" s="317" t="s">
        <v>1000</v>
      </c>
      <c r="P18" s="317" t="s">
        <v>1000</v>
      </c>
      <c r="Q18" s="318" t="s">
        <v>1000</v>
      </c>
      <c r="R18" s="317" t="s">
        <v>1000</v>
      </c>
      <c r="S18" s="314" t="s">
        <v>1772</v>
      </c>
      <c r="T18" s="315">
        <v>2</v>
      </c>
      <c r="U18" s="315">
        <v>1</v>
      </c>
      <c r="Y18" s="137" t="s">
        <v>1000</v>
      </c>
    </row>
    <row r="19" spans="1:25" x14ac:dyDescent="0.3">
      <c r="A19" s="280" t="s">
        <v>711</v>
      </c>
      <c r="B19" s="305" t="str">
        <f t="shared" si="0"/>
        <v>Corleone černé mat</v>
      </c>
      <c r="C19" s="311">
        <f t="shared" si="1"/>
        <v>504.7</v>
      </c>
      <c r="D19" s="311">
        <f t="shared" si="2"/>
        <v>161.71</v>
      </c>
      <c r="E19" s="306">
        <v>504.7</v>
      </c>
      <c r="F19" s="306">
        <v>161.71</v>
      </c>
      <c r="G19" s="312">
        <v>13.220011030769232</v>
      </c>
      <c r="H19" s="312">
        <v>5.0516431730769238</v>
      </c>
      <c r="I19" s="312">
        <v>75.384615384615387</v>
      </c>
      <c r="J19" s="312">
        <v>24.153846153846153</v>
      </c>
      <c r="K19" s="313">
        <v>5326.0869565217399</v>
      </c>
      <c r="L19" s="313">
        <v>1706.5217391304348</v>
      </c>
      <c r="M19" s="313"/>
      <c r="N19" s="313"/>
      <c r="O19" s="317" t="s">
        <v>1682</v>
      </c>
      <c r="P19" s="317" t="s">
        <v>1683</v>
      </c>
      <c r="Q19" s="318" t="s">
        <v>1684</v>
      </c>
      <c r="R19" s="317" t="s">
        <v>1685</v>
      </c>
      <c r="S19" s="314" t="s">
        <v>1773</v>
      </c>
      <c r="T19" s="315">
        <v>2</v>
      </c>
      <c r="U19" s="315">
        <v>1</v>
      </c>
      <c r="Y19" s="137" t="s">
        <v>1682</v>
      </c>
    </row>
    <row r="20" spans="1:25" x14ac:dyDescent="0.3">
      <c r="A20" s="280" t="s">
        <v>1002</v>
      </c>
      <c r="B20" s="305" t="str">
        <f t="shared" si="0"/>
        <v>Corleone champagne</v>
      </c>
      <c r="C20" s="311">
        <f t="shared" si="1"/>
        <v>504.7</v>
      </c>
      <c r="D20" s="311">
        <f t="shared" si="2"/>
        <v>161.71</v>
      </c>
      <c r="E20" s="306">
        <v>504.7</v>
      </c>
      <c r="F20" s="306">
        <v>161.71</v>
      </c>
      <c r="G20" s="312">
        <v>13.044141846153849</v>
      </c>
      <c r="H20" s="312">
        <v>5.0516431730769238</v>
      </c>
      <c r="I20" s="312">
        <v>75.384615384615387</v>
      </c>
      <c r="J20" s="312">
        <v>24.153846153846153</v>
      </c>
      <c r="K20" s="313">
        <v>5326.0869565217399</v>
      </c>
      <c r="L20" s="313">
        <v>1706.5217391304348</v>
      </c>
      <c r="M20" s="313"/>
      <c r="N20" s="313"/>
      <c r="O20" s="317" t="s">
        <v>1001</v>
      </c>
      <c r="P20" s="317" t="s">
        <v>1001</v>
      </c>
      <c r="Q20" s="318" t="s">
        <v>1002</v>
      </c>
      <c r="R20" s="317" t="s">
        <v>1003</v>
      </c>
      <c r="S20" s="314" t="s">
        <v>1001</v>
      </c>
      <c r="T20" s="315">
        <v>2</v>
      </c>
      <c r="U20" s="315">
        <v>1</v>
      </c>
      <c r="Y20" s="137" t="s">
        <v>1001</v>
      </c>
    </row>
    <row r="21" spans="1:25" x14ac:dyDescent="0.3">
      <c r="A21" s="280" t="s">
        <v>1004</v>
      </c>
      <c r="B21" s="305" t="str">
        <f t="shared" si="0"/>
        <v>Imola (elox.)</v>
      </c>
      <c r="C21" s="311">
        <f t="shared" si="1"/>
        <v>385.22</v>
      </c>
      <c r="D21" s="311">
        <f t="shared" si="2"/>
        <v>156.56</v>
      </c>
      <c r="E21" s="306">
        <v>385.22</v>
      </c>
      <c r="F21" s="306">
        <v>156.56</v>
      </c>
      <c r="G21" s="312">
        <v>9.5899260346153845</v>
      </c>
      <c r="H21" s="312">
        <v>5.0516431730769238</v>
      </c>
      <c r="I21" s="312">
        <v>57.53846153846154</v>
      </c>
      <c r="J21" s="312">
        <v>23.384615384615383</v>
      </c>
      <c r="K21" s="313">
        <v>4065.2173913043484</v>
      </c>
      <c r="L21" s="313">
        <v>1652.1739130434785</v>
      </c>
      <c r="M21" s="313"/>
      <c r="N21" s="313"/>
      <c r="O21" s="317" t="s">
        <v>1004</v>
      </c>
      <c r="P21" s="317" t="s">
        <v>1004</v>
      </c>
      <c r="Q21" s="318" t="s">
        <v>1004</v>
      </c>
      <c r="R21" s="317" t="s">
        <v>1004</v>
      </c>
      <c r="S21" s="314" t="s">
        <v>1774</v>
      </c>
      <c r="T21" s="315">
        <v>2</v>
      </c>
      <c r="U21" s="315">
        <v>2</v>
      </c>
      <c r="Y21" s="137" t="s">
        <v>1004</v>
      </c>
    </row>
    <row r="22" spans="1:25" x14ac:dyDescent="0.3">
      <c r="A22" s="280" t="s">
        <v>1630</v>
      </c>
      <c r="B22" s="305" t="str">
        <f t="shared" si="0"/>
        <v>Imola černá mat</v>
      </c>
      <c r="C22" s="311">
        <f t="shared" si="1"/>
        <v>504.7</v>
      </c>
      <c r="D22" s="311">
        <f t="shared" si="2"/>
        <v>161.71</v>
      </c>
      <c r="E22" s="306">
        <v>504.7</v>
      </c>
      <c r="F22" s="306">
        <v>161.71</v>
      </c>
      <c r="G22" s="312">
        <v>12.9</v>
      </c>
      <c r="H22" s="312">
        <v>5.0516431730769238</v>
      </c>
      <c r="I22" s="312">
        <v>75.384615384615387</v>
      </c>
      <c r="J22" s="312">
        <v>24.153846153846153</v>
      </c>
      <c r="K22" s="313">
        <v>5326.0869565217399</v>
      </c>
      <c r="L22" s="313">
        <v>1706.5217391304348</v>
      </c>
      <c r="M22" s="313"/>
      <c r="N22" s="313"/>
      <c r="O22" s="317" t="s">
        <v>1628</v>
      </c>
      <c r="P22" s="317" t="s">
        <v>1629</v>
      </c>
      <c r="Q22" s="318" t="s">
        <v>1630</v>
      </c>
      <c r="R22" s="317" t="s">
        <v>1631</v>
      </c>
      <c r="S22" s="314" t="s">
        <v>1775</v>
      </c>
      <c r="T22" s="315">
        <v>2</v>
      </c>
      <c r="U22" s="315">
        <v>2</v>
      </c>
      <c r="Y22" s="137" t="s">
        <v>1628</v>
      </c>
    </row>
    <row r="23" spans="1:25" x14ac:dyDescent="0.3">
      <c r="A23" s="280" t="s">
        <v>1681</v>
      </c>
      <c r="B23" s="305" t="str">
        <f t="shared" si="0"/>
        <v>Imola bílá mat</v>
      </c>
      <c r="C23" s="311">
        <f t="shared" si="1"/>
        <v>780.74</v>
      </c>
      <c r="D23" s="311">
        <f t="shared" si="2"/>
        <v>161.71</v>
      </c>
      <c r="E23" s="306">
        <v>780.74</v>
      </c>
      <c r="F23" s="306">
        <v>161.71</v>
      </c>
      <c r="G23" s="312">
        <v>19.96</v>
      </c>
      <c r="H23" s="312">
        <v>5.05</v>
      </c>
      <c r="I23" s="312">
        <v>116.62</v>
      </c>
      <c r="J23" s="312">
        <v>24.15</v>
      </c>
      <c r="K23" s="313">
        <v>8239</v>
      </c>
      <c r="L23" s="313">
        <v>1707</v>
      </c>
      <c r="M23" s="313"/>
      <c r="N23" s="313"/>
      <c r="O23" s="314" t="s">
        <v>1677</v>
      </c>
      <c r="P23" s="314" t="s">
        <v>1678</v>
      </c>
      <c r="Q23" s="316" t="s">
        <v>1679</v>
      </c>
      <c r="R23" s="314" t="s">
        <v>1680</v>
      </c>
      <c r="S23" s="314" t="s">
        <v>1776</v>
      </c>
      <c r="T23" s="315">
        <v>2</v>
      </c>
      <c r="U23" s="315">
        <v>2</v>
      </c>
    </row>
    <row r="24" spans="1:25" x14ac:dyDescent="0.3">
      <c r="A24" s="280" t="s">
        <v>1005</v>
      </c>
      <c r="B24" s="305" t="str">
        <f t="shared" si="0"/>
        <v>Modena (elox.)</v>
      </c>
      <c r="C24" s="311">
        <f t="shared" si="1"/>
        <v>346.08</v>
      </c>
      <c r="D24" s="311">
        <f t="shared" si="2"/>
        <v>150.38</v>
      </c>
      <c r="E24" s="306">
        <v>346.08</v>
      </c>
      <c r="F24" s="306">
        <v>150.38</v>
      </c>
      <c r="G24" s="312">
        <v>9.3020704615384631</v>
      </c>
      <c r="H24" s="312">
        <v>5.0516431730769238</v>
      </c>
      <c r="I24" s="312">
        <v>51.692307692307693</v>
      </c>
      <c r="J24" s="312">
        <v>22.46153846153846</v>
      </c>
      <c r="K24" s="313">
        <v>3652.1739130434789</v>
      </c>
      <c r="L24" s="313">
        <v>1586.9565217391307</v>
      </c>
      <c r="M24" s="313"/>
      <c r="N24" s="313"/>
      <c r="O24" s="317" t="s">
        <v>1005</v>
      </c>
      <c r="P24" s="317" t="s">
        <v>1005</v>
      </c>
      <c r="Q24" s="318" t="s">
        <v>1005</v>
      </c>
      <c r="R24" s="317" t="s">
        <v>1005</v>
      </c>
      <c r="S24" s="314" t="s">
        <v>1777</v>
      </c>
      <c r="T24" s="315">
        <v>2</v>
      </c>
      <c r="U24" s="315">
        <v>1</v>
      </c>
      <c r="Y24" s="137" t="s">
        <v>1005</v>
      </c>
    </row>
    <row r="25" spans="1:25" x14ac:dyDescent="0.3">
      <c r="A25" s="280" t="s">
        <v>1672</v>
      </c>
      <c r="B25" s="305" t="str">
        <f t="shared" si="0"/>
        <v>Modena černá mat</v>
      </c>
      <c r="C25" s="311">
        <f t="shared" si="1"/>
        <v>402.73</v>
      </c>
      <c r="D25" s="311">
        <f t="shared" si="2"/>
        <v>150.38</v>
      </c>
      <c r="E25" s="306">
        <v>402.73</v>
      </c>
      <c r="F25" s="306">
        <v>150.38</v>
      </c>
      <c r="G25" s="312">
        <v>11.755660061538462</v>
      </c>
      <c r="H25" s="312">
        <v>5.0516431730769238</v>
      </c>
      <c r="I25" s="312">
        <v>60.153846153846153</v>
      </c>
      <c r="J25" s="312">
        <v>22.46153846153846</v>
      </c>
      <c r="K25" s="313">
        <v>4250</v>
      </c>
      <c r="L25" s="313">
        <v>1586.9565217391307</v>
      </c>
      <c r="M25" s="313"/>
      <c r="N25" s="313"/>
      <c r="O25" s="317" t="s">
        <v>1640</v>
      </c>
      <c r="P25" s="317" t="s">
        <v>1641</v>
      </c>
      <c r="Q25" s="317" t="s">
        <v>1642</v>
      </c>
      <c r="R25" s="317" t="s">
        <v>1643</v>
      </c>
      <c r="S25" s="314" t="s">
        <v>1778</v>
      </c>
      <c r="T25" s="315">
        <v>2</v>
      </c>
      <c r="U25" s="315">
        <v>1</v>
      </c>
      <c r="Y25" s="137" t="s">
        <v>1640</v>
      </c>
    </row>
    <row r="26" spans="1:25" x14ac:dyDescent="0.3">
      <c r="A26" s="280" t="s">
        <v>1673</v>
      </c>
      <c r="B26" s="305" t="str">
        <f t="shared" si="0"/>
        <v>Modena černá lesk</v>
      </c>
      <c r="C26" s="311">
        <f t="shared" si="1"/>
        <v>709.67000000000007</v>
      </c>
      <c r="D26" s="311">
        <f t="shared" si="2"/>
        <v>161.71</v>
      </c>
      <c r="E26" s="306">
        <v>709.67000000000007</v>
      </c>
      <c r="F26" s="306">
        <v>161.71</v>
      </c>
      <c r="G26" s="312">
        <v>20.72</v>
      </c>
      <c r="H26" s="312">
        <v>5.43</v>
      </c>
      <c r="I26" s="312">
        <v>106</v>
      </c>
      <c r="J26" s="312">
        <v>24.15</v>
      </c>
      <c r="K26" s="313">
        <v>7489.13</v>
      </c>
      <c r="L26" s="313">
        <v>1706.57</v>
      </c>
      <c r="M26" s="313"/>
      <c r="N26" s="313"/>
      <c r="O26" s="317" t="s">
        <v>1644</v>
      </c>
      <c r="P26" s="317" t="s">
        <v>1645</v>
      </c>
      <c r="Q26" s="317" t="s">
        <v>1646</v>
      </c>
      <c r="R26" s="317" t="s">
        <v>1647</v>
      </c>
      <c r="S26" s="314" t="s">
        <v>1779</v>
      </c>
      <c r="T26" s="315">
        <v>2</v>
      </c>
      <c r="U26" s="315">
        <v>1</v>
      </c>
    </row>
    <row r="27" spans="1:25" x14ac:dyDescent="0.3">
      <c r="A27" s="280" t="s">
        <v>690</v>
      </c>
      <c r="B27" s="305" t="str">
        <f t="shared" si="0"/>
        <v>Modena černá broušená</v>
      </c>
      <c r="C27" s="311">
        <f t="shared" si="1"/>
        <v>504.7</v>
      </c>
      <c r="D27" s="311">
        <f t="shared" si="2"/>
        <v>150.38</v>
      </c>
      <c r="E27" s="306">
        <v>504.7</v>
      </c>
      <c r="F27" s="306">
        <v>150.38</v>
      </c>
      <c r="G27" s="312">
        <v>11.635247884615385</v>
      </c>
      <c r="H27" s="312">
        <v>5.0516431730769238</v>
      </c>
      <c r="I27" s="312">
        <v>75.384615384615387</v>
      </c>
      <c r="J27" s="312">
        <v>22.46153846153846</v>
      </c>
      <c r="K27" s="313">
        <v>5326.0869565217399</v>
      </c>
      <c r="L27" s="313">
        <v>1586.9565217391307</v>
      </c>
      <c r="M27" s="313"/>
      <c r="N27" s="313"/>
      <c r="O27" s="314" t="s">
        <v>688</v>
      </c>
      <c r="P27" s="314" t="s">
        <v>689</v>
      </c>
      <c r="Q27" s="316" t="s">
        <v>690</v>
      </c>
      <c r="R27" s="314" t="s">
        <v>691</v>
      </c>
      <c r="S27" s="314" t="s">
        <v>1780</v>
      </c>
      <c r="T27" s="315">
        <v>2</v>
      </c>
      <c r="U27" s="315">
        <v>1</v>
      </c>
      <c r="Y27" s="137" t="s">
        <v>688</v>
      </c>
    </row>
    <row r="28" spans="1:25" x14ac:dyDescent="0.3">
      <c r="A28" s="280" t="s">
        <v>1404</v>
      </c>
      <c r="B28" s="305" t="str">
        <f t="shared" si="0"/>
        <v>Modena tmavá nerez br. (inox lija)</v>
      </c>
      <c r="C28" s="311">
        <f t="shared" si="1"/>
        <v>508.82</v>
      </c>
      <c r="D28" s="311">
        <f t="shared" si="2"/>
        <v>150.38</v>
      </c>
      <c r="E28" s="306">
        <v>508.82</v>
      </c>
      <c r="F28" s="306">
        <v>150.38</v>
      </c>
      <c r="G28" s="312">
        <v>11.635247884615385</v>
      </c>
      <c r="H28" s="312">
        <v>5.0516431730769238</v>
      </c>
      <c r="I28" s="312">
        <v>76</v>
      </c>
      <c r="J28" s="312">
        <v>22.46153846153846</v>
      </c>
      <c r="K28" s="313">
        <v>5369.5652173913049</v>
      </c>
      <c r="L28" s="313">
        <v>1586.9565217391307</v>
      </c>
      <c r="M28" s="313"/>
      <c r="N28" s="313"/>
      <c r="O28" s="314" t="s">
        <v>1418</v>
      </c>
      <c r="P28" s="314" t="s">
        <v>1419</v>
      </c>
      <c r="Q28" s="316" t="s">
        <v>686</v>
      </c>
      <c r="R28" s="314" t="s">
        <v>687</v>
      </c>
      <c r="S28" s="314" t="s">
        <v>1781</v>
      </c>
      <c r="T28" s="315">
        <v>2</v>
      </c>
      <c r="U28" s="315">
        <v>1</v>
      </c>
      <c r="Y28" s="137" t="s">
        <v>1418</v>
      </c>
    </row>
    <row r="29" spans="1:25" x14ac:dyDescent="0.3">
      <c r="A29" s="280" t="s">
        <v>1006</v>
      </c>
      <c r="B29" s="305" t="str">
        <f t="shared" si="0"/>
        <v>Palio (elox.)</v>
      </c>
      <c r="C29" s="311">
        <f t="shared" si="1"/>
        <v>380.07</v>
      </c>
      <c r="D29" s="311">
        <f t="shared" si="2"/>
        <v>145.22999999999999</v>
      </c>
      <c r="E29" s="306">
        <v>380.07</v>
      </c>
      <c r="F29" s="306">
        <v>145.22999999999999</v>
      </c>
      <c r="G29" s="312">
        <v>10.319548250000002</v>
      </c>
      <c r="H29" s="312">
        <v>4.6456733653846154</v>
      </c>
      <c r="I29" s="312">
        <v>56.769230769230766</v>
      </c>
      <c r="J29" s="312">
        <v>21.692307692307693</v>
      </c>
      <c r="K29" s="313">
        <v>4010.8695652173915</v>
      </c>
      <c r="L29" s="313">
        <v>1532.608695652174</v>
      </c>
      <c r="M29" s="313"/>
      <c r="N29" s="313"/>
      <c r="O29" s="317" t="s">
        <v>1006</v>
      </c>
      <c r="P29" s="314" t="s">
        <v>1006</v>
      </c>
      <c r="Q29" s="318" t="s">
        <v>1006</v>
      </c>
      <c r="R29" s="314" t="s">
        <v>1006</v>
      </c>
      <c r="S29" s="314" t="s">
        <v>1782</v>
      </c>
      <c r="T29" s="315">
        <v>2</v>
      </c>
      <c r="U29" s="315">
        <v>1</v>
      </c>
      <c r="Y29" s="137" t="s">
        <v>1006</v>
      </c>
    </row>
    <row r="30" spans="1:25" x14ac:dyDescent="0.3">
      <c r="A30" s="280" t="s">
        <v>1007</v>
      </c>
      <c r="B30" s="305" t="str">
        <f t="shared" si="0"/>
        <v>Pisa (elox.)</v>
      </c>
      <c r="C30" s="311">
        <f t="shared" si="1"/>
        <v>370.8</v>
      </c>
      <c r="D30" s="311">
        <f t="shared" si="2"/>
        <v>161.71</v>
      </c>
      <c r="E30" s="306">
        <v>370.8</v>
      </c>
      <c r="F30" s="306">
        <v>161.71</v>
      </c>
      <c r="G30" s="312">
        <v>9.3470080000000024</v>
      </c>
      <c r="H30" s="312">
        <v>5.1473907692307694</v>
      </c>
      <c r="I30" s="312">
        <v>55.384615384615387</v>
      </c>
      <c r="J30" s="312">
        <v>24.153846153846153</v>
      </c>
      <c r="K30" s="313">
        <v>3913.0434782608695</v>
      </c>
      <c r="L30" s="313">
        <v>1706.5217391304348</v>
      </c>
      <c r="M30" s="313"/>
      <c r="N30" s="313"/>
      <c r="O30" s="317" t="s">
        <v>1007</v>
      </c>
      <c r="P30" s="314" t="s">
        <v>1007</v>
      </c>
      <c r="Q30" s="318" t="s">
        <v>1007</v>
      </c>
      <c r="R30" s="314" t="s">
        <v>1007</v>
      </c>
      <c r="S30" s="314" t="s">
        <v>1783</v>
      </c>
      <c r="T30" s="315">
        <v>2</v>
      </c>
      <c r="U30" s="315">
        <v>2</v>
      </c>
      <c r="Y30" s="137" t="s">
        <v>1007</v>
      </c>
    </row>
    <row r="31" spans="1:25" x14ac:dyDescent="0.3">
      <c r="A31" s="280" t="s">
        <v>1634</v>
      </c>
      <c r="B31" s="305" t="str">
        <f t="shared" si="0"/>
        <v>Pisa černá mat</v>
      </c>
      <c r="C31" s="311">
        <f t="shared" si="1"/>
        <v>469.68</v>
      </c>
      <c r="D31" s="311">
        <f t="shared" si="2"/>
        <v>161.71</v>
      </c>
      <c r="E31" s="306">
        <v>469.68</v>
      </c>
      <c r="F31" s="306">
        <v>161.71</v>
      </c>
      <c r="G31" s="312">
        <v>11.650720696153847</v>
      </c>
      <c r="H31" s="312">
        <v>5.1473907692307694</v>
      </c>
      <c r="I31" s="312">
        <v>70.15384615384616</v>
      </c>
      <c r="J31" s="312">
        <v>24.153846153846153</v>
      </c>
      <c r="K31" s="313">
        <v>4956.521739130435</v>
      </c>
      <c r="L31" s="313">
        <v>1706.5217391304348</v>
      </c>
      <c r="M31" s="313"/>
      <c r="N31" s="313"/>
      <c r="O31" s="317" t="s">
        <v>1632</v>
      </c>
      <c r="P31" s="317" t="s">
        <v>1633</v>
      </c>
      <c r="Q31" s="317" t="s">
        <v>1634</v>
      </c>
      <c r="R31" s="317" t="s">
        <v>1635</v>
      </c>
      <c r="S31" s="314" t="s">
        <v>1784</v>
      </c>
      <c r="T31" s="315">
        <v>2</v>
      </c>
      <c r="U31" s="315">
        <v>2</v>
      </c>
      <c r="Y31" s="137" t="s">
        <v>1632</v>
      </c>
    </row>
    <row r="32" spans="1:25" x14ac:dyDescent="0.3">
      <c r="A32" s="280" t="s">
        <v>1676</v>
      </c>
      <c r="B32" s="305" t="str">
        <f t="shared" si="0"/>
        <v>Pisa černá lesk</v>
      </c>
      <c r="C32" s="311">
        <f t="shared" si="1"/>
        <v>709.67000000000007</v>
      </c>
      <c r="D32" s="311">
        <f t="shared" si="2"/>
        <v>161.71</v>
      </c>
      <c r="E32" s="306">
        <v>709.67000000000007</v>
      </c>
      <c r="F32" s="306">
        <v>161.71</v>
      </c>
      <c r="G32" s="312">
        <v>20.72</v>
      </c>
      <c r="H32" s="312">
        <v>5.15</v>
      </c>
      <c r="I32" s="312">
        <v>106</v>
      </c>
      <c r="J32" s="312">
        <v>24.15</v>
      </c>
      <c r="K32" s="313">
        <v>7489</v>
      </c>
      <c r="L32" s="313">
        <v>1707</v>
      </c>
      <c r="M32" s="313"/>
      <c r="N32" s="313"/>
      <c r="O32" s="317" t="s">
        <v>1636</v>
      </c>
      <c r="P32" s="317" t="s">
        <v>1637</v>
      </c>
      <c r="Q32" s="317" t="s">
        <v>1638</v>
      </c>
      <c r="R32" s="317" t="s">
        <v>1639</v>
      </c>
      <c r="S32" s="314" t="s">
        <v>1785</v>
      </c>
      <c r="T32" s="315">
        <v>2</v>
      </c>
      <c r="U32" s="315">
        <v>2</v>
      </c>
    </row>
    <row r="33" spans="1:25" x14ac:dyDescent="0.3">
      <c r="A33" s="280" t="s">
        <v>1008</v>
      </c>
      <c r="B33" s="305" t="str">
        <f t="shared" si="0"/>
        <v>Ravena (elox.)</v>
      </c>
      <c r="C33" s="311">
        <f t="shared" si="1"/>
        <v>278.10000000000002</v>
      </c>
      <c r="D33" s="311">
        <f t="shared" si="2"/>
        <v>112.27</v>
      </c>
      <c r="E33" s="306">
        <v>278.10000000000002</v>
      </c>
      <c r="F33" s="306">
        <v>112.27</v>
      </c>
      <c r="G33" s="312">
        <v>8.5713248076923083</v>
      </c>
      <c r="H33" s="312">
        <v>3.4277639423076924</v>
      </c>
      <c r="I33" s="312">
        <v>41.53846153846154</v>
      </c>
      <c r="J33" s="312">
        <v>16.76923076923077</v>
      </c>
      <c r="K33" s="313">
        <v>2934.7826086956525</v>
      </c>
      <c r="L33" s="313">
        <v>1184.7826086956522</v>
      </c>
      <c r="M33" s="313"/>
      <c r="N33" s="313"/>
      <c r="O33" s="317" t="s">
        <v>1420</v>
      </c>
      <c r="P33" s="317" t="s">
        <v>1008</v>
      </c>
      <c r="Q33" s="317" t="s">
        <v>1008</v>
      </c>
      <c r="R33" s="317" t="s">
        <v>1008</v>
      </c>
      <c r="S33" s="314" t="s">
        <v>1786</v>
      </c>
      <c r="T33" s="315">
        <v>1</v>
      </c>
      <c r="U33" s="315">
        <v>1</v>
      </c>
      <c r="Y33" s="137" t="s">
        <v>1420</v>
      </c>
    </row>
    <row r="34" spans="1:25" x14ac:dyDescent="0.3">
      <c r="A34" s="280" t="s">
        <v>1009</v>
      </c>
      <c r="B34" s="305" t="str">
        <f t="shared" si="0"/>
        <v>Siena (elox.)</v>
      </c>
      <c r="C34" s="311">
        <f t="shared" si="1"/>
        <v>380.07</v>
      </c>
      <c r="D34" s="311">
        <f t="shared" si="2"/>
        <v>145.22999999999999</v>
      </c>
      <c r="E34" s="306">
        <v>380.07</v>
      </c>
      <c r="F34" s="306">
        <v>145.22999999999999</v>
      </c>
      <c r="G34" s="312">
        <v>10.319548250000002</v>
      </c>
      <c r="H34" s="312">
        <v>4.6456733653846154</v>
      </c>
      <c r="I34" s="312">
        <v>56.769230769230766</v>
      </c>
      <c r="J34" s="312">
        <v>21.692307692307693</v>
      </c>
      <c r="K34" s="313">
        <v>4010.8695652173915</v>
      </c>
      <c r="L34" s="313">
        <v>1532.608695652174</v>
      </c>
      <c r="M34" s="313"/>
      <c r="N34" s="313"/>
      <c r="O34" s="317" t="s">
        <v>1009</v>
      </c>
      <c r="P34" s="317" t="s">
        <v>1009</v>
      </c>
      <c r="Q34" s="317" t="s">
        <v>1009</v>
      </c>
      <c r="R34" s="317" t="s">
        <v>1009</v>
      </c>
      <c r="S34" s="314" t="s">
        <v>1787</v>
      </c>
      <c r="T34" s="315">
        <v>2</v>
      </c>
      <c r="U34" s="315">
        <v>1</v>
      </c>
      <c r="Y34" s="137" t="s">
        <v>1009</v>
      </c>
    </row>
    <row r="35" spans="1:25" x14ac:dyDescent="0.3">
      <c r="A35" s="280" t="s">
        <v>1010</v>
      </c>
      <c r="B35" s="305" t="str">
        <f t="shared" si="0"/>
        <v>Verona (elox.)</v>
      </c>
      <c r="C35" s="311">
        <f t="shared" si="1"/>
        <v>257.5</v>
      </c>
      <c r="D35" s="311">
        <f t="shared" si="2"/>
        <v>92.7</v>
      </c>
      <c r="E35" s="306">
        <v>257.5</v>
      </c>
      <c r="F35" s="306">
        <v>92.7</v>
      </c>
      <c r="G35" s="312">
        <v>6.2856381923076921</v>
      </c>
      <c r="H35" s="312">
        <v>3.4277639423076924</v>
      </c>
      <c r="I35" s="312">
        <v>38.46153846153846</v>
      </c>
      <c r="J35" s="312">
        <v>13.846153846153847</v>
      </c>
      <c r="K35" s="313">
        <v>2717.391304347826</v>
      </c>
      <c r="L35" s="313">
        <v>978.26086956521738</v>
      </c>
      <c r="M35" s="313"/>
      <c r="N35" s="313"/>
      <c r="O35" s="317" t="s">
        <v>1010</v>
      </c>
      <c r="P35" s="317" t="s">
        <v>1010</v>
      </c>
      <c r="Q35" s="317" t="s">
        <v>1010</v>
      </c>
      <c r="R35" s="317" t="s">
        <v>1010</v>
      </c>
      <c r="S35" s="314" t="s">
        <v>1788</v>
      </c>
      <c r="T35" s="315">
        <v>1</v>
      </c>
      <c r="U35" s="315">
        <v>1</v>
      </c>
      <c r="Y35" s="137" t="s">
        <v>1010</v>
      </c>
    </row>
    <row r="36" spans="1:25" x14ac:dyDescent="0.3">
      <c r="A36" s="280" t="s">
        <v>701</v>
      </c>
      <c r="B36" s="305" t="str">
        <f t="shared" si="0"/>
        <v>Verona broušený hliník</v>
      </c>
      <c r="C36" s="311">
        <f t="shared" si="1"/>
        <v>447.02000000000004</v>
      </c>
      <c r="D36" s="311">
        <f t="shared" si="2"/>
        <v>112.27</v>
      </c>
      <c r="E36" s="306">
        <v>447.02000000000004</v>
      </c>
      <c r="F36" s="306">
        <v>112.27</v>
      </c>
      <c r="G36" s="312">
        <v>9.485395192307692</v>
      </c>
      <c r="H36" s="312">
        <v>3.4277639423076924</v>
      </c>
      <c r="I36" s="312">
        <v>66.769230769230774</v>
      </c>
      <c r="J36" s="312">
        <v>16.76923076923077</v>
      </c>
      <c r="K36" s="313">
        <v>4717.3913043478269</v>
      </c>
      <c r="L36" s="313">
        <v>1184.7826086956522</v>
      </c>
      <c r="M36" s="313"/>
      <c r="N36" s="313"/>
      <c r="O36" s="317" t="s">
        <v>1421</v>
      </c>
      <c r="P36" s="317" t="s">
        <v>700</v>
      </c>
      <c r="Q36" s="317" t="s">
        <v>701</v>
      </c>
      <c r="R36" s="317" t="s">
        <v>702</v>
      </c>
      <c r="S36" s="314" t="s">
        <v>1789</v>
      </c>
      <c r="T36" s="315">
        <v>1</v>
      </c>
      <c r="U36" s="315">
        <v>1</v>
      </c>
      <c r="Y36" s="137" t="s">
        <v>1421</v>
      </c>
    </row>
    <row r="37" spans="1:25" x14ac:dyDescent="0.3">
      <c r="A37" s="280" t="s">
        <v>698</v>
      </c>
      <c r="B37" s="305" t="str">
        <f t="shared" si="0"/>
        <v>Verona černá lesk</v>
      </c>
      <c r="C37" s="311">
        <f t="shared" si="1"/>
        <v>373.89</v>
      </c>
      <c r="D37" s="311">
        <f t="shared" si="2"/>
        <v>112.27</v>
      </c>
      <c r="E37" s="306">
        <v>373.89</v>
      </c>
      <c r="F37" s="306">
        <v>112.27</v>
      </c>
      <c r="G37" s="312">
        <v>8.7122652692307696</v>
      </c>
      <c r="H37" s="312">
        <v>3.4277639423076924</v>
      </c>
      <c r="I37" s="312">
        <v>55.846153846153847</v>
      </c>
      <c r="J37" s="312">
        <v>16.76923076923077</v>
      </c>
      <c r="K37" s="313">
        <v>3945.652173913044</v>
      </c>
      <c r="L37" s="313">
        <v>1184.7826086956522</v>
      </c>
      <c r="M37" s="313"/>
      <c r="N37" s="313"/>
      <c r="O37" s="317" t="s">
        <v>696</v>
      </c>
      <c r="P37" s="317" t="s">
        <v>697</v>
      </c>
      <c r="Q37" s="317" t="s">
        <v>698</v>
      </c>
      <c r="R37" s="317" t="s">
        <v>699</v>
      </c>
      <c r="S37" s="314" t="s">
        <v>1790</v>
      </c>
      <c r="T37" s="315">
        <v>1</v>
      </c>
      <c r="U37" s="315">
        <v>1</v>
      </c>
      <c r="Y37" s="137" t="s">
        <v>696</v>
      </c>
    </row>
    <row r="38" spans="1:25" x14ac:dyDescent="0.3">
      <c r="A38" s="280" t="s">
        <v>1405</v>
      </c>
      <c r="B38" s="305" t="str">
        <f t="shared" si="0"/>
        <v>Verona černá mat</v>
      </c>
      <c r="C38" s="311">
        <f t="shared" si="1"/>
        <v>373.89</v>
      </c>
      <c r="D38" s="311">
        <f t="shared" si="2"/>
        <v>112.27</v>
      </c>
      <c r="E38" s="306">
        <v>373.89</v>
      </c>
      <c r="F38" s="306">
        <v>112.27</v>
      </c>
      <c r="G38" s="312">
        <v>8.7122652692307696</v>
      </c>
      <c r="H38" s="312">
        <v>3.4277639423076924</v>
      </c>
      <c r="I38" s="312">
        <v>55.846153846153847</v>
      </c>
      <c r="J38" s="312">
        <v>16.76923076923077</v>
      </c>
      <c r="K38" s="313">
        <v>3945.652173913044</v>
      </c>
      <c r="L38" s="313">
        <v>1184.7826086956522</v>
      </c>
      <c r="M38" s="313"/>
      <c r="N38" s="313"/>
      <c r="O38" s="317" t="s">
        <v>1616</v>
      </c>
      <c r="P38" s="317" t="s">
        <v>1617</v>
      </c>
      <c r="Q38" s="317" t="s">
        <v>1618</v>
      </c>
      <c r="R38" s="317" t="s">
        <v>1619</v>
      </c>
      <c r="S38" s="314" t="s">
        <v>1791</v>
      </c>
      <c r="T38" s="315">
        <v>1</v>
      </c>
      <c r="U38" s="315">
        <v>1</v>
      </c>
      <c r="Y38" s="137" t="s">
        <v>1616</v>
      </c>
    </row>
    <row r="39" spans="1:25" x14ac:dyDescent="0.3">
      <c r="A39" s="280" t="s">
        <v>1406</v>
      </c>
      <c r="B39" s="305" t="str">
        <f t="shared" si="0"/>
        <v>Verona hnědá</v>
      </c>
      <c r="C39" s="311">
        <f t="shared" si="1"/>
        <v>373.89</v>
      </c>
      <c r="D39" s="311">
        <f t="shared" si="2"/>
        <v>112.27</v>
      </c>
      <c r="E39" s="306">
        <v>373.89</v>
      </c>
      <c r="F39" s="306">
        <v>112.27</v>
      </c>
      <c r="G39" s="312">
        <v>8.7122652692307696</v>
      </c>
      <c r="H39" s="312">
        <v>3.4277639423076924</v>
      </c>
      <c r="I39" s="312">
        <v>55.846153846153847</v>
      </c>
      <c r="J39" s="312">
        <v>16.76923076923077</v>
      </c>
      <c r="K39" s="313">
        <v>3945.652173913044</v>
      </c>
      <c r="L39" s="313">
        <v>1184.7826086956522</v>
      </c>
      <c r="M39" s="313"/>
      <c r="N39" s="313"/>
      <c r="O39" s="314" t="s">
        <v>1422</v>
      </c>
      <c r="P39" s="314" t="s">
        <v>1422</v>
      </c>
      <c r="Q39" s="314" t="s">
        <v>1423</v>
      </c>
      <c r="R39" s="314" t="s">
        <v>1424</v>
      </c>
      <c r="S39" s="314" t="s">
        <v>1792</v>
      </c>
      <c r="T39" s="315">
        <v>1</v>
      </c>
      <c r="U39" s="315">
        <v>1</v>
      </c>
      <c r="Y39" s="137" t="s">
        <v>1422</v>
      </c>
    </row>
    <row r="40" spans="1:25" x14ac:dyDescent="0.3">
      <c r="A40" s="280" t="s">
        <v>694</v>
      </c>
      <c r="B40" s="305" t="str">
        <f t="shared" si="0"/>
        <v>Verona champagne</v>
      </c>
      <c r="C40" s="311">
        <f t="shared" si="1"/>
        <v>346.08</v>
      </c>
      <c r="D40" s="311">
        <f t="shared" si="2"/>
        <v>112.27</v>
      </c>
      <c r="E40" s="306">
        <v>346.08</v>
      </c>
      <c r="F40" s="306">
        <v>112.27</v>
      </c>
      <c r="G40" s="312">
        <v>8.0915655192307696</v>
      </c>
      <c r="H40" s="312">
        <v>3.4277639423076924</v>
      </c>
      <c r="I40" s="312">
        <v>51.692307692307693</v>
      </c>
      <c r="J40" s="312">
        <v>16.76923076923077</v>
      </c>
      <c r="K40" s="313">
        <v>3652.1739130434789</v>
      </c>
      <c r="L40" s="313">
        <v>1184.7826086956522</v>
      </c>
      <c r="M40" s="313"/>
      <c r="N40" s="313"/>
      <c r="O40" s="314" t="s">
        <v>693</v>
      </c>
      <c r="P40" s="314" t="s">
        <v>693</v>
      </c>
      <c r="Q40" s="314" t="s">
        <v>694</v>
      </c>
      <c r="R40" s="314" t="s">
        <v>695</v>
      </c>
      <c r="S40" s="314" t="s">
        <v>693</v>
      </c>
      <c r="T40" s="315">
        <v>1</v>
      </c>
      <c r="U40" s="315">
        <v>1</v>
      </c>
      <c r="Y40" s="137" t="s">
        <v>693</v>
      </c>
    </row>
    <row r="41" spans="1:25" x14ac:dyDescent="0.3">
      <c r="A41" s="280" t="s">
        <v>704</v>
      </c>
      <c r="B41" s="305" t="str">
        <f t="shared" si="0"/>
        <v>Verona tmavá nerez broušená</v>
      </c>
      <c r="C41" s="311">
        <f t="shared" si="1"/>
        <v>458.35</v>
      </c>
      <c r="D41" s="311">
        <f t="shared" si="2"/>
        <v>112.27</v>
      </c>
      <c r="E41" s="306">
        <v>458.35</v>
      </c>
      <c r="F41" s="306">
        <v>112.27</v>
      </c>
      <c r="G41" s="312">
        <v>9.7560417307692315</v>
      </c>
      <c r="H41" s="312">
        <v>3.4277639423076924</v>
      </c>
      <c r="I41" s="312">
        <v>68.461538461538467</v>
      </c>
      <c r="J41" s="312">
        <v>16.76923076923077</v>
      </c>
      <c r="K41" s="313">
        <v>4836.95652173913</v>
      </c>
      <c r="L41" s="313">
        <v>1184.7826086956522</v>
      </c>
      <c r="M41" s="313"/>
      <c r="N41" s="313"/>
      <c r="O41" s="317" t="s">
        <v>1425</v>
      </c>
      <c r="P41" s="317" t="s">
        <v>703</v>
      </c>
      <c r="Q41" s="317" t="s">
        <v>704</v>
      </c>
      <c r="R41" s="317" t="s">
        <v>705</v>
      </c>
      <c r="S41" s="314" t="s">
        <v>1793</v>
      </c>
      <c r="T41" s="315">
        <v>1</v>
      </c>
      <c r="U41" s="315">
        <v>1</v>
      </c>
      <c r="Y41" s="137" t="s">
        <v>1425</v>
      </c>
    </row>
    <row r="42" spans="1:25" x14ac:dyDescent="0.3">
      <c r="A42" s="280" t="s">
        <v>1407</v>
      </c>
      <c r="B42" s="305" t="str">
        <f t="shared" si="0"/>
        <v>Verona světlá nerez (Acier grata)</v>
      </c>
      <c r="C42" s="311">
        <f t="shared" si="1"/>
        <v>458.35</v>
      </c>
      <c r="D42" s="311">
        <f t="shared" si="2"/>
        <v>112.27</v>
      </c>
      <c r="E42" s="306">
        <v>458.35</v>
      </c>
      <c r="F42" s="306">
        <v>112.27</v>
      </c>
      <c r="G42" s="312">
        <v>9.4649690384615397</v>
      </c>
      <c r="H42" s="312">
        <v>3.4277639423076924</v>
      </c>
      <c r="I42" s="312">
        <v>68.461538461538467</v>
      </c>
      <c r="J42" s="312">
        <v>16.76923076923077</v>
      </c>
      <c r="K42" s="313">
        <v>4836.95652173913</v>
      </c>
      <c r="L42" s="313">
        <v>1184.7826086956522</v>
      </c>
      <c r="M42" s="313"/>
      <c r="N42" s="313"/>
      <c r="O42" s="317" t="s">
        <v>1426</v>
      </c>
      <c r="P42" s="317" t="s">
        <v>1427</v>
      </c>
      <c r="Q42" s="317" t="s">
        <v>1428</v>
      </c>
      <c r="R42" s="317" t="s">
        <v>1429</v>
      </c>
      <c r="S42" s="314" t="s">
        <v>1794</v>
      </c>
      <c r="T42" s="315">
        <v>1</v>
      </c>
      <c r="U42" s="315">
        <v>1</v>
      </c>
      <c r="Y42" s="137" t="s">
        <v>1426</v>
      </c>
    </row>
    <row r="43" spans="1:25" x14ac:dyDescent="0.3">
      <c r="A43" s="280" t="s">
        <v>1011</v>
      </c>
      <c r="B43" s="305" t="str">
        <f t="shared" si="0"/>
        <v>Vivaro (elox.)</v>
      </c>
      <c r="C43" s="311">
        <f t="shared" si="1"/>
        <v>373.89</v>
      </c>
      <c r="D43" s="311">
        <f t="shared" si="2"/>
        <v>156.56</v>
      </c>
      <c r="E43" s="306">
        <v>373.89</v>
      </c>
      <c r="F43" s="306">
        <v>156.56</v>
      </c>
      <c r="G43" s="312">
        <v>10.235647823076922</v>
      </c>
      <c r="H43" s="312">
        <v>5.0516431730769238</v>
      </c>
      <c r="I43" s="312">
        <v>55.846153846153847</v>
      </c>
      <c r="J43" s="312">
        <v>23.384615384615383</v>
      </c>
      <c r="K43" s="313">
        <v>3945.652173913044</v>
      </c>
      <c r="L43" s="313">
        <v>1652.1739130434785</v>
      </c>
      <c r="M43" s="313"/>
      <c r="N43" s="313"/>
      <c r="O43" s="317" t="s">
        <v>1011</v>
      </c>
      <c r="P43" s="317" t="s">
        <v>1011</v>
      </c>
      <c r="Q43" s="317" t="s">
        <v>1011</v>
      </c>
      <c r="R43" s="317" t="s">
        <v>1011</v>
      </c>
      <c r="S43" s="314" t="s">
        <v>1795</v>
      </c>
      <c r="T43" s="315">
        <v>2</v>
      </c>
      <c r="U43" s="315">
        <v>1</v>
      </c>
      <c r="Y43" s="137" t="s">
        <v>1011</v>
      </c>
    </row>
    <row r="44" spans="1:25" x14ac:dyDescent="0.3">
      <c r="A44" s="280" t="s">
        <v>1012</v>
      </c>
      <c r="B44" s="305" t="str">
        <f t="shared" si="0"/>
        <v>Vivaro černá mat</v>
      </c>
      <c r="C44" s="311">
        <f t="shared" si="1"/>
        <v>473.8</v>
      </c>
      <c r="D44" s="311">
        <f t="shared" si="2"/>
        <v>156.56</v>
      </c>
      <c r="E44" s="306">
        <v>473.8</v>
      </c>
      <c r="F44" s="306">
        <v>156.56</v>
      </c>
      <c r="G44" s="312">
        <v>14.810238173076923</v>
      </c>
      <c r="H44" s="312">
        <v>5.0516431730769238</v>
      </c>
      <c r="I44" s="312">
        <v>70.769230769230774</v>
      </c>
      <c r="J44" s="312">
        <v>23.384615384615383</v>
      </c>
      <c r="K44" s="313">
        <v>5000.0000000000009</v>
      </c>
      <c r="L44" s="313">
        <v>1652.1739130434785</v>
      </c>
      <c r="M44" s="313"/>
      <c r="N44" s="313"/>
      <c r="O44" s="317" t="s">
        <v>1624</v>
      </c>
      <c r="P44" s="317" t="s">
        <v>1625</v>
      </c>
      <c r="Q44" s="317" t="s">
        <v>1626</v>
      </c>
      <c r="R44" s="317" t="s">
        <v>1627</v>
      </c>
      <c r="S44" s="314" t="s">
        <v>1796</v>
      </c>
      <c r="T44" s="315">
        <v>2</v>
      </c>
      <c r="U44" s="315">
        <v>1</v>
      </c>
      <c r="Y44" s="137" t="s">
        <v>1624</v>
      </c>
    </row>
    <row r="45" spans="1:25" x14ac:dyDescent="0.3">
      <c r="A45" s="280" t="s">
        <v>707</v>
      </c>
      <c r="B45" s="305" t="str">
        <f t="shared" si="0"/>
        <v>Vivaro tmavá nerez br. (inox lija)</v>
      </c>
      <c r="C45" s="311">
        <f t="shared" si="1"/>
        <v>525.30000000000007</v>
      </c>
      <c r="D45" s="311">
        <f t="shared" si="2"/>
        <v>156.56</v>
      </c>
      <c r="E45" s="306">
        <v>525.30000000000007</v>
      </c>
      <c r="F45" s="306">
        <v>156.56</v>
      </c>
      <c r="G45" s="312">
        <v>13.170784000000003</v>
      </c>
      <c r="H45" s="312">
        <v>5.0516431730769238</v>
      </c>
      <c r="I45" s="312">
        <v>78.461538461538467</v>
      </c>
      <c r="J45" s="312">
        <v>23.384615384615383</v>
      </c>
      <c r="K45" s="313">
        <v>5543.4782608695659</v>
      </c>
      <c r="L45" s="313">
        <v>1652.1739130434785</v>
      </c>
      <c r="M45" s="313"/>
      <c r="N45" s="313"/>
      <c r="O45" s="317" t="s">
        <v>1430</v>
      </c>
      <c r="P45" s="317" t="s">
        <v>1430</v>
      </c>
      <c r="Q45" s="317" t="s">
        <v>707</v>
      </c>
      <c r="R45" s="317" t="s">
        <v>708</v>
      </c>
      <c r="S45" s="314" t="s">
        <v>1797</v>
      </c>
      <c r="T45" s="315">
        <v>2</v>
      </c>
      <c r="U45" s="315">
        <v>1</v>
      </c>
      <c r="Y45" s="137" t="s">
        <v>1430</v>
      </c>
    </row>
    <row r="46" spans="1:25" x14ac:dyDescent="0.3">
      <c r="A46" s="280" t="s">
        <v>1666</v>
      </c>
      <c r="B46" s="305" t="str">
        <f t="shared" si="0"/>
        <v>Vivaro bílá mat</v>
      </c>
      <c r="C46" s="311">
        <f t="shared" si="1"/>
        <v>473.8</v>
      </c>
      <c r="D46" s="311">
        <f t="shared" si="2"/>
        <v>156.56</v>
      </c>
      <c r="E46" s="306">
        <v>473.8</v>
      </c>
      <c r="F46" s="306">
        <v>156.56</v>
      </c>
      <c r="G46" s="312">
        <v>14.810238173076923</v>
      </c>
      <c r="H46" s="312">
        <v>5.0516431730769238</v>
      </c>
      <c r="I46" s="312">
        <v>70.769230769230774</v>
      </c>
      <c r="J46" s="312">
        <v>23.384615384615383</v>
      </c>
      <c r="K46" s="313">
        <v>5000.0000000000009</v>
      </c>
      <c r="L46" s="313">
        <v>1652.1739130434785</v>
      </c>
      <c r="M46" s="313"/>
      <c r="N46" s="313"/>
      <c r="O46" s="314" t="s">
        <v>1664</v>
      </c>
      <c r="P46" s="314" t="s">
        <v>1665</v>
      </c>
      <c r="Q46" s="316" t="s">
        <v>1666</v>
      </c>
      <c r="R46" s="314" t="s">
        <v>1667</v>
      </c>
      <c r="S46" s="314" t="s">
        <v>1798</v>
      </c>
      <c r="T46" s="315">
        <v>2</v>
      </c>
      <c r="U46" s="315">
        <v>1</v>
      </c>
    </row>
    <row r="47" spans="1:25" x14ac:dyDescent="0.3">
      <c r="A47" s="280" t="s">
        <v>1670</v>
      </c>
      <c r="B47" s="305" t="str">
        <f t="shared" si="0"/>
        <v>Vivaro bílá lesk</v>
      </c>
      <c r="C47" s="311">
        <f t="shared" si="1"/>
        <v>473.8</v>
      </c>
      <c r="D47" s="311">
        <f t="shared" si="2"/>
        <v>156.56</v>
      </c>
      <c r="E47" s="306">
        <v>473.8</v>
      </c>
      <c r="F47" s="306">
        <v>156.56</v>
      </c>
      <c r="G47" s="312">
        <v>14.81</v>
      </c>
      <c r="H47" s="312">
        <v>5.05</v>
      </c>
      <c r="I47" s="312">
        <v>70.77</v>
      </c>
      <c r="J47" s="312">
        <v>23.38</v>
      </c>
      <c r="K47" s="313">
        <v>5000</v>
      </c>
      <c r="L47" s="313">
        <v>1652</v>
      </c>
      <c r="M47" s="313"/>
      <c r="N47" s="313"/>
      <c r="O47" s="314" t="s">
        <v>1668</v>
      </c>
      <c r="P47" s="314" t="s">
        <v>1669</v>
      </c>
      <c r="Q47" s="316" t="s">
        <v>1670</v>
      </c>
      <c r="R47" s="314" t="s">
        <v>1671</v>
      </c>
      <c r="S47" s="314" t="s">
        <v>1799</v>
      </c>
      <c r="T47" s="315">
        <v>2</v>
      </c>
      <c r="U47" s="315">
        <v>1</v>
      </c>
      <c r="Y47" s="137" t="s">
        <v>1668</v>
      </c>
    </row>
    <row r="48" spans="1:25" x14ac:dyDescent="0.3">
      <c r="S48" s="314"/>
    </row>
    <row r="49" spans="2:19" x14ac:dyDescent="0.3">
      <c r="B49" s="280"/>
      <c r="C49" s="280"/>
      <c r="D49" s="280"/>
      <c r="E49" s="280"/>
      <c r="F49" s="280"/>
      <c r="G49" s="280"/>
      <c r="H49" s="280"/>
      <c r="I49" s="280"/>
      <c r="J49" s="280"/>
      <c r="K49" s="280"/>
      <c r="L49" s="280"/>
      <c r="M49" s="280"/>
      <c r="N49" s="280"/>
      <c r="S49" s="314"/>
    </row>
    <row r="50" spans="2:19" x14ac:dyDescent="0.3">
      <c r="B50" s="280"/>
      <c r="C50" s="280"/>
      <c r="D50" s="280"/>
      <c r="E50" s="280"/>
      <c r="F50" s="280"/>
      <c r="G50" s="280"/>
      <c r="H50" s="280"/>
      <c r="I50" s="280"/>
      <c r="J50" s="280"/>
      <c r="K50" s="280"/>
      <c r="L50" s="280"/>
      <c r="M50" s="280"/>
      <c r="N50" s="280"/>
      <c r="S50" s="314"/>
    </row>
    <row r="51" spans="2:19" x14ac:dyDescent="0.3">
      <c r="B51" s="10" t="s">
        <v>19</v>
      </c>
      <c r="C51" s="1171" t="s">
        <v>43</v>
      </c>
      <c r="D51" s="1171"/>
      <c r="E51" s="1171" t="s">
        <v>43</v>
      </c>
      <c r="F51" s="1171"/>
      <c r="G51" s="1171" t="s">
        <v>43</v>
      </c>
      <c r="H51" s="1171"/>
      <c r="I51" s="1171" t="s">
        <v>43</v>
      </c>
      <c r="J51" s="1171"/>
      <c r="K51" s="1171" t="s">
        <v>43</v>
      </c>
      <c r="L51" s="1172"/>
      <c r="M51" s="310"/>
      <c r="N51" s="310"/>
      <c r="S51" s="314"/>
    </row>
    <row r="52" spans="2:19" x14ac:dyDescent="0.3">
      <c r="B52" s="305" t="str">
        <f t="shared" ref="B52:B83" si="3">IF($D$1=1,O:O,IF($D$1=2,P:P,IF($D$1=3,Q:Q,IF($D$1=4,R:R,IF($D$1=5,S:S)))))</f>
        <v>Čiré</v>
      </c>
      <c r="C52" s="1195">
        <f t="shared" ref="C52:C83" si="4">IF($D$1=1,E:E,IF($D$1=2,G:G,IF($D$1=3,I:I,IF($D$1=4,K:K,IF($D$1=5,M:M)))))</f>
        <v>504.7</v>
      </c>
      <c r="D52" s="1195">
        <f>IF($D$1=1,F52,IF($D$1=2,H52,IF($D$1=3,J52,IF($D$1=4,L52,0))))</f>
        <v>0</v>
      </c>
      <c r="E52" s="1196">
        <v>504.7</v>
      </c>
      <c r="F52" s="1197"/>
      <c r="G52" s="1198">
        <v>19.600000000000001</v>
      </c>
      <c r="H52" s="1199"/>
      <c r="I52" s="1198">
        <v>75.384615384615387</v>
      </c>
      <c r="J52" s="1199"/>
      <c r="K52" s="1200">
        <v>4508</v>
      </c>
      <c r="L52" s="1201"/>
      <c r="M52" s="319"/>
      <c r="N52" s="319"/>
      <c r="O52" s="320" t="s">
        <v>717</v>
      </c>
      <c r="P52" s="321" t="s">
        <v>718</v>
      </c>
      <c r="Q52" s="321" t="s">
        <v>719</v>
      </c>
      <c r="R52" s="322" t="s">
        <v>720</v>
      </c>
      <c r="S52" s="314" t="s">
        <v>1800</v>
      </c>
    </row>
    <row r="53" spans="2:19" x14ac:dyDescent="0.3">
      <c r="B53" s="305" t="str">
        <f t="shared" si="3"/>
        <v>Čiré kalené (dodání 3 týdny)</v>
      </c>
      <c r="C53" s="1195">
        <f t="shared" si="4"/>
        <v>1019.7</v>
      </c>
      <c r="D53" s="1195">
        <f t="shared" ref="D53:D112" si="5">IF($D$1=1,F53,IF($D$1=2,H53,IF($D$1=3,J53,IF($D$1=4,L53,0))))</f>
        <v>0</v>
      </c>
      <c r="E53" s="1202">
        <v>1019.7</v>
      </c>
      <c r="F53" s="1203"/>
      <c r="G53" s="1204">
        <v>39.6</v>
      </c>
      <c r="H53" s="1205"/>
      <c r="I53" s="1204">
        <v>152.30769230769232</v>
      </c>
      <c r="J53" s="1205"/>
      <c r="K53" s="1200">
        <v>9108</v>
      </c>
      <c r="L53" s="1201"/>
      <c r="M53" s="319"/>
      <c r="N53" s="319"/>
      <c r="O53" s="320" t="s">
        <v>962</v>
      </c>
      <c r="P53" s="321" t="s">
        <v>963</v>
      </c>
      <c r="Q53" s="321" t="s">
        <v>964</v>
      </c>
      <c r="R53" s="322" t="s">
        <v>974</v>
      </c>
      <c r="S53" s="314" t="s">
        <v>1801</v>
      </c>
    </row>
    <row r="54" spans="2:19" x14ac:dyDescent="0.3">
      <c r="B54" s="305" t="str">
        <f t="shared" si="3"/>
        <v>Satinato</v>
      </c>
      <c r="C54" s="1195">
        <f t="shared" si="4"/>
        <v>1442</v>
      </c>
      <c r="D54" s="1195">
        <f t="shared" si="5"/>
        <v>0</v>
      </c>
      <c r="E54" s="1202">
        <v>1442</v>
      </c>
      <c r="F54" s="1203"/>
      <c r="G54" s="1206">
        <v>56</v>
      </c>
      <c r="H54" s="1206"/>
      <c r="I54" s="1206">
        <v>215.38461538461539</v>
      </c>
      <c r="J54" s="1206"/>
      <c r="K54" s="1207">
        <v>12879.999999999998</v>
      </c>
      <c r="L54" s="1208"/>
      <c r="M54" s="323"/>
      <c r="N54" s="323"/>
      <c r="O54" s="324" t="s">
        <v>722</v>
      </c>
      <c r="P54" s="325" t="s">
        <v>722</v>
      </c>
      <c r="Q54" s="325" t="s">
        <v>722</v>
      </c>
      <c r="R54" s="326" t="s">
        <v>722</v>
      </c>
      <c r="S54" s="314" t="s">
        <v>722</v>
      </c>
    </row>
    <row r="55" spans="2:19" x14ac:dyDescent="0.3">
      <c r="B55" s="305" t="str">
        <f t="shared" si="3"/>
        <v>Satinato kalené (dodání 3 týdny)</v>
      </c>
      <c r="C55" s="1195">
        <f t="shared" si="4"/>
        <v>2214.5</v>
      </c>
      <c r="D55" s="1195">
        <f t="shared" si="5"/>
        <v>0</v>
      </c>
      <c r="E55" s="1202">
        <v>2214.5</v>
      </c>
      <c r="F55" s="1203"/>
      <c r="G55" s="1206">
        <v>86</v>
      </c>
      <c r="H55" s="1206"/>
      <c r="I55" s="1206">
        <v>330.76923076923077</v>
      </c>
      <c r="J55" s="1206"/>
      <c r="K55" s="1207">
        <v>19780</v>
      </c>
      <c r="L55" s="1208"/>
      <c r="M55" s="323"/>
      <c r="N55" s="323"/>
      <c r="O55" s="324" t="s">
        <v>961</v>
      </c>
      <c r="P55" s="325" t="s">
        <v>966</v>
      </c>
      <c r="Q55" s="325" t="s">
        <v>965</v>
      </c>
      <c r="R55" s="326" t="s">
        <v>975</v>
      </c>
      <c r="S55" s="314" t="s">
        <v>1802</v>
      </c>
    </row>
    <row r="56" spans="2:19" x14ac:dyDescent="0.3">
      <c r="B56" s="305" t="str">
        <f t="shared" si="3"/>
        <v>Satinato hnědé</v>
      </c>
      <c r="C56" s="1195">
        <f t="shared" si="4"/>
        <v>1810.74</v>
      </c>
      <c r="D56" s="1195">
        <f t="shared" si="5"/>
        <v>0</v>
      </c>
      <c r="E56" s="1202">
        <v>1810.74</v>
      </c>
      <c r="F56" s="1203"/>
      <c r="G56" s="1206">
        <v>70.319999999999993</v>
      </c>
      <c r="H56" s="1206"/>
      <c r="I56" s="1206">
        <v>270.46153846153845</v>
      </c>
      <c r="J56" s="1206"/>
      <c r="K56" s="1207">
        <v>16173.599999999999</v>
      </c>
      <c r="L56" s="1208"/>
      <c r="M56" s="323"/>
      <c r="N56" s="323"/>
      <c r="O56" s="324" t="s">
        <v>1431</v>
      </c>
      <c r="P56" s="324" t="s">
        <v>1719</v>
      </c>
      <c r="Q56" s="324" t="s">
        <v>1722</v>
      </c>
      <c r="R56" s="324" t="s">
        <v>1720</v>
      </c>
      <c r="S56" s="314" t="s">
        <v>1803</v>
      </c>
    </row>
    <row r="57" spans="2:19" x14ac:dyDescent="0.3">
      <c r="B57" s="305" t="str">
        <f t="shared" si="3"/>
        <v>Satinato grafit</v>
      </c>
      <c r="C57" s="1195">
        <f t="shared" si="4"/>
        <v>1810.74</v>
      </c>
      <c r="D57" s="1195">
        <f t="shared" si="5"/>
        <v>0</v>
      </c>
      <c r="E57" s="1202">
        <v>1810.74</v>
      </c>
      <c r="F57" s="1203"/>
      <c r="G57" s="1206">
        <v>70.319999999999993</v>
      </c>
      <c r="H57" s="1206"/>
      <c r="I57" s="1206">
        <v>270.46153846153845</v>
      </c>
      <c r="J57" s="1206"/>
      <c r="K57" s="1207">
        <v>16173.599999999999</v>
      </c>
      <c r="L57" s="1208"/>
      <c r="M57" s="323"/>
      <c r="N57" s="323"/>
      <c r="O57" s="324" t="s">
        <v>1432</v>
      </c>
      <c r="P57" s="324" t="s">
        <v>1432</v>
      </c>
      <c r="Q57" s="324" t="s">
        <v>1432</v>
      </c>
      <c r="R57" s="324" t="s">
        <v>1432</v>
      </c>
      <c r="S57" s="314" t="s">
        <v>1804</v>
      </c>
    </row>
    <row r="58" spans="2:19" x14ac:dyDescent="0.3">
      <c r="B58" s="305" t="str">
        <f t="shared" si="3"/>
        <v>Screen</v>
      </c>
      <c r="C58" s="1195">
        <f t="shared" si="4"/>
        <v>1419.3400000000001</v>
      </c>
      <c r="D58" s="1195">
        <f t="shared" si="5"/>
        <v>0</v>
      </c>
      <c r="E58" s="1202">
        <v>1419.3400000000001</v>
      </c>
      <c r="F58" s="1203"/>
      <c r="G58" s="1206">
        <v>55.12</v>
      </c>
      <c r="H58" s="1206"/>
      <c r="I58" s="1206">
        <v>212</v>
      </c>
      <c r="J58" s="1206"/>
      <c r="K58" s="1207">
        <v>12677.599999999999</v>
      </c>
      <c r="L58" s="1208"/>
      <c r="M58" s="323"/>
      <c r="N58" s="323"/>
      <c r="O58" s="324" t="s">
        <v>1433</v>
      </c>
      <c r="P58" s="324" t="s">
        <v>1433</v>
      </c>
      <c r="Q58" s="324" t="s">
        <v>1433</v>
      </c>
      <c r="R58" s="324" t="s">
        <v>1433</v>
      </c>
      <c r="S58" s="314" t="s">
        <v>1433</v>
      </c>
    </row>
    <row r="59" spans="2:19" x14ac:dyDescent="0.3">
      <c r="B59" s="305" t="str">
        <f t="shared" si="3"/>
        <v>Venus VG10</v>
      </c>
      <c r="C59" s="1195">
        <f t="shared" si="4"/>
        <v>2639.89</v>
      </c>
      <c r="D59" s="1195">
        <f t="shared" si="5"/>
        <v>0</v>
      </c>
      <c r="E59" s="1202">
        <v>2639.89</v>
      </c>
      <c r="F59" s="1203"/>
      <c r="G59" s="1206">
        <v>102.52</v>
      </c>
      <c r="H59" s="1206"/>
      <c r="I59" s="1206">
        <v>394.30769230769232</v>
      </c>
      <c r="J59" s="1206"/>
      <c r="K59" s="1207">
        <v>23579.599999999999</v>
      </c>
      <c r="L59" s="1208"/>
      <c r="M59" s="323"/>
      <c r="N59" s="323"/>
      <c r="O59" s="324" t="s">
        <v>1434</v>
      </c>
      <c r="P59" s="324" t="s">
        <v>1434</v>
      </c>
      <c r="Q59" s="324" t="s">
        <v>1434</v>
      </c>
      <c r="R59" s="324" t="s">
        <v>1434</v>
      </c>
      <c r="S59" s="314" t="s">
        <v>1434</v>
      </c>
    </row>
    <row r="60" spans="2:19" x14ac:dyDescent="0.3">
      <c r="B60" s="305" t="str">
        <f t="shared" si="3"/>
        <v>Stopsol bronz</v>
      </c>
      <c r="C60" s="1195">
        <f t="shared" si="4"/>
        <v>2414.3200000000002</v>
      </c>
      <c r="D60" s="1195">
        <f t="shared" si="5"/>
        <v>0</v>
      </c>
      <c r="E60" s="1202">
        <v>2414.3200000000002</v>
      </c>
      <c r="F60" s="1203"/>
      <c r="G60" s="1206">
        <v>93.76</v>
      </c>
      <c r="H60" s="1206"/>
      <c r="I60" s="1206">
        <v>360.61538461538464</v>
      </c>
      <c r="J60" s="1206"/>
      <c r="K60" s="1207">
        <v>21564.799999999999</v>
      </c>
      <c r="L60" s="1208"/>
      <c r="M60" s="323"/>
      <c r="N60" s="323"/>
      <c r="O60" s="324" t="s">
        <v>1435</v>
      </c>
      <c r="P60" s="324" t="s">
        <v>1435</v>
      </c>
      <c r="Q60" s="324" t="s">
        <v>1723</v>
      </c>
      <c r="R60" s="324" t="s">
        <v>1435</v>
      </c>
      <c r="S60" s="314" t="s">
        <v>1805</v>
      </c>
    </row>
    <row r="61" spans="2:19" x14ac:dyDescent="0.3">
      <c r="B61" s="305" t="str">
        <f t="shared" si="3"/>
        <v>Lakomat</v>
      </c>
      <c r="C61" s="1195">
        <f t="shared" si="4"/>
        <v>1341.06</v>
      </c>
      <c r="D61" s="1195">
        <f t="shared" si="5"/>
        <v>0</v>
      </c>
      <c r="E61" s="1202">
        <v>1341.06</v>
      </c>
      <c r="F61" s="1203"/>
      <c r="G61" s="1206">
        <v>52.08</v>
      </c>
      <c r="H61" s="1206"/>
      <c r="I61" s="1206">
        <v>200.30769230769232</v>
      </c>
      <c r="J61" s="1206"/>
      <c r="K61" s="1207">
        <v>11978.4</v>
      </c>
      <c r="L61" s="1208"/>
      <c r="M61" s="323"/>
      <c r="N61" s="323"/>
      <c r="O61" s="324" t="s">
        <v>723</v>
      </c>
      <c r="P61" s="325" t="s">
        <v>723</v>
      </c>
      <c r="Q61" s="325" t="s">
        <v>723</v>
      </c>
      <c r="R61" s="326" t="s">
        <v>723</v>
      </c>
      <c r="S61" s="314" t="s">
        <v>723</v>
      </c>
    </row>
    <row r="62" spans="2:19" x14ac:dyDescent="0.3">
      <c r="B62" s="305" t="str">
        <f t="shared" si="3"/>
        <v>Pisek</v>
      </c>
      <c r="C62" s="1195">
        <f t="shared" si="4"/>
        <v>1117.55</v>
      </c>
      <c r="D62" s="1195">
        <f t="shared" si="5"/>
        <v>0</v>
      </c>
      <c r="E62" s="1202">
        <v>1117.55</v>
      </c>
      <c r="F62" s="1203"/>
      <c r="G62" s="1206">
        <v>43.4</v>
      </c>
      <c r="H62" s="1206"/>
      <c r="I62" s="1206">
        <v>166.92307692307693</v>
      </c>
      <c r="J62" s="1206"/>
      <c r="K62" s="1207">
        <v>9982</v>
      </c>
      <c r="L62" s="1208"/>
      <c r="M62" s="323"/>
      <c r="N62" s="323"/>
      <c r="O62" s="324" t="s">
        <v>721</v>
      </c>
      <c r="P62" s="325" t="s">
        <v>1728</v>
      </c>
      <c r="Q62" s="325" t="s">
        <v>1727</v>
      </c>
      <c r="R62" s="326" t="s">
        <v>1726</v>
      </c>
      <c r="S62" s="314" t="s">
        <v>1806</v>
      </c>
    </row>
    <row r="63" spans="2:19" x14ac:dyDescent="0.3">
      <c r="B63" s="305" t="str">
        <f t="shared" si="3"/>
        <v>Antisol bronz</v>
      </c>
      <c r="C63" s="1195">
        <f t="shared" si="4"/>
        <v>927</v>
      </c>
      <c r="D63" s="1195">
        <f t="shared" si="5"/>
        <v>0</v>
      </c>
      <c r="E63" s="1202">
        <v>927</v>
      </c>
      <c r="F63" s="1203"/>
      <c r="G63" s="1206">
        <v>36</v>
      </c>
      <c r="H63" s="1206"/>
      <c r="I63" s="1206">
        <v>138.46153846153845</v>
      </c>
      <c r="J63" s="1206"/>
      <c r="K63" s="1207">
        <v>8280</v>
      </c>
      <c r="L63" s="1208"/>
      <c r="M63" s="323"/>
      <c r="N63" s="323"/>
      <c r="O63" s="324" t="s">
        <v>733</v>
      </c>
      <c r="P63" s="325" t="s">
        <v>733</v>
      </c>
      <c r="Q63" s="325" t="s">
        <v>733</v>
      </c>
      <c r="R63" s="326" t="s">
        <v>733</v>
      </c>
      <c r="S63" s="314" t="s">
        <v>1807</v>
      </c>
    </row>
    <row r="64" spans="2:19" x14ac:dyDescent="0.3">
      <c r="B64" s="305" t="str">
        <f t="shared" si="3"/>
        <v>Antisol grafit</v>
      </c>
      <c r="C64" s="1195">
        <f t="shared" si="4"/>
        <v>927</v>
      </c>
      <c r="D64" s="1195">
        <f t="shared" si="5"/>
        <v>0</v>
      </c>
      <c r="E64" s="1202">
        <v>927</v>
      </c>
      <c r="F64" s="1203"/>
      <c r="G64" s="1206">
        <v>36</v>
      </c>
      <c r="H64" s="1206"/>
      <c r="I64" s="1206">
        <v>138.46153846153845</v>
      </c>
      <c r="J64" s="1206"/>
      <c r="K64" s="1207">
        <v>8280</v>
      </c>
      <c r="L64" s="1208"/>
      <c r="M64" s="323"/>
      <c r="N64" s="323"/>
      <c r="O64" s="324" t="s">
        <v>734</v>
      </c>
      <c r="P64" s="325" t="s">
        <v>734</v>
      </c>
      <c r="Q64" s="325" t="s">
        <v>734</v>
      </c>
      <c r="R64" s="326" t="s">
        <v>734</v>
      </c>
      <c r="S64" s="314" t="s">
        <v>1808</v>
      </c>
    </row>
    <row r="65" spans="2:19" x14ac:dyDescent="0.3">
      <c r="B65" s="305" t="str">
        <f t="shared" si="3"/>
        <v>Zrcadlo</v>
      </c>
      <c r="C65" s="1195">
        <f t="shared" si="4"/>
        <v>844.6</v>
      </c>
      <c r="D65" s="1195">
        <f t="shared" si="5"/>
        <v>0</v>
      </c>
      <c r="E65" s="1202">
        <v>844.6</v>
      </c>
      <c r="F65" s="1203"/>
      <c r="G65" s="1206">
        <v>32.799999999999997</v>
      </c>
      <c r="H65" s="1206"/>
      <c r="I65" s="1206">
        <v>126.15384615384616</v>
      </c>
      <c r="J65" s="1206"/>
      <c r="K65" s="1207">
        <v>7543.9999999999991</v>
      </c>
      <c r="L65" s="1208"/>
      <c r="M65" s="323"/>
      <c r="N65" s="323"/>
      <c r="O65" s="324" t="s">
        <v>724</v>
      </c>
      <c r="P65" s="325" t="s">
        <v>725</v>
      </c>
      <c r="Q65" s="325" t="s">
        <v>726</v>
      </c>
      <c r="R65" s="326" t="s">
        <v>626</v>
      </c>
      <c r="S65" s="314" t="s">
        <v>1809</v>
      </c>
    </row>
    <row r="66" spans="2:19" x14ac:dyDescent="0.3">
      <c r="B66" s="305" t="str">
        <f t="shared" si="3"/>
        <v>Zrcadlo hnědé</v>
      </c>
      <c r="C66" s="1195">
        <f t="shared" si="4"/>
        <v>1128.8800000000001</v>
      </c>
      <c r="D66" s="1195">
        <f t="shared" si="5"/>
        <v>0</v>
      </c>
      <c r="E66" s="1202">
        <v>1128.8800000000001</v>
      </c>
      <c r="F66" s="1203"/>
      <c r="G66" s="1206">
        <v>43.84</v>
      </c>
      <c r="H66" s="1206"/>
      <c r="I66" s="1206">
        <v>168.61538461538461</v>
      </c>
      <c r="J66" s="1206"/>
      <c r="K66" s="1207">
        <v>10083.199999999999</v>
      </c>
      <c r="L66" s="1208"/>
      <c r="M66" s="323"/>
      <c r="N66" s="323"/>
      <c r="O66" s="324" t="s">
        <v>1688</v>
      </c>
      <c r="P66" s="325" t="s">
        <v>1721</v>
      </c>
      <c r="Q66" s="325" t="s">
        <v>1724</v>
      </c>
      <c r="R66" s="326" t="s">
        <v>1725</v>
      </c>
      <c r="S66" s="314" t="s">
        <v>1810</v>
      </c>
    </row>
    <row r="67" spans="2:19" x14ac:dyDescent="0.3">
      <c r="B67" s="305" t="str">
        <f t="shared" si="3"/>
        <v>Zrcadlo grafit</v>
      </c>
      <c r="C67" s="1195">
        <f t="shared" si="4"/>
        <v>1128.8800000000001</v>
      </c>
      <c r="D67" s="1195">
        <f t="shared" si="5"/>
        <v>0</v>
      </c>
      <c r="E67" s="1202">
        <v>1128.8800000000001</v>
      </c>
      <c r="F67" s="1203"/>
      <c r="G67" s="1206">
        <v>43.84</v>
      </c>
      <c r="H67" s="1206"/>
      <c r="I67" s="1206">
        <v>168.61538461538461</v>
      </c>
      <c r="J67" s="1206"/>
      <c r="K67" s="1207">
        <v>10083.199999999999</v>
      </c>
      <c r="L67" s="1208"/>
      <c r="M67" s="323"/>
      <c r="N67" s="323"/>
      <c r="O67" s="324" t="s">
        <v>1689</v>
      </c>
      <c r="P67" s="325" t="s">
        <v>1690</v>
      </c>
      <c r="Q67" s="325" t="s">
        <v>1691</v>
      </c>
      <c r="R67" s="326" t="s">
        <v>1692</v>
      </c>
      <c r="S67" s="314" t="s">
        <v>1811</v>
      </c>
    </row>
    <row r="68" spans="2:19" x14ac:dyDescent="0.3">
      <c r="B68" s="305" t="str">
        <f t="shared" si="3"/>
        <v>Zrcadlo + bezpečnostní fólie</v>
      </c>
      <c r="C68" s="1195">
        <f t="shared" si="4"/>
        <v>952.75</v>
      </c>
      <c r="D68" s="1195">
        <f t="shared" si="5"/>
        <v>0</v>
      </c>
      <c r="E68" s="1202">
        <v>952.75</v>
      </c>
      <c r="F68" s="1203"/>
      <c r="G68" s="1206">
        <v>37</v>
      </c>
      <c r="H68" s="1206"/>
      <c r="I68" s="1206">
        <v>142.30769230769232</v>
      </c>
      <c r="J68" s="1206"/>
      <c r="K68" s="1207">
        <v>8510</v>
      </c>
      <c r="L68" s="1208"/>
      <c r="M68" s="323"/>
      <c r="N68" s="323"/>
      <c r="O68" s="324" t="s">
        <v>748</v>
      </c>
      <c r="P68" s="325" t="s">
        <v>1014</v>
      </c>
      <c r="Q68" s="325" t="s">
        <v>967</v>
      </c>
      <c r="R68" s="326" t="s">
        <v>976</v>
      </c>
      <c r="S68" s="314" t="s">
        <v>1812</v>
      </c>
    </row>
    <row r="69" spans="2:19" x14ac:dyDescent="0.3">
      <c r="B69" s="305" t="str">
        <f t="shared" si="3"/>
        <v>Krizet</v>
      </c>
      <c r="C69" s="1195">
        <f t="shared" si="4"/>
        <v>1419.3400000000001</v>
      </c>
      <c r="D69" s="1195">
        <f t="shared" si="5"/>
        <v>0</v>
      </c>
      <c r="E69" s="1202">
        <v>1419.3400000000001</v>
      </c>
      <c r="F69" s="1203"/>
      <c r="G69" s="1206">
        <v>55.12</v>
      </c>
      <c r="H69" s="1206"/>
      <c r="I69" s="1206">
        <v>212</v>
      </c>
      <c r="J69" s="1206"/>
      <c r="K69" s="1207">
        <v>12677.599999999999</v>
      </c>
      <c r="L69" s="1208"/>
      <c r="M69" s="327"/>
      <c r="N69" s="327"/>
      <c r="O69" s="328" t="s">
        <v>1693</v>
      </c>
      <c r="P69" s="328" t="s">
        <v>1693</v>
      </c>
      <c r="Q69" s="328" t="s">
        <v>1693</v>
      </c>
      <c r="R69" s="328" t="s">
        <v>1693</v>
      </c>
      <c r="S69" s="314" t="s">
        <v>1693</v>
      </c>
    </row>
    <row r="70" spans="2:19" x14ac:dyDescent="0.3">
      <c r="B70" s="305" t="str">
        <f t="shared" si="3"/>
        <v>Master (Carre)</v>
      </c>
      <c r="C70" s="1195">
        <f t="shared" si="4"/>
        <v>1419.3400000000001</v>
      </c>
      <c r="D70" s="1195">
        <f t="shared" si="5"/>
        <v>0</v>
      </c>
      <c r="E70" s="1202">
        <v>1419.3400000000001</v>
      </c>
      <c r="F70" s="1203"/>
      <c r="G70" s="1209">
        <v>55.12</v>
      </c>
      <c r="H70" s="1209"/>
      <c r="I70" s="1209">
        <v>212</v>
      </c>
      <c r="J70" s="1209"/>
      <c r="K70" s="1210">
        <v>12677.599999999999</v>
      </c>
      <c r="L70" s="1211"/>
      <c r="M70" s="327"/>
      <c r="N70" s="327"/>
      <c r="O70" s="328" t="s">
        <v>727</v>
      </c>
      <c r="P70" s="325" t="s">
        <v>727</v>
      </c>
      <c r="Q70" s="325" t="s">
        <v>727</v>
      </c>
      <c r="R70" s="326" t="s">
        <v>727</v>
      </c>
      <c r="S70" s="314" t="s">
        <v>727</v>
      </c>
    </row>
    <row r="71" spans="2:19" x14ac:dyDescent="0.3">
      <c r="B71" s="305" t="str">
        <f t="shared" si="3"/>
        <v xml:space="preserve">Master  Lens </v>
      </c>
      <c r="C71" s="1195">
        <f t="shared" si="4"/>
        <v>1419.3400000000001</v>
      </c>
      <c r="D71" s="1195">
        <f t="shared" si="5"/>
        <v>0</v>
      </c>
      <c r="E71" s="1202">
        <v>1419.3400000000001</v>
      </c>
      <c r="F71" s="1203"/>
      <c r="G71" s="1209">
        <v>55.12</v>
      </c>
      <c r="H71" s="1209"/>
      <c r="I71" s="1209">
        <v>212</v>
      </c>
      <c r="J71" s="1209"/>
      <c r="K71" s="1210">
        <v>12677.599999999999</v>
      </c>
      <c r="L71" s="1211"/>
      <c r="M71" s="327"/>
      <c r="N71" s="327"/>
      <c r="O71" s="328" t="s">
        <v>728</v>
      </c>
      <c r="P71" s="325" t="s">
        <v>728</v>
      </c>
      <c r="Q71" s="325" t="s">
        <v>728</v>
      </c>
      <c r="R71" s="326" t="s">
        <v>728</v>
      </c>
      <c r="S71" s="314" t="s">
        <v>1813</v>
      </c>
    </row>
    <row r="72" spans="2:19" x14ac:dyDescent="0.3">
      <c r="B72" s="305" t="str">
        <f t="shared" si="3"/>
        <v>Master  Ligne</v>
      </c>
      <c r="C72" s="1195">
        <f t="shared" si="4"/>
        <v>1419.3400000000001</v>
      </c>
      <c r="D72" s="1195">
        <f t="shared" si="5"/>
        <v>0</v>
      </c>
      <c r="E72" s="1202">
        <v>1419.3400000000001</v>
      </c>
      <c r="F72" s="1203"/>
      <c r="G72" s="1212">
        <v>55.12</v>
      </c>
      <c r="H72" s="1212"/>
      <c r="I72" s="1212">
        <v>212</v>
      </c>
      <c r="J72" s="1212"/>
      <c r="K72" s="1213">
        <v>12677.599999999999</v>
      </c>
      <c r="L72" s="1214"/>
      <c r="M72" s="329"/>
      <c r="N72" s="329"/>
      <c r="O72" s="330" t="s">
        <v>729</v>
      </c>
      <c r="P72" s="325" t="s">
        <v>729</v>
      </c>
      <c r="Q72" s="325" t="s">
        <v>729</v>
      </c>
      <c r="R72" s="326" t="s">
        <v>729</v>
      </c>
      <c r="S72" s="314" t="s">
        <v>1814</v>
      </c>
    </row>
    <row r="73" spans="2:19" x14ac:dyDescent="0.3">
      <c r="B73" s="305" t="str">
        <f t="shared" si="3"/>
        <v>Master  Point</v>
      </c>
      <c r="C73" s="1195">
        <f t="shared" si="4"/>
        <v>1419.3400000000001</v>
      </c>
      <c r="D73" s="1195">
        <f t="shared" si="5"/>
        <v>0</v>
      </c>
      <c r="E73" s="1202">
        <v>1419.3400000000001</v>
      </c>
      <c r="F73" s="1203"/>
      <c r="G73" s="1212">
        <v>55.12</v>
      </c>
      <c r="H73" s="1212"/>
      <c r="I73" s="1212">
        <v>212</v>
      </c>
      <c r="J73" s="1212"/>
      <c r="K73" s="1213">
        <v>12677.599999999999</v>
      </c>
      <c r="L73" s="1214"/>
      <c r="M73" s="329"/>
      <c r="N73" s="329"/>
      <c r="O73" s="330" t="s">
        <v>730</v>
      </c>
      <c r="P73" s="325" t="s">
        <v>730</v>
      </c>
      <c r="Q73" s="325" t="s">
        <v>730</v>
      </c>
      <c r="R73" s="326" t="s">
        <v>730</v>
      </c>
      <c r="S73" s="314" t="s">
        <v>1815</v>
      </c>
    </row>
    <row r="74" spans="2:19" x14ac:dyDescent="0.3">
      <c r="B74" s="305" t="str">
        <f t="shared" si="3"/>
        <v xml:space="preserve">Master  Ray </v>
      </c>
      <c r="C74" s="1195">
        <f t="shared" si="4"/>
        <v>1419.3400000000001</v>
      </c>
      <c r="D74" s="1195">
        <f t="shared" si="5"/>
        <v>0</v>
      </c>
      <c r="E74" s="1202">
        <v>1419.3400000000001</v>
      </c>
      <c r="F74" s="1203"/>
      <c r="G74" s="1215">
        <v>55.12</v>
      </c>
      <c r="H74" s="1215"/>
      <c r="I74" s="1215">
        <v>212</v>
      </c>
      <c r="J74" s="1215"/>
      <c r="K74" s="1216">
        <v>12677.599999999999</v>
      </c>
      <c r="L74" s="1217"/>
      <c r="M74" s="331"/>
      <c r="N74" s="331"/>
      <c r="O74" s="332" t="s">
        <v>731</v>
      </c>
      <c r="P74" s="325" t="s">
        <v>731</v>
      </c>
      <c r="Q74" s="325" t="s">
        <v>731</v>
      </c>
      <c r="R74" s="326" t="s">
        <v>731</v>
      </c>
      <c r="S74" s="314" t="s">
        <v>1816</v>
      </c>
    </row>
    <row r="75" spans="2:19" ht="15" thickBot="1" x14ac:dyDescent="0.35">
      <c r="B75" s="305" t="str">
        <f t="shared" si="3"/>
        <v>Master  Shine</v>
      </c>
      <c r="C75" s="1195">
        <f t="shared" si="4"/>
        <v>1419.3400000000001</v>
      </c>
      <c r="D75" s="1195">
        <f t="shared" si="5"/>
        <v>0</v>
      </c>
      <c r="E75" s="1202">
        <v>1419.3400000000001</v>
      </c>
      <c r="F75" s="1203"/>
      <c r="G75" s="1218">
        <v>55.12</v>
      </c>
      <c r="H75" s="1218"/>
      <c r="I75" s="1218">
        <v>212</v>
      </c>
      <c r="J75" s="1218"/>
      <c r="K75" s="1219">
        <v>12677.599999999999</v>
      </c>
      <c r="L75" s="1220"/>
      <c r="M75" s="333"/>
      <c r="N75" s="333"/>
      <c r="O75" s="334" t="s">
        <v>732</v>
      </c>
      <c r="P75" s="335" t="s">
        <v>732</v>
      </c>
      <c r="Q75" s="335" t="s">
        <v>732</v>
      </c>
      <c r="R75" s="336" t="s">
        <v>732</v>
      </c>
      <c r="S75" s="314" t="s">
        <v>1817</v>
      </c>
    </row>
    <row r="76" spans="2:19" x14ac:dyDescent="0.3">
      <c r="B76" s="305" t="str">
        <f t="shared" si="3"/>
        <v>Lacobel RAL 1013</v>
      </c>
      <c r="C76" s="1195">
        <f t="shared" si="4"/>
        <v>1812.8</v>
      </c>
      <c r="D76" s="1195">
        <f t="shared" si="5"/>
        <v>0</v>
      </c>
      <c r="E76" s="1202">
        <v>1812.8</v>
      </c>
      <c r="F76" s="1203"/>
      <c r="G76" s="1212">
        <v>70.400000000000006</v>
      </c>
      <c r="H76" s="1212"/>
      <c r="I76" s="1212">
        <v>270.76923076923077</v>
      </c>
      <c r="J76" s="1212"/>
      <c r="K76" s="1213">
        <v>16191.999999999998</v>
      </c>
      <c r="L76" s="1214"/>
      <c r="M76" s="329"/>
      <c r="N76" s="329"/>
      <c r="O76" s="337" t="s">
        <v>61</v>
      </c>
      <c r="P76" s="338" t="s">
        <v>61</v>
      </c>
      <c r="Q76" s="338" t="s">
        <v>61</v>
      </c>
      <c r="R76" s="339" t="s">
        <v>61</v>
      </c>
      <c r="S76" s="314" t="s">
        <v>61</v>
      </c>
    </row>
    <row r="77" spans="2:19" x14ac:dyDescent="0.3">
      <c r="B77" s="305" t="str">
        <f t="shared" si="3"/>
        <v>Lacobel RAL 1014</v>
      </c>
      <c r="C77" s="1195">
        <f t="shared" si="4"/>
        <v>1493.5</v>
      </c>
      <c r="D77" s="1195">
        <f t="shared" si="5"/>
        <v>0</v>
      </c>
      <c r="E77" s="1202">
        <v>1493.5</v>
      </c>
      <c r="F77" s="1203"/>
      <c r="G77" s="1215">
        <v>58</v>
      </c>
      <c r="H77" s="1215"/>
      <c r="I77" s="1215">
        <v>223.07692307692307</v>
      </c>
      <c r="J77" s="1215"/>
      <c r="K77" s="1216">
        <v>13339.999999999998</v>
      </c>
      <c r="L77" s="1217"/>
      <c r="M77" s="331"/>
      <c r="N77" s="331"/>
      <c r="O77" s="332" t="s">
        <v>62</v>
      </c>
      <c r="P77" s="338" t="s">
        <v>62</v>
      </c>
      <c r="Q77" s="338" t="s">
        <v>62</v>
      </c>
      <c r="R77" s="339" t="s">
        <v>62</v>
      </c>
      <c r="S77" s="314" t="s">
        <v>62</v>
      </c>
    </row>
    <row r="78" spans="2:19" x14ac:dyDescent="0.3">
      <c r="B78" s="305" t="str">
        <f t="shared" si="3"/>
        <v>Lacobel RAL 1015</v>
      </c>
      <c r="C78" s="1195">
        <f t="shared" si="4"/>
        <v>1493.5</v>
      </c>
      <c r="D78" s="1195">
        <f t="shared" si="5"/>
        <v>0</v>
      </c>
      <c r="E78" s="1202">
        <v>1493.5</v>
      </c>
      <c r="F78" s="1203"/>
      <c r="G78" s="1215">
        <v>58</v>
      </c>
      <c r="H78" s="1215"/>
      <c r="I78" s="1215">
        <v>223.07692307692307</v>
      </c>
      <c r="J78" s="1215"/>
      <c r="K78" s="1216">
        <v>13339.999999999998</v>
      </c>
      <c r="L78" s="1217"/>
      <c r="M78" s="331"/>
      <c r="N78" s="331"/>
      <c r="O78" s="332" t="s">
        <v>45</v>
      </c>
      <c r="P78" s="340" t="s">
        <v>45</v>
      </c>
      <c r="Q78" s="340" t="s">
        <v>45</v>
      </c>
      <c r="R78" s="341" t="s">
        <v>45</v>
      </c>
      <c r="S78" s="314" t="s">
        <v>45</v>
      </c>
    </row>
    <row r="79" spans="2:19" ht="15" thickBot="1" x14ac:dyDescent="0.35">
      <c r="B79" s="305" t="str">
        <f t="shared" si="3"/>
        <v>Lacobel RAL 2001</v>
      </c>
      <c r="C79" s="1195">
        <f t="shared" si="4"/>
        <v>1493.5</v>
      </c>
      <c r="D79" s="1195">
        <f t="shared" si="5"/>
        <v>0</v>
      </c>
      <c r="E79" s="1202">
        <v>1493.5</v>
      </c>
      <c r="F79" s="1203"/>
      <c r="G79" s="1215">
        <v>58</v>
      </c>
      <c r="H79" s="1215"/>
      <c r="I79" s="1215">
        <v>223.07692307692307</v>
      </c>
      <c r="J79" s="1215"/>
      <c r="K79" s="1216">
        <v>13339.999999999998</v>
      </c>
      <c r="L79" s="1217"/>
      <c r="M79" s="331"/>
      <c r="N79" s="331"/>
      <c r="O79" s="332" t="s">
        <v>51</v>
      </c>
      <c r="P79" s="342" t="s">
        <v>51</v>
      </c>
      <c r="Q79" s="342" t="s">
        <v>51</v>
      </c>
      <c r="R79" s="343" t="s">
        <v>51</v>
      </c>
      <c r="S79" s="314" t="s">
        <v>51</v>
      </c>
    </row>
    <row r="80" spans="2:19" x14ac:dyDescent="0.3">
      <c r="B80" s="305" t="str">
        <f t="shared" si="3"/>
        <v>Lacobel RAL 3004</v>
      </c>
      <c r="C80" s="1195">
        <f t="shared" si="4"/>
        <v>1493.5</v>
      </c>
      <c r="D80" s="1195">
        <f t="shared" si="5"/>
        <v>0</v>
      </c>
      <c r="E80" s="1202">
        <v>1493.5</v>
      </c>
      <c r="F80" s="1203"/>
      <c r="G80" s="1215">
        <v>58</v>
      </c>
      <c r="H80" s="1215"/>
      <c r="I80" s="1215">
        <v>223.07692307692307</v>
      </c>
      <c r="J80" s="1215"/>
      <c r="K80" s="1216">
        <v>13339.999999999998</v>
      </c>
      <c r="L80" s="1217"/>
      <c r="M80" s="331"/>
      <c r="N80" s="331"/>
      <c r="O80" s="332" t="s">
        <v>52</v>
      </c>
      <c r="P80" s="344" t="s">
        <v>52</v>
      </c>
      <c r="Q80" s="344" t="s">
        <v>52</v>
      </c>
      <c r="R80" s="345" t="s">
        <v>52</v>
      </c>
      <c r="S80" s="314" t="s">
        <v>52</v>
      </c>
    </row>
    <row r="81" spans="2:19" x14ac:dyDescent="0.3">
      <c r="B81" s="305" t="str">
        <f t="shared" si="3"/>
        <v>Lacobel RAL 4006</v>
      </c>
      <c r="C81" s="1195">
        <f t="shared" si="4"/>
        <v>1493.5</v>
      </c>
      <c r="D81" s="1195">
        <f t="shared" si="5"/>
        <v>0</v>
      </c>
      <c r="E81" s="1202">
        <v>1493.5</v>
      </c>
      <c r="F81" s="1203"/>
      <c r="G81" s="1215">
        <v>58</v>
      </c>
      <c r="H81" s="1215"/>
      <c r="I81" s="1215">
        <v>223.07692307692307</v>
      </c>
      <c r="J81" s="1215"/>
      <c r="K81" s="1216">
        <v>13339.999999999998</v>
      </c>
      <c r="L81" s="1217"/>
      <c r="M81" s="331"/>
      <c r="N81" s="331"/>
      <c r="O81" s="332" t="s">
        <v>53</v>
      </c>
      <c r="P81" s="340" t="s">
        <v>53</v>
      </c>
      <c r="Q81" s="340" t="s">
        <v>53</v>
      </c>
      <c r="R81" s="341" t="s">
        <v>53</v>
      </c>
      <c r="S81" s="314" t="s">
        <v>53</v>
      </c>
    </row>
    <row r="82" spans="2:19" x14ac:dyDescent="0.3">
      <c r="B82" s="305" t="str">
        <f t="shared" si="3"/>
        <v>Lacobel RAL 5002</v>
      </c>
      <c r="C82" s="1195">
        <f t="shared" si="4"/>
        <v>1493.5</v>
      </c>
      <c r="D82" s="1195">
        <f t="shared" si="5"/>
        <v>0</v>
      </c>
      <c r="E82" s="1202">
        <v>1493.5</v>
      </c>
      <c r="F82" s="1203"/>
      <c r="G82" s="1215">
        <v>58</v>
      </c>
      <c r="H82" s="1215"/>
      <c r="I82" s="1215">
        <v>223.07692307692307</v>
      </c>
      <c r="J82" s="1215"/>
      <c r="K82" s="1216">
        <v>13339.999999999998</v>
      </c>
      <c r="L82" s="1217"/>
      <c r="M82" s="331"/>
      <c r="N82" s="331"/>
      <c r="O82" s="332" t="s">
        <v>46</v>
      </c>
      <c r="P82" s="340" t="s">
        <v>46</v>
      </c>
      <c r="Q82" s="340" t="s">
        <v>46</v>
      </c>
      <c r="R82" s="341" t="s">
        <v>46</v>
      </c>
      <c r="S82" s="314" t="s">
        <v>46</v>
      </c>
    </row>
    <row r="83" spans="2:19" x14ac:dyDescent="0.3">
      <c r="B83" s="305" t="str">
        <f t="shared" si="3"/>
        <v>Lacobel RAL 7035</v>
      </c>
      <c r="C83" s="1195">
        <f t="shared" si="4"/>
        <v>1493.5</v>
      </c>
      <c r="D83" s="1195">
        <f t="shared" si="5"/>
        <v>0</v>
      </c>
      <c r="E83" s="1202">
        <v>1493.5</v>
      </c>
      <c r="F83" s="1203"/>
      <c r="G83" s="1215">
        <v>58</v>
      </c>
      <c r="H83" s="1215"/>
      <c r="I83" s="1215">
        <v>223.07692307692307</v>
      </c>
      <c r="J83" s="1215"/>
      <c r="K83" s="1216">
        <v>13339.999999999998</v>
      </c>
      <c r="L83" s="1217"/>
      <c r="M83" s="331"/>
      <c r="N83" s="331"/>
      <c r="O83" s="332" t="s">
        <v>56</v>
      </c>
      <c r="P83" s="340" t="s">
        <v>56</v>
      </c>
      <c r="Q83" s="340" t="s">
        <v>56</v>
      </c>
      <c r="R83" s="341" t="s">
        <v>56</v>
      </c>
      <c r="S83" s="314" t="s">
        <v>56</v>
      </c>
    </row>
    <row r="84" spans="2:19" x14ac:dyDescent="0.3">
      <c r="B84" s="305" t="str">
        <f t="shared" ref="B84:B112" si="6">IF($D$1=1,O:O,IF($D$1=2,P:P,IF($D$1=3,Q:Q,IF($D$1=4,R:R,IF($D$1=5,S:S)))))</f>
        <v>Lacobel RAL 8017</v>
      </c>
      <c r="C84" s="1195">
        <f t="shared" ref="C84:C112" si="7">IF($D$1=1,E:E,IF($D$1=2,G:G,IF($D$1=3,I:I,IF($D$1=4,K:K,IF($D$1=5,M:M)))))</f>
        <v>1493.5</v>
      </c>
      <c r="D84" s="1195">
        <f t="shared" si="5"/>
        <v>0</v>
      </c>
      <c r="E84" s="1202">
        <v>1493.5</v>
      </c>
      <c r="F84" s="1203"/>
      <c r="G84" s="1215">
        <v>58</v>
      </c>
      <c r="H84" s="1215"/>
      <c r="I84" s="1215">
        <v>223.07692307692307</v>
      </c>
      <c r="J84" s="1215"/>
      <c r="K84" s="1216">
        <v>13339.999999999998</v>
      </c>
      <c r="L84" s="1217"/>
      <c r="M84" s="331"/>
      <c r="N84" s="331"/>
      <c r="O84" s="332" t="s">
        <v>60</v>
      </c>
      <c r="P84" s="340" t="s">
        <v>60</v>
      </c>
      <c r="Q84" s="340" t="s">
        <v>60</v>
      </c>
      <c r="R84" s="341" t="s">
        <v>60</v>
      </c>
      <c r="S84" s="314" t="s">
        <v>60</v>
      </c>
    </row>
    <row r="85" spans="2:19" x14ac:dyDescent="0.3">
      <c r="B85" s="305" t="str">
        <f t="shared" si="6"/>
        <v>Lacobel RAL 9003</v>
      </c>
      <c r="C85" s="1195">
        <f t="shared" si="7"/>
        <v>1812.8</v>
      </c>
      <c r="D85" s="1195">
        <f t="shared" si="5"/>
        <v>0</v>
      </c>
      <c r="E85" s="1202">
        <v>1812.8</v>
      </c>
      <c r="F85" s="1203"/>
      <c r="G85" s="1215">
        <v>70.400000000000006</v>
      </c>
      <c r="H85" s="1215"/>
      <c r="I85" s="1215">
        <v>270.76923076923077</v>
      </c>
      <c r="J85" s="1215"/>
      <c r="K85" s="1216">
        <v>16191.999999999998</v>
      </c>
      <c r="L85" s="1217"/>
      <c r="M85" s="331"/>
      <c r="N85" s="331"/>
      <c r="O85" s="332" t="s">
        <v>63</v>
      </c>
      <c r="P85" s="340" t="s">
        <v>63</v>
      </c>
      <c r="Q85" s="340" t="s">
        <v>63</v>
      </c>
      <c r="R85" s="341" t="s">
        <v>63</v>
      </c>
      <c r="S85" s="314" t="s">
        <v>63</v>
      </c>
    </row>
    <row r="86" spans="2:19" x14ac:dyDescent="0.3">
      <c r="B86" s="305" t="str">
        <f t="shared" si="6"/>
        <v>Lacobel RAL 9005</v>
      </c>
      <c r="C86" s="1195">
        <f t="shared" si="7"/>
        <v>1493.5</v>
      </c>
      <c r="D86" s="1195">
        <f t="shared" si="5"/>
        <v>0</v>
      </c>
      <c r="E86" s="1202">
        <v>1493.5</v>
      </c>
      <c r="F86" s="1203"/>
      <c r="G86" s="1215">
        <v>58</v>
      </c>
      <c r="H86" s="1215"/>
      <c r="I86" s="1215">
        <v>223.07692307692307</v>
      </c>
      <c r="J86" s="1215"/>
      <c r="K86" s="1216">
        <v>13339.999999999998</v>
      </c>
      <c r="L86" s="1217"/>
      <c r="M86" s="331"/>
      <c r="N86" s="331"/>
      <c r="O86" s="332" t="s">
        <v>65</v>
      </c>
      <c r="P86" s="340" t="s">
        <v>65</v>
      </c>
      <c r="Q86" s="340" t="s">
        <v>65</v>
      </c>
      <c r="R86" s="341" t="s">
        <v>65</v>
      </c>
      <c r="S86" s="314" t="s">
        <v>65</v>
      </c>
    </row>
    <row r="87" spans="2:19" x14ac:dyDescent="0.3">
      <c r="B87" s="305" t="str">
        <f t="shared" si="6"/>
        <v>Lacobel RAL 9006</v>
      </c>
      <c r="C87" s="1195">
        <f t="shared" si="7"/>
        <v>1493.5</v>
      </c>
      <c r="D87" s="1195">
        <f t="shared" si="5"/>
        <v>0</v>
      </c>
      <c r="E87" s="1202">
        <v>1493.5</v>
      </c>
      <c r="F87" s="1203"/>
      <c r="G87" s="1215">
        <v>58</v>
      </c>
      <c r="H87" s="1215"/>
      <c r="I87" s="1215">
        <v>223.07692307692307</v>
      </c>
      <c r="J87" s="1215"/>
      <c r="K87" s="1216">
        <v>13339.999999999998</v>
      </c>
      <c r="L87" s="1217"/>
      <c r="M87" s="331"/>
      <c r="N87" s="331"/>
      <c r="O87" s="332" t="s">
        <v>64</v>
      </c>
      <c r="P87" s="340" t="s">
        <v>64</v>
      </c>
      <c r="Q87" s="340" t="s">
        <v>64</v>
      </c>
      <c r="R87" s="341" t="s">
        <v>64</v>
      </c>
      <c r="S87" s="314" t="s">
        <v>64</v>
      </c>
    </row>
    <row r="88" spans="2:19" x14ac:dyDescent="0.3">
      <c r="B88" s="305" t="str">
        <f t="shared" si="6"/>
        <v>Lacobel RAL 9007</v>
      </c>
      <c r="C88" s="1195">
        <f t="shared" si="7"/>
        <v>1812.8</v>
      </c>
      <c r="D88" s="1195">
        <f t="shared" si="5"/>
        <v>0</v>
      </c>
      <c r="E88" s="1202">
        <v>1812.8</v>
      </c>
      <c r="F88" s="1203"/>
      <c r="G88" s="1215">
        <v>70.400000000000006</v>
      </c>
      <c r="H88" s="1215"/>
      <c r="I88" s="1215">
        <v>270.76923076923077</v>
      </c>
      <c r="J88" s="1215"/>
      <c r="K88" s="1216">
        <v>16191.999999999998</v>
      </c>
      <c r="L88" s="1217"/>
      <c r="M88" s="331"/>
      <c r="N88" s="331"/>
      <c r="O88" s="332" t="s">
        <v>1013</v>
      </c>
      <c r="P88" s="340" t="s">
        <v>1013</v>
      </c>
      <c r="Q88" s="340" t="s">
        <v>1013</v>
      </c>
      <c r="R88" s="341" t="s">
        <v>1013</v>
      </c>
      <c r="S88" s="314" t="s">
        <v>1013</v>
      </c>
    </row>
    <row r="89" spans="2:19" x14ac:dyDescent="0.3">
      <c r="B89" s="305" t="str">
        <f t="shared" si="6"/>
        <v>Lacobel RAL 9010</v>
      </c>
      <c r="C89" s="1195">
        <f t="shared" si="7"/>
        <v>1493.5</v>
      </c>
      <c r="D89" s="1195">
        <f t="shared" si="5"/>
        <v>0</v>
      </c>
      <c r="E89" s="1202">
        <v>1493.5</v>
      </c>
      <c r="F89" s="1203"/>
      <c r="G89" s="1215">
        <v>58</v>
      </c>
      <c r="H89" s="1215"/>
      <c r="I89" s="1215">
        <v>223.07692307692307</v>
      </c>
      <c r="J89" s="1215"/>
      <c r="K89" s="1216">
        <v>13339.999999999998</v>
      </c>
      <c r="L89" s="1217"/>
      <c r="M89" s="331"/>
      <c r="N89" s="331"/>
      <c r="O89" s="332" t="s">
        <v>47</v>
      </c>
      <c r="P89" s="340" t="s">
        <v>47</v>
      </c>
      <c r="Q89" s="340" t="s">
        <v>47</v>
      </c>
      <c r="R89" s="341" t="s">
        <v>47</v>
      </c>
      <c r="S89" s="314" t="s">
        <v>47</v>
      </c>
    </row>
    <row r="90" spans="2:19" x14ac:dyDescent="0.3">
      <c r="B90" s="305" t="str">
        <f t="shared" si="6"/>
        <v>Lacobel REF 0128</v>
      </c>
      <c r="C90" s="1195">
        <f t="shared" si="7"/>
        <v>1812.8</v>
      </c>
      <c r="D90" s="1195">
        <f t="shared" si="5"/>
        <v>0</v>
      </c>
      <c r="E90" s="1202">
        <v>1812.8</v>
      </c>
      <c r="F90" s="1203"/>
      <c r="G90" s="1215">
        <v>70.400000000000006</v>
      </c>
      <c r="H90" s="1215"/>
      <c r="I90" s="1215">
        <v>270.76923076923077</v>
      </c>
      <c r="J90" s="1215"/>
      <c r="K90" s="1216">
        <v>16191.999999999998</v>
      </c>
      <c r="L90" s="1217"/>
      <c r="M90" s="331"/>
      <c r="N90" s="331"/>
      <c r="O90" s="332" t="s">
        <v>54</v>
      </c>
      <c r="P90" s="340" t="s">
        <v>54</v>
      </c>
      <c r="Q90" s="340" t="s">
        <v>54</v>
      </c>
      <c r="R90" s="341" t="s">
        <v>54</v>
      </c>
      <c r="S90" s="314" t="s">
        <v>54</v>
      </c>
    </row>
    <row r="91" spans="2:19" x14ac:dyDescent="0.3">
      <c r="B91" s="305" t="str">
        <f t="shared" si="6"/>
        <v>Lacobel REF 0327</v>
      </c>
      <c r="C91" s="1195">
        <f t="shared" si="7"/>
        <v>1812.8</v>
      </c>
      <c r="D91" s="1195">
        <f t="shared" si="5"/>
        <v>0</v>
      </c>
      <c r="E91" s="1202">
        <v>1812.8</v>
      </c>
      <c r="F91" s="1203"/>
      <c r="G91" s="1215">
        <v>70.400000000000006</v>
      </c>
      <c r="H91" s="1215"/>
      <c r="I91" s="1215">
        <v>270.76923076923077</v>
      </c>
      <c r="J91" s="1215"/>
      <c r="K91" s="1216">
        <v>16191.999999999998</v>
      </c>
      <c r="L91" s="1217"/>
      <c r="M91" s="331"/>
      <c r="N91" s="331"/>
      <c r="O91" s="332" t="s">
        <v>66</v>
      </c>
      <c r="P91" s="340" t="s">
        <v>66</v>
      </c>
      <c r="Q91" s="340" t="s">
        <v>66</v>
      </c>
      <c r="R91" s="341" t="s">
        <v>66</v>
      </c>
      <c r="S91" s="314" t="s">
        <v>66</v>
      </c>
    </row>
    <row r="92" spans="2:19" x14ac:dyDescent="0.3">
      <c r="B92" s="305" t="str">
        <f t="shared" si="6"/>
        <v>Lacobel REF 0337</v>
      </c>
      <c r="C92" s="1195">
        <f t="shared" si="7"/>
        <v>1812.8</v>
      </c>
      <c r="D92" s="1195">
        <f t="shared" si="5"/>
        <v>0</v>
      </c>
      <c r="E92" s="1202">
        <v>1812.8</v>
      </c>
      <c r="F92" s="1203"/>
      <c r="G92" s="1215">
        <v>70.400000000000006</v>
      </c>
      <c r="H92" s="1215"/>
      <c r="I92" s="1215">
        <v>270.76923076923077</v>
      </c>
      <c r="J92" s="1215"/>
      <c r="K92" s="1216">
        <v>16191.999999999998</v>
      </c>
      <c r="L92" s="1217"/>
      <c r="M92" s="331"/>
      <c r="N92" s="331"/>
      <c r="O92" s="332" t="s">
        <v>57</v>
      </c>
      <c r="P92" s="340" t="s">
        <v>57</v>
      </c>
      <c r="Q92" s="340" t="s">
        <v>57</v>
      </c>
      <c r="R92" s="341" t="s">
        <v>57</v>
      </c>
      <c r="S92" s="314" t="s">
        <v>57</v>
      </c>
    </row>
    <row r="93" spans="2:19" x14ac:dyDescent="0.3">
      <c r="B93" s="305" t="str">
        <f t="shared" si="6"/>
        <v>Lacobel REF 0627</v>
      </c>
      <c r="C93" s="1195">
        <f t="shared" si="7"/>
        <v>1812.8</v>
      </c>
      <c r="D93" s="1195">
        <f t="shared" si="5"/>
        <v>0</v>
      </c>
      <c r="E93" s="1202">
        <v>1812.8</v>
      </c>
      <c r="F93" s="1203"/>
      <c r="G93" s="1215">
        <v>70.400000000000006</v>
      </c>
      <c r="H93" s="1215"/>
      <c r="I93" s="1215">
        <v>270.76923076923077</v>
      </c>
      <c r="J93" s="1215"/>
      <c r="K93" s="1216">
        <v>16191.999999999998</v>
      </c>
      <c r="L93" s="1217"/>
      <c r="M93" s="331"/>
      <c r="N93" s="331"/>
      <c r="O93" s="332" t="s">
        <v>58</v>
      </c>
      <c r="P93" s="340" t="s">
        <v>58</v>
      </c>
      <c r="Q93" s="340" t="s">
        <v>58</v>
      </c>
      <c r="R93" s="341" t="s">
        <v>58</v>
      </c>
      <c r="S93" s="314" t="s">
        <v>58</v>
      </c>
    </row>
    <row r="94" spans="2:19" x14ac:dyDescent="0.3">
      <c r="B94" s="305" t="str">
        <f t="shared" si="6"/>
        <v>Lacobel REF 0667</v>
      </c>
      <c r="C94" s="1195">
        <f t="shared" si="7"/>
        <v>1493.5</v>
      </c>
      <c r="D94" s="1195">
        <f t="shared" si="5"/>
        <v>0</v>
      </c>
      <c r="E94" s="1202">
        <v>1493.5</v>
      </c>
      <c r="F94" s="1203"/>
      <c r="G94" s="1215">
        <v>58</v>
      </c>
      <c r="H94" s="1215"/>
      <c r="I94" s="1215">
        <v>223.07692307692307</v>
      </c>
      <c r="J94" s="1215"/>
      <c r="K94" s="1216">
        <v>13339.999999999998</v>
      </c>
      <c r="L94" s="1217"/>
      <c r="M94" s="331"/>
      <c r="N94" s="331"/>
      <c r="O94" s="332" t="s">
        <v>48</v>
      </c>
      <c r="P94" s="340" t="s">
        <v>48</v>
      </c>
      <c r="Q94" s="340" t="s">
        <v>48</v>
      </c>
      <c r="R94" s="341" t="s">
        <v>48</v>
      </c>
      <c r="S94" s="314" t="s">
        <v>48</v>
      </c>
    </row>
    <row r="95" spans="2:19" x14ac:dyDescent="0.3">
      <c r="B95" s="305" t="str">
        <f t="shared" si="6"/>
        <v>Lacobel REF 1164</v>
      </c>
      <c r="C95" s="1195">
        <f t="shared" si="7"/>
        <v>1493.5</v>
      </c>
      <c r="D95" s="1195">
        <f t="shared" si="5"/>
        <v>0</v>
      </c>
      <c r="E95" s="1202">
        <v>1493.5</v>
      </c>
      <c r="F95" s="1203"/>
      <c r="G95" s="1215">
        <v>58</v>
      </c>
      <c r="H95" s="1215"/>
      <c r="I95" s="1215">
        <v>223.07692307692307</v>
      </c>
      <c r="J95" s="1215"/>
      <c r="K95" s="1216">
        <v>13339.999999999998</v>
      </c>
      <c r="L95" s="1217"/>
      <c r="M95" s="331"/>
      <c r="N95" s="331"/>
      <c r="O95" s="332" t="s">
        <v>49</v>
      </c>
      <c r="P95" s="340" t="s">
        <v>49</v>
      </c>
      <c r="Q95" s="340" t="s">
        <v>49</v>
      </c>
      <c r="R95" s="341" t="s">
        <v>49</v>
      </c>
      <c r="S95" s="314" t="s">
        <v>49</v>
      </c>
    </row>
    <row r="96" spans="2:19" x14ac:dyDescent="0.3">
      <c r="B96" s="305" t="str">
        <f t="shared" si="6"/>
        <v>Lacobel REF 1236</v>
      </c>
      <c r="C96" s="1195">
        <f t="shared" si="7"/>
        <v>1493.5</v>
      </c>
      <c r="D96" s="1195">
        <f t="shared" si="5"/>
        <v>0</v>
      </c>
      <c r="E96" s="1202">
        <v>1493.5</v>
      </c>
      <c r="F96" s="1203"/>
      <c r="G96" s="1215">
        <v>58</v>
      </c>
      <c r="H96" s="1215"/>
      <c r="I96" s="1215">
        <v>223.07692307692307</v>
      </c>
      <c r="J96" s="1215"/>
      <c r="K96" s="1216">
        <v>13339.999999999998</v>
      </c>
      <c r="L96" s="1217"/>
      <c r="M96" s="331"/>
      <c r="N96" s="331"/>
      <c r="O96" s="332" t="s">
        <v>55</v>
      </c>
      <c r="P96" s="340" t="s">
        <v>55</v>
      </c>
      <c r="Q96" s="340" t="s">
        <v>55</v>
      </c>
      <c r="R96" s="341" t="s">
        <v>55</v>
      </c>
      <c r="S96" s="314" t="s">
        <v>55</v>
      </c>
    </row>
    <row r="97" spans="2:19" x14ac:dyDescent="0.3">
      <c r="B97" s="305" t="str">
        <f t="shared" si="6"/>
        <v>Lacobel REF 1435</v>
      </c>
      <c r="C97" s="1195">
        <f t="shared" si="7"/>
        <v>1493.5</v>
      </c>
      <c r="D97" s="1195">
        <f t="shared" si="5"/>
        <v>0</v>
      </c>
      <c r="E97" s="1202">
        <v>1493.5</v>
      </c>
      <c r="F97" s="1203"/>
      <c r="G97" s="1215">
        <v>58</v>
      </c>
      <c r="H97" s="1215"/>
      <c r="I97" s="1215">
        <v>223.07692307692307</v>
      </c>
      <c r="J97" s="1215"/>
      <c r="K97" s="1216">
        <v>13339.999999999998</v>
      </c>
      <c r="L97" s="1217"/>
      <c r="M97" s="331"/>
      <c r="N97" s="331"/>
      <c r="O97" s="332" t="s">
        <v>50</v>
      </c>
      <c r="P97" s="340" t="s">
        <v>50</v>
      </c>
      <c r="Q97" s="340" t="s">
        <v>50</v>
      </c>
      <c r="R97" s="341" t="s">
        <v>50</v>
      </c>
      <c r="S97" s="314" t="s">
        <v>50</v>
      </c>
    </row>
    <row r="98" spans="2:19" x14ac:dyDescent="0.3">
      <c r="B98" s="305" t="str">
        <f t="shared" si="6"/>
        <v>Lacobel REF 1586</v>
      </c>
      <c r="C98" s="1195">
        <f t="shared" si="7"/>
        <v>1493.5</v>
      </c>
      <c r="D98" s="1195">
        <f t="shared" si="5"/>
        <v>0</v>
      </c>
      <c r="E98" s="1202">
        <v>1493.5</v>
      </c>
      <c r="F98" s="1203"/>
      <c r="G98" s="1215">
        <v>58</v>
      </c>
      <c r="H98" s="1215"/>
      <c r="I98" s="1215">
        <v>223.07692307692307</v>
      </c>
      <c r="J98" s="1215"/>
      <c r="K98" s="1216">
        <v>13339.999999999998</v>
      </c>
      <c r="L98" s="1217"/>
      <c r="M98" s="331"/>
      <c r="N98" s="331"/>
      <c r="O98" s="332" t="s">
        <v>67</v>
      </c>
      <c r="P98" s="340" t="s">
        <v>67</v>
      </c>
      <c r="Q98" s="340" t="s">
        <v>67</v>
      </c>
      <c r="R98" s="341" t="s">
        <v>67</v>
      </c>
      <c r="S98" s="314" t="s">
        <v>67</v>
      </c>
    </row>
    <row r="99" spans="2:19" x14ac:dyDescent="0.3">
      <c r="B99" s="305" t="str">
        <f t="shared" si="6"/>
        <v>Lacobel REF 1603</v>
      </c>
      <c r="C99" s="1195">
        <f t="shared" si="7"/>
        <v>1493.5</v>
      </c>
      <c r="D99" s="1195">
        <f t="shared" si="5"/>
        <v>0</v>
      </c>
      <c r="E99" s="1202">
        <v>1493.5</v>
      </c>
      <c r="F99" s="1203"/>
      <c r="G99" s="1215">
        <v>58</v>
      </c>
      <c r="H99" s="1215"/>
      <c r="I99" s="1215">
        <v>223.07692307692307</v>
      </c>
      <c r="J99" s="1215"/>
      <c r="K99" s="1216">
        <v>13339.999999999998</v>
      </c>
      <c r="L99" s="1217"/>
      <c r="M99" s="331"/>
      <c r="N99" s="331"/>
      <c r="O99" s="332" t="s">
        <v>44</v>
      </c>
      <c r="P99" s="340" t="s">
        <v>44</v>
      </c>
      <c r="Q99" s="340" t="s">
        <v>44</v>
      </c>
      <c r="R99" s="341" t="s">
        <v>44</v>
      </c>
      <c r="S99" s="314" t="s">
        <v>44</v>
      </c>
    </row>
    <row r="100" spans="2:19" x14ac:dyDescent="0.3">
      <c r="B100" s="305" t="str">
        <f t="shared" si="6"/>
        <v>Lacobel REF 1604</v>
      </c>
      <c r="C100" s="1195">
        <f t="shared" si="7"/>
        <v>1493.5</v>
      </c>
      <c r="D100" s="1195">
        <f t="shared" si="5"/>
        <v>0</v>
      </c>
      <c r="E100" s="1202">
        <v>1493.5</v>
      </c>
      <c r="F100" s="1203"/>
      <c r="G100" s="1215">
        <v>58</v>
      </c>
      <c r="H100" s="1215"/>
      <c r="I100" s="1215">
        <v>223.07692307692307</v>
      </c>
      <c r="J100" s="1215"/>
      <c r="K100" s="1216">
        <v>13339.999999999998</v>
      </c>
      <c r="L100" s="1217"/>
      <c r="M100" s="331"/>
      <c r="N100" s="331"/>
      <c r="O100" s="332" t="s">
        <v>59</v>
      </c>
      <c r="P100" s="340" t="s">
        <v>59</v>
      </c>
      <c r="Q100" s="340" t="s">
        <v>59</v>
      </c>
      <c r="R100" s="341" t="s">
        <v>59</v>
      </c>
      <c r="S100" s="314" t="s">
        <v>59</v>
      </c>
    </row>
    <row r="101" spans="2:19" x14ac:dyDescent="0.3">
      <c r="B101" s="305" t="str">
        <f t="shared" si="6"/>
        <v>Matelac RAL 2001</v>
      </c>
      <c r="C101" s="1195">
        <f t="shared" si="7"/>
        <v>2502.9</v>
      </c>
      <c r="D101" s="1195">
        <f t="shared" si="5"/>
        <v>0</v>
      </c>
      <c r="E101" s="1202">
        <v>2502.9</v>
      </c>
      <c r="F101" s="1203"/>
      <c r="G101" s="1215">
        <v>97.2</v>
      </c>
      <c r="H101" s="1215"/>
      <c r="I101" s="1215">
        <v>373.84615384615387</v>
      </c>
      <c r="J101" s="1215"/>
      <c r="K101" s="1216">
        <v>22356</v>
      </c>
      <c r="L101" s="1217"/>
      <c r="M101" s="331"/>
      <c r="N101" s="331"/>
      <c r="O101" s="332" t="s">
        <v>74</v>
      </c>
      <c r="P101" s="340" t="s">
        <v>74</v>
      </c>
      <c r="Q101" s="340" t="s">
        <v>74</v>
      </c>
      <c r="R101" s="341" t="s">
        <v>74</v>
      </c>
      <c r="S101" s="314" t="s">
        <v>74</v>
      </c>
    </row>
    <row r="102" spans="2:19" x14ac:dyDescent="0.3">
      <c r="B102" s="305" t="str">
        <f t="shared" si="6"/>
        <v>Matelac RAL 3004</v>
      </c>
      <c r="C102" s="1195">
        <f t="shared" si="7"/>
        <v>2502.9</v>
      </c>
      <c r="D102" s="1195">
        <f t="shared" si="5"/>
        <v>0</v>
      </c>
      <c r="E102" s="1202">
        <v>2502.9</v>
      </c>
      <c r="F102" s="1203"/>
      <c r="G102" s="1215">
        <v>97.2</v>
      </c>
      <c r="H102" s="1215"/>
      <c r="I102" s="1215">
        <v>373.84615384615387</v>
      </c>
      <c r="J102" s="1215"/>
      <c r="K102" s="1216">
        <v>22356</v>
      </c>
      <c r="L102" s="1217"/>
      <c r="M102" s="331"/>
      <c r="N102" s="331"/>
      <c r="O102" s="332" t="s">
        <v>76</v>
      </c>
      <c r="P102" s="340" t="s">
        <v>76</v>
      </c>
      <c r="Q102" s="340" t="s">
        <v>76</v>
      </c>
      <c r="R102" s="341" t="s">
        <v>76</v>
      </c>
      <c r="S102" s="314" t="s">
        <v>76</v>
      </c>
    </row>
    <row r="103" spans="2:19" x14ac:dyDescent="0.3">
      <c r="B103" s="305" t="str">
        <f t="shared" si="6"/>
        <v>Matelac RAL 7021</v>
      </c>
      <c r="C103" s="1195">
        <f t="shared" si="7"/>
        <v>2502.9</v>
      </c>
      <c r="D103" s="1195">
        <f t="shared" si="5"/>
        <v>0</v>
      </c>
      <c r="E103" s="1202">
        <v>2502.9</v>
      </c>
      <c r="F103" s="1203"/>
      <c r="G103" s="1215">
        <v>97.2</v>
      </c>
      <c r="H103" s="1215"/>
      <c r="I103" s="1215">
        <v>373.84615384615387</v>
      </c>
      <c r="J103" s="1215"/>
      <c r="K103" s="1216">
        <v>22356</v>
      </c>
      <c r="L103" s="1217"/>
      <c r="M103" s="331"/>
      <c r="N103" s="331"/>
      <c r="O103" s="332" t="s">
        <v>72</v>
      </c>
      <c r="P103" s="340" t="s">
        <v>72</v>
      </c>
      <c r="Q103" s="340" t="s">
        <v>72</v>
      </c>
      <c r="R103" s="341" t="s">
        <v>72</v>
      </c>
      <c r="S103" s="314" t="s">
        <v>72</v>
      </c>
    </row>
    <row r="104" spans="2:19" x14ac:dyDescent="0.3">
      <c r="B104" s="305" t="str">
        <f t="shared" si="6"/>
        <v>Matelac RAL 9003</v>
      </c>
      <c r="C104" s="1195">
        <f t="shared" si="7"/>
        <v>2914.9</v>
      </c>
      <c r="D104" s="1195">
        <f t="shared" si="5"/>
        <v>0</v>
      </c>
      <c r="E104" s="1202">
        <v>2914.9</v>
      </c>
      <c r="F104" s="1203"/>
      <c r="G104" s="1215">
        <v>113.2</v>
      </c>
      <c r="H104" s="1215"/>
      <c r="I104" s="1215">
        <v>435.38461538461536</v>
      </c>
      <c r="J104" s="1215"/>
      <c r="K104" s="1216">
        <v>26035.999999999996</v>
      </c>
      <c r="L104" s="1217"/>
      <c r="M104" s="331"/>
      <c r="N104" s="331"/>
      <c r="O104" s="332" t="s">
        <v>69</v>
      </c>
      <c r="P104" s="340" t="s">
        <v>69</v>
      </c>
      <c r="Q104" s="340" t="s">
        <v>69</v>
      </c>
      <c r="R104" s="341" t="s">
        <v>69</v>
      </c>
      <c r="S104" s="314" t="s">
        <v>69</v>
      </c>
    </row>
    <row r="105" spans="2:19" x14ac:dyDescent="0.3">
      <c r="B105" s="305" t="str">
        <f t="shared" si="6"/>
        <v>Matelac RAL 9005</v>
      </c>
      <c r="C105" s="1195">
        <f t="shared" si="7"/>
        <v>2502.9</v>
      </c>
      <c r="D105" s="1195">
        <f t="shared" si="5"/>
        <v>0</v>
      </c>
      <c r="E105" s="1202">
        <v>2502.9</v>
      </c>
      <c r="F105" s="1203"/>
      <c r="G105" s="1215">
        <v>97.2</v>
      </c>
      <c r="H105" s="1215"/>
      <c r="I105" s="1215">
        <v>373.84615384615387</v>
      </c>
      <c r="J105" s="1215"/>
      <c r="K105" s="1216">
        <v>22356</v>
      </c>
      <c r="L105" s="1217"/>
      <c r="M105" s="331"/>
      <c r="N105" s="331"/>
      <c r="O105" s="332" t="s">
        <v>73</v>
      </c>
      <c r="P105" s="340" t="s">
        <v>73</v>
      </c>
      <c r="Q105" s="340" t="s">
        <v>73</v>
      </c>
      <c r="R105" s="341" t="s">
        <v>73</v>
      </c>
      <c r="S105" s="314" t="s">
        <v>73</v>
      </c>
    </row>
    <row r="106" spans="2:19" x14ac:dyDescent="0.3">
      <c r="B106" s="305" t="str">
        <f t="shared" si="6"/>
        <v>Matelac RAL 9006</v>
      </c>
      <c r="C106" s="1195">
        <f t="shared" si="7"/>
        <v>2502.9</v>
      </c>
      <c r="D106" s="1195">
        <f t="shared" si="5"/>
        <v>0</v>
      </c>
      <c r="E106" s="1202">
        <v>2502.9</v>
      </c>
      <c r="F106" s="1203"/>
      <c r="G106" s="1215">
        <v>97.2</v>
      </c>
      <c r="H106" s="1215"/>
      <c r="I106" s="1215">
        <v>373.84615384615387</v>
      </c>
      <c r="J106" s="1215"/>
      <c r="K106" s="1216">
        <v>22356</v>
      </c>
      <c r="L106" s="1217"/>
      <c r="M106" s="331"/>
      <c r="N106" s="331"/>
      <c r="O106" s="332" t="s">
        <v>71</v>
      </c>
      <c r="P106" s="340" t="s">
        <v>71</v>
      </c>
      <c r="Q106" s="340" t="s">
        <v>71</v>
      </c>
      <c r="R106" s="341" t="s">
        <v>71</v>
      </c>
      <c r="S106" s="314" t="s">
        <v>71</v>
      </c>
    </row>
    <row r="107" spans="2:19" x14ac:dyDescent="0.3">
      <c r="B107" s="305" t="str">
        <f t="shared" si="6"/>
        <v>Matelac RAL 9010</v>
      </c>
      <c r="C107" s="1195">
        <f t="shared" si="7"/>
        <v>2502.9</v>
      </c>
      <c r="D107" s="1195">
        <f t="shared" si="5"/>
        <v>0</v>
      </c>
      <c r="E107" s="1202">
        <v>2502.9</v>
      </c>
      <c r="F107" s="1203"/>
      <c r="G107" s="1215">
        <v>97.2</v>
      </c>
      <c r="H107" s="1215"/>
      <c r="I107" s="1215">
        <v>373.84615384615387</v>
      </c>
      <c r="J107" s="1215"/>
      <c r="K107" s="1216">
        <v>22356</v>
      </c>
      <c r="L107" s="1217"/>
      <c r="M107" s="331"/>
      <c r="N107" s="331"/>
      <c r="O107" s="332" t="s">
        <v>70</v>
      </c>
      <c r="P107" s="340" t="s">
        <v>70</v>
      </c>
      <c r="Q107" s="340" t="s">
        <v>70</v>
      </c>
      <c r="R107" s="341" t="s">
        <v>70</v>
      </c>
      <c r="S107" s="314" t="s">
        <v>70</v>
      </c>
    </row>
    <row r="108" spans="2:19" x14ac:dyDescent="0.3">
      <c r="B108" s="305" t="str">
        <f t="shared" si="6"/>
        <v>Matelac REF 1435</v>
      </c>
      <c r="C108" s="1195">
        <f t="shared" si="7"/>
        <v>2502.9</v>
      </c>
      <c r="D108" s="1195">
        <f t="shared" si="5"/>
        <v>0</v>
      </c>
      <c r="E108" s="1202">
        <v>2502.9</v>
      </c>
      <c r="F108" s="1203"/>
      <c r="G108" s="1221">
        <v>97.2</v>
      </c>
      <c r="H108" s="1221"/>
      <c r="I108" s="1221">
        <v>373.84615384615387</v>
      </c>
      <c r="J108" s="1221"/>
      <c r="K108" s="1222">
        <v>22356</v>
      </c>
      <c r="L108" s="1223"/>
      <c r="M108" s="346"/>
      <c r="N108" s="346"/>
      <c r="O108" s="347" t="s">
        <v>68</v>
      </c>
      <c r="P108" s="340" t="s">
        <v>68</v>
      </c>
      <c r="Q108" s="340" t="s">
        <v>68</v>
      </c>
      <c r="R108" s="341" t="s">
        <v>68</v>
      </c>
      <c r="S108" s="314" t="s">
        <v>68</v>
      </c>
    </row>
    <row r="109" spans="2:19" x14ac:dyDescent="0.3">
      <c r="B109" s="305" t="str">
        <f t="shared" si="6"/>
        <v>Matelac REF 1586</v>
      </c>
      <c r="C109" s="1195">
        <f t="shared" si="7"/>
        <v>2502.9</v>
      </c>
      <c r="D109" s="1195">
        <f t="shared" si="5"/>
        <v>0</v>
      </c>
      <c r="E109" s="1202">
        <v>2502.9</v>
      </c>
      <c r="F109" s="1203"/>
      <c r="G109" s="1215">
        <v>97.2</v>
      </c>
      <c r="H109" s="1215"/>
      <c r="I109" s="1215">
        <v>373.84615384615387</v>
      </c>
      <c r="J109" s="1215"/>
      <c r="K109" s="1216">
        <v>22356</v>
      </c>
      <c r="L109" s="1217"/>
      <c r="M109" s="348"/>
      <c r="N109" s="348"/>
      <c r="O109" s="349" t="s">
        <v>75</v>
      </c>
      <c r="P109" s="340" t="s">
        <v>75</v>
      </c>
      <c r="Q109" s="340" t="s">
        <v>75</v>
      </c>
      <c r="R109" s="341" t="s">
        <v>75</v>
      </c>
      <c r="S109" s="314" t="s">
        <v>75</v>
      </c>
    </row>
    <row r="110" spans="2:19" x14ac:dyDescent="0.3">
      <c r="B110" s="305" t="str">
        <f t="shared" si="6"/>
        <v>Matelac zrcadlo bronz</v>
      </c>
      <c r="C110" s="1195">
        <f t="shared" si="7"/>
        <v>2708.9</v>
      </c>
      <c r="D110" s="1195">
        <f t="shared" si="5"/>
        <v>0</v>
      </c>
      <c r="E110" s="1202">
        <v>2708.9</v>
      </c>
      <c r="F110" s="1203"/>
      <c r="G110" s="1221">
        <v>105.2</v>
      </c>
      <c r="H110" s="1221"/>
      <c r="I110" s="1221">
        <v>404.61538461538464</v>
      </c>
      <c r="J110" s="1221"/>
      <c r="K110" s="1222">
        <v>24195.999999999996</v>
      </c>
      <c r="L110" s="1223"/>
      <c r="M110" s="348"/>
      <c r="N110" s="348"/>
      <c r="O110" s="349" t="s">
        <v>82</v>
      </c>
      <c r="P110" s="340" t="s">
        <v>549</v>
      </c>
      <c r="Q110" s="340" t="s">
        <v>546</v>
      </c>
      <c r="R110" s="341" t="s">
        <v>627</v>
      </c>
      <c r="S110" s="314" t="s">
        <v>1818</v>
      </c>
    </row>
    <row r="111" spans="2:19" x14ac:dyDescent="0.3">
      <c r="B111" s="305" t="str">
        <f t="shared" si="6"/>
        <v>Matelac zrcadlo grafit</v>
      </c>
      <c r="C111" s="1195">
        <f t="shared" si="7"/>
        <v>3038.5</v>
      </c>
      <c r="D111" s="1195">
        <f t="shared" si="5"/>
        <v>0</v>
      </c>
      <c r="E111" s="1202">
        <v>3038.5</v>
      </c>
      <c r="F111" s="1203"/>
      <c r="G111" s="1215">
        <v>118</v>
      </c>
      <c r="H111" s="1215"/>
      <c r="I111" s="1215">
        <v>453.84615384615387</v>
      </c>
      <c r="J111" s="1215"/>
      <c r="K111" s="1216">
        <v>27139.999999999996</v>
      </c>
      <c r="L111" s="1217"/>
      <c r="M111" s="348"/>
      <c r="N111" s="348"/>
      <c r="O111" s="349" t="s">
        <v>84</v>
      </c>
      <c r="P111" s="340" t="s">
        <v>551</v>
      </c>
      <c r="Q111" s="340" t="s">
        <v>548</v>
      </c>
      <c r="R111" s="341" t="s">
        <v>629</v>
      </c>
      <c r="S111" s="314" t="s">
        <v>1819</v>
      </c>
    </row>
    <row r="112" spans="2:19" x14ac:dyDescent="0.3">
      <c r="B112" s="305" t="str">
        <f t="shared" si="6"/>
        <v>Matelac zrcadlo stříbr.</v>
      </c>
      <c r="C112" s="1195">
        <f t="shared" si="7"/>
        <v>2708.9</v>
      </c>
      <c r="D112" s="1195">
        <f t="shared" si="5"/>
        <v>0</v>
      </c>
      <c r="E112" s="1202">
        <v>2708.9</v>
      </c>
      <c r="F112" s="1203"/>
      <c r="G112" s="1221">
        <v>105.2</v>
      </c>
      <c r="H112" s="1221"/>
      <c r="I112" s="1221">
        <v>404.61538461538464</v>
      </c>
      <c r="J112" s="1221"/>
      <c r="K112" s="1222">
        <v>24195.999999999996</v>
      </c>
      <c r="L112" s="1223"/>
      <c r="M112" s="348"/>
      <c r="N112" s="348"/>
      <c r="O112" s="349" t="s">
        <v>83</v>
      </c>
      <c r="P112" s="350" t="s">
        <v>1729</v>
      </c>
      <c r="Q112" s="350" t="s">
        <v>1730</v>
      </c>
      <c r="R112" s="351" t="s">
        <v>1731</v>
      </c>
      <c r="S112" s="314" t="s">
        <v>1820</v>
      </c>
    </row>
    <row r="113" spans="2:19" x14ac:dyDescent="0.3">
      <c r="B113" s="352"/>
      <c r="C113" s="353"/>
      <c r="D113" s="354"/>
      <c r="E113" s="355"/>
      <c r="F113" s="355"/>
      <c r="G113" s="356"/>
      <c r="H113" s="356"/>
      <c r="I113" s="356"/>
      <c r="J113" s="356"/>
      <c r="K113" s="357"/>
      <c r="L113" s="358"/>
      <c r="M113" s="359"/>
      <c r="N113" s="359"/>
      <c r="O113" s="352"/>
      <c r="P113" s="340" t="s">
        <v>75</v>
      </c>
      <c r="Q113" s="340" t="s">
        <v>75</v>
      </c>
      <c r="R113" s="341" t="s">
        <v>75</v>
      </c>
      <c r="S113" s="314"/>
    </row>
    <row r="114" spans="2:19" x14ac:dyDescent="0.3">
      <c r="B114" s="352"/>
      <c r="C114" s="353"/>
      <c r="D114" s="354"/>
      <c r="E114" s="355"/>
      <c r="F114" s="355"/>
      <c r="G114" s="356"/>
      <c r="H114" s="356"/>
      <c r="I114" s="356"/>
      <c r="J114" s="356"/>
      <c r="K114" s="357"/>
      <c r="L114" s="358"/>
      <c r="M114" s="359"/>
      <c r="N114" s="359"/>
      <c r="O114" s="352"/>
      <c r="P114" s="340" t="s">
        <v>549</v>
      </c>
      <c r="Q114" s="340" t="s">
        <v>546</v>
      </c>
      <c r="R114" s="341" t="s">
        <v>627</v>
      </c>
      <c r="S114" s="314"/>
    </row>
    <row r="115" spans="2:19" x14ac:dyDescent="0.3">
      <c r="B115" s="352"/>
      <c r="C115" s="353"/>
      <c r="D115" s="354"/>
      <c r="E115" s="355"/>
      <c r="F115" s="355"/>
      <c r="G115" s="356"/>
      <c r="H115" s="356"/>
      <c r="I115" s="356"/>
      <c r="J115" s="356"/>
      <c r="K115" s="357"/>
      <c r="L115" s="358"/>
      <c r="M115" s="359"/>
      <c r="N115" s="359"/>
      <c r="O115" s="352"/>
      <c r="P115" s="340" t="s">
        <v>551</v>
      </c>
      <c r="Q115" s="340" t="s">
        <v>548</v>
      </c>
      <c r="R115" s="341" t="s">
        <v>629</v>
      </c>
      <c r="S115" s="314"/>
    </row>
    <row r="116" spans="2:19" x14ac:dyDescent="0.3">
      <c r="B116" s="352"/>
      <c r="C116" s="353"/>
      <c r="D116" s="354"/>
      <c r="E116" s="355"/>
      <c r="F116" s="355"/>
      <c r="G116" s="356"/>
      <c r="H116" s="356"/>
      <c r="I116" s="356"/>
      <c r="J116" s="356"/>
      <c r="K116" s="357"/>
      <c r="L116" s="358"/>
      <c r="M116" s="359"/>
      <c r="N116" s="359"/>
      <c r="O116" s="352"/>
      <c r="P116" s="350" t="s">
        <v>550</v>
      </c>
      <c r="Q116" s="350" t="s">
        <v>547</v>
      </c>
      <c r="R116" s="351" t="s">
        <v>628</v>
      </c>
      <c r="S116" s="314"/>
    </row>
    <row r="117" spans="2:19" x14ac:dyDescent="0.3">
      <c r="B117" s="352"/>
      <c r="C117" s="353"/>
      <c r="D117" s="354"/>
      <c r="E117" s="355"/>
      <c r="F117" s="355"/>
      <c r="G117" s="356"/>
      <c r="H117" s="356"/>
      <c r="I117" s="356"/>
      <c r="J117" s="356"/>
      <c r="K117" s="357"/>
      <c r="L117" s="358"/>
      <c r="M117" s="359"/>
      <c r="N117" s="359"/>
      <c r="O117" s="352"/>
      <c r="P117" s="360"/>
      <c r="Q117" s="360"/>
      <c r="R117" s="361"/>
      <c r="S117" s="314"/>
    </row>
    <row r="118" spans="2:19" x14ac:dyDescent="0.3">
      <c r="B118" s="347"/>
      <c r="C118" s="1224"/>
      <c r="D118" s="1224"/>
      <c r="E118" s="1224"/>
      <c r="F118" s="1224"/>
      <c r="G118" s="1221"/>
      <c r="H118" s="1221"/>
      <c r="I118" s="1221"/>
      <c r="J118" s="1221"/>
      <c r="K118" s="1222"/>
      <c r="L118" s="1223"/>
      <c r="M118" s="346"/>
      <c r="N118" s="346"/>
      <c r="O118" s="347"/>
      <c r="P118" s="350"/>
      <c r="Q118" s="350"/>
      <c r="R118" s="351"/>
      <c r="S118" s="314"/>
    </row>
    <row r="119" spans="2:19" x14ac:dyDescent="0.3">
      <c r="B119" s="349"/>
      <c r="C119" s="362"/>
      <c r="D119" s="362"/>
      <c r="E119" s="362"/>
      <c r="F119" s="362"/>
      <c r="G119" s="363"/>
      <c r="H119" s="363"/>
      <c r="I119" s="363"/>
      <c r="J119" s="363"/>
      <c r="K119" s="348"/>
      <c r="L119" s="348"/>
      <c r="M119" s="348"/>
      <c r="N119" s="348"/>
      <c r="O119" s="349"/>
      <c r="S119" s="314"/>
    </row>
    <row r="120" spans="2:19" x14ac:dyDescent="0.3">
      <c r="B120" s="349" t="s">
        <v>107</v>
      </c>
      <c r="C120" s="362"/>
      <c r="D120" s="362"/>
      <c r="E120" s="362"/>
      <c r="F120" s="362"/>
      <c r="G120" s="363"/>
      <c r="H120" s="363"/>
      <c r="I120" s="363"/>
      <c r="J120" s="363"/>
      <c r="K120" s="348"/>
      <c r="L120" s="348"/>
      <c r="M120" s="348"/>
      <c r="N120" s="348"/>
      <c r="O120" s="349"/>
      <c r="S120" s="314"/>
    </row>
    <row r="121" spans="2:19" x14ac:dyDescent="0.3">
      <c r="B121" s="1" t="s">
        <v>100</v>
      </c>
      <c r="C121" s="1224">
        <f t="shared" ref="C121:D124" si="8">IF($D$1=1,E121,IF($D$1=2,G121,IF($D$1=3,I121,IF($D$1=4,K121,0))))</f>
        <v>30</v>
      </c>
      <c r="D121" s="1224">
        <f t="shared" si="8"/>
        <v>0</v>
      </c>
      <c r="E121" s="946">
        <v>30</v>
      </c>
      <c r="F121" s="946"/>
      <c r="G121" s="1221">
        <f>E121/$H$3</f>
        <v>1.2</v>
      </c>
      <c r="H121" s="1221"/>
      <c r="I121" s="1221">
        <f>E121/$J$3</f>
        <v>4.615384615384615</v>
      </c>
      <c r="J121" s="1221"/>
      <c r="K121" s="1222">
        <f>E121*$L$3</f>
        <v>276</v>
      </c>
      <c r="L121" s="1223"/>
      <c r="M121" s="348"/>
      <c r="N121" s="348"/>
      <c r="O121" s="349"/>
      <c r="S121" s="314"/>
    </row>
    <row r="122" spans="2:19" x14ac:dyDescent="0.3">
      <c r="B122" s="1" t="s">
        <v>101</v>
      </c>
      <c r="C122" s="1224">
        <f t="shared" si="8"/>
        <v>30</v>
      </c>
      <c r="D122" s="1224">
        <f t="shared" si="8"/>
        <v>0</v>
      </c>
      <c r="E122" s="946">
        <v>30</v>
      </c>
      <c r="F122" s="946"/>
      <c r="G122" s="1221">
        <f>E122/$H$3</f>
        <v>1.2</v>
      </c>
      <c r="H122" s="1221"/>
      <c r="I122" s="1221">
        <f>E122/$J$3</f>
        <v>4.615384615384615</v>
      </c>
      <c r="J122" s="1221"/>
      <c r="K122" s="1222">
        <f>E122*$L$3</f>
        <v>276</v>
      </c>
      <c r="L122" s="1223"/>
      <c r="M122" s="348"/>
      <c r="N122" s="348"/>
      <c r="O122" s="349"/>
      <c r="S122" s="314"/>
    </row>
    <row r="123" spans="2:19" x14ac:dyDescent="0.3">
      <c r="B123" s="1" t="s">
        <v>102</v>
      </c>
      <c r="C123" s="1224">
        <f t="shared" si="8"/>
        <v>30</v>
      </c>
      <c r="D123" s="1224">
        <f t="shared" si="8"/>
        <v>0</v>
      </c>
      <c r="E123" s="946">
        <v>30</v>
      </c>
      <c r="F123" s="946"/>
      <c r="G123" s="1221">
        <f>E123/$H$3</f>
        <v>1.2</v>
      </c>
      <c r="H123" s="1221"/>
      <c r="I123" s="1221">
        <f>E123/$J$3</f>
        <v>4.615384615384615</v>
      </c>
      <c r="J123" s="1221"/>
      <c r="K123" s="1222">
        <f>E123*$L$3</f>
        <v>276</v>
      </c>
      <c r="L123" s="1223"/>
      <c r="M123" s="348"/>
      <c r="N123" s="348"/>
      <c r="O123" s="349"/>
      <c r="S123" s="314"/>
    </row>
    <row r="124" spans="2:19" x14ac:dyDescent="0.3">
      <c r="B124" s="1" t="s">
        <v>108</v>
      </c>
      <c r="C124" s="1224">
        <f t="shared" si="8"/>
        <v>30</v>
      </c>
      <c r="D124" s="1224">
        <f t="shared" si="8"/>
        <v>0</v>
      </c>
      <c r="E124" s="946">
        <v>30</v>
      </c>
      <c r="F124" s="946"/>
      <c r="G124" s="1221">
        <f>E124/$H$3</f>
        <v>1.2</v>
      </c>
      <c r="H124" s="1221"/>
      <c r="I124" s="1221">
        <f>E124/$J$3</f>
        <v>4.615384615384615</v>
      </c>
      <c r="J124" s="1221"/>
      <c r="K124" s="1222">
        <f>E124*$L$3</f>
        <v>276</v>
      </c>
      <c r="L124" s="1223"/>
      <c r="M124" s="348"/>
      <c r="N124" s="348"/>
      <c r="O124" s="349"/>
      <c r="S124" s="314"/>
    </row>
    <row r="125" spans="2:19" x14ac:dyDescent="0.3">
      <c r="B125" s="1"/>
      <c r="C125" s="362"/>
      <c r="D125" s="362"/>
      <c r="E125" s="362"/>
      <c r="F125" s="362"/>
      <c r="G125" s="363"/>
      <c r="H125" s="363"/>
      <c r="I125" s="363"/>
      <c r="J125" s="363"/>
      <c r="K125" s="348"/>
      <c r="L125" s="348"/>
      <c r="M125" s="348"/>
      <c r="N125" s="348"/>
      <c r="O125" s="349"/>
      <c r="S125" s="314"/>
    </row>
    <row r="126" spans="2:19" x14ac:dyDescent="0.3">
      <c r="B126" s="1"/>
      <c r="C126" s="362"/>
      <c r="D126" s="362"/>
      <c r="E126" s="362"/>
      <c r="F126" s="362"/>
      <c r="G126" s="363"/>
      <c r="H126" s="363"/>
      <c r="I126" s="363"/>
      <c r="J126" s="363"/>
      <c r="K126" s="348"/>
      <c r="L126" s="348"/>
      <c r="M126" s="348"/>
      <c r="N126" s="348"/>
      <c r="O126" s="349"/>
      <c r="S126" s="314"/>
    </row>
    <row r="127" spans="2:19" x14ac:dyDescent="0.3">
      <c r="B127" s="1"/>
      <c r="C127" s="362"/>
      <c r="D127" s="362"/>
      <c r="E127" s="362"/>
      <c r="F127" s="362"/>
      <c r="G127" s="363"/>
      <c r="H127" s="363"/>
      <c r="I127" s="363"/>
      <c r="J127" s="363"/>
      <c r="K127" s="348"/>
      <c r="L127" s="348"/>
      <c r="M127" s="348"/>
      <c r="N127" s="348"/>
      <c r="S127" s="314"/>
    </row>
    <row r="128" spans="2:19" x14ac:dyDescent="0.3">
      <c r="S128" s="314"/>
    </row>
    <row r="129" spans="2:19" x14ac:dyDescent="0.3">
      <c r="B129" s="305" t="str">
        <f t="shared" ref="B129:B192" si="9">IF($D$1=1,O:O,IF($D$1=2,P:P,IF($D$1=3,Q:Q,IF($D$1=4,R:R,IF($D$1=5,S:S)))))</f>
        <v>Rámeček</v>
      </c>
      <c r="C129" s="137">
        <v>1</v>
      </c>
      <c r="O129" s="158" t="s">
        <v>1821</v>
      </c>
      <c r="P129" s="140" t="s">
        <v>1822</v>
      </c>
      <c r="Q129" s="140" t="s">
        <v>481</v>
      </c>
      <c r="R129" s="140" t="s">
        <v>646</v>
      </c>
      <c r="S129" s="314" t="s">
        <v>1823</v>
      </c>
    </row>
    <row r="130" spans="2:19" x14ac:dyDescent="0.3">
      <c r="B130" s="305" t="str">
        <f t="shared" si="9"/>
        <v xml:space="preserve">Standardní vrtání otvoru pro misku závěsu je 3 mm od hrany. </v>
      </c>
      <c r="C130" s="137">
        <v>2</v>
      </c>
      <c r="O130" s="158" t="s">
        <v>816</v>
      </c>
      <c r="P130" s="140" t="s">
        <v>860</v>
      </c>
      <c r="Q130" s="140" t="s">
        <v>1735</v>
      </c>
      <c r="R130" s="140" t="s">
        <v>873</v>
      </c>
      <c r="S130" s="314" t="s">
        <v>1824</v>
      </c>
    </row>
    <row r="131" spans="2:19" x14ac:dyDescent="0.3">
      <c r="B131" s="305" t="str">
        <f t="shared" si="9"/>
        <v>Uvedené ceny jsou bez DPH a nezahrnují cenu požadovaného kování!</v>
      </c>
      <c r="C131" s="137">
        <v>3</v>
      </c>
      <c r="O131" s="158" t="s">
        <v>753</v>
      </c>
      <c r="P131" s="140" t="s">
        <v>861</v>
      </c>
      <c r="Q131" s="140" t="s">
        <v>1736</v>
      </c>
      <c r="R131" s="140" t="s">
        <v>874</v>
      </c>
      <c r="S131" s="314" t="s">
        <v>1825</v>
      </c>
    </row>
    <row r="132" spans="2:19" x14ac:dyDescent="0.3">
      <c r="B132" s="305" t="str">
        <f t="shared" si="9"/>
        <v>Typ profilu</v>
      </c>
      <c r="C132" s="137">
        <v>4</v>
      </c>
      <c r="O132" s="158" t="s">
        <v>415</v>
      </c>
      <c r="P132" s="140" t="s">
        <v>415</v>
      </c>
      <c r="Q132" s="140" t="s">
        <v>634</v>
      </c>
      <c r="R132" s="140" t="s">
        <v>647</v>
      </c>
      <c r="S132" s="314" t="s">
        <v>1826</v>
      </c>
    </row>
    <row r="133" spans="2:19" x14ac:dyDescent="0.3">
      <c r="B133" s="305" t="str">
        <f t="shared" si="9"/>
        <v>Typ skla</v>
      </c>
      <c r="C133" s="137">
        <v>5</v>
      </c>
      <c r="O133" s="158" t="s">
        <v>18</v>
      </c>
      <c r="P133" s="140" t="s">
        <v>18</v>
      </c>
      <c r="Q133" s="140" t="s">
        <v>26</v>
      </c>
      <c r="R133" s="140" t="s">
        <v>556</v>
      </c>
      <c r="S133" s="314" t="s">
        <v>1827</v>
      </c>
    </row>
    <row r="134" spans="2:19" x14ac:dyDescent="0.3">
      <c r="B134" s="305" t="str">
        <f t="shared" si="9"/>
        <v>Počet kusů</v>
      </c>
      <c r="C134" s="137">
        <v>6</v>
      </c>
      <c r="O134" s="158" t="s">
        <v>17</v>
      </c>
      <c r="P134" s="140" t="s">
        <v>422</v>
      </c>
      <c r="Q134" s="140" t="s">
        <v>27</v>
      </c>
      <c r="R134" s="140" t="s">
        <v>557</v>
      </c>
      <c r="S134" s="314" t="s">
        <v>1828</v>
      </c>
    </row>
    <row r="135" spans="2:19" x14ac:dyDescent="0.3">
      <c r="B135" s="305" t="str">
        <f t="shared" si="9"/>
        <v xml:space="preserve">Šířka </v>
      </c>
      <c r="C135" s="137">
        <v>7</v>
      </c>
      <c r="O135" s="158" t="s">
        <v>16</v>
      </c>
      <c r="P135" s="140" t="s">
        <v>423</v>
      </c>
      <c r="Q135" s="140" t="s">
        <v>23</v>
      </c>
      <c r="R135" s="140" t="s">
        <v>558</v>
      </c>
      <c r="S135" s="314" t="s">
        <v>1829</v>
      </c>
    </row>
    <row r="136" spans="2:19" ht="15" customHeight="1" x14ac:dyDescent="0.3">
      <c r="B136" s="305" t="str">
        <f t="shared" si="9"/>
        <v>Výška</v>
      </c>
      <c r="C136" s="137">
        <v>8</v>
      </c>
      <c r="O136" s="158" t="s">
        <v>28</v>
      </c>
      <c r="P136" s="140" t="s">
        <v>28</v>
      </c>
      <c r="Q136" s="140" t="s">
        <v>24</v>
      </c>
      <c r="R136" s="140" t="s">
        <v>559</v>
      </c>
      <c r="S136" s="314" t="s">
        <v>1830</v>
      </c>
    </row>
    <row r="137" spans="2:19" x14ac:dyDescent="0.3">
      <c r="B137" s="305" t="str">
        <f t="shared" si="9"/>
        <v>Poznámky</v>
      </c>
      <c r="C137" s="137">
        <v>9</v>
      </c>
      <c r="O137" s="158" t="s">
        <v>632</v>
      </c>
      <c r="P137" s="140" t="s">
        <v>632</v>
      </c>
      <c r="Q137" s="140" t="s">
        <v>482</v>
      </c>
      <c r="R137" s="140" t="s">
        <v>633</v>
      </c>
      <c r="S137" s="314" t="s">
        <v>1831</v>
      </c>
    </row>
    <row r="138" spans="2:19" x14ac:dyDescent="0.3">
      <c r="B138" s="305" t="str">
        <f t="shared" si="9"/>
        <v>Cena rámečků celkem</v>
      </c>
      <c r="C138" s="137">
        <v>10</v>
      </c>
      <c r="O138" s="158" t="s">
        <v>30</v>
      </c>
      <c r="P138" s="140" t="s">
        <v>424</v>
      </c>
      <c r="Q138" s="140" t="s">
        <v>483</v>
      </c>
      <c r="R138" s="140" t="s">
        <v>560</v>
      </c>
      <c r="S138" s="314" t="s">
        <v>1832</v>
      </c>
    </row>
    <row r="139" spans="2:19" x14ac:dyDescent="0.3">
      <c r="B139" s="305" t="str">
        <f t="shared" si="9"/>
        <v>Cena kování celkem</v>
      </c>
      <c r="C139" s="137">
        <v>11</v>
      </c>
      <c r="O139" s="173" t="s">
        <v>31</v>
      </c>
      <c r="P139" s="140" t="s">
        <v>425</v>
      </c>
      <c r="Q139" s="140" t="s">
        <v>484</v>
      </c>
      <c r="R139" s="140" t="s">
        <v>561</v>
      </c>
      <c r="S139" s="314" t="s">
        <v>1833</v>
      </c>
    </row>
    <row r="140" spans="2:19" x14ac:dyDescent="0.3">
      <c r="B140" s="305" t="str">
        <f t="shared" si="9"/>
        <v>Cena za kompletní objednávku</v>
      </c>
      <c r="C140" s="137">
        <v>12</v>
      </c>
      <c r="O140" s="173" t="s">
        <v>94</v>
      </c>
      <c r="P140" s="140" t="s">
        <v>426</v>
      </c>
      <c r="Q140" s="140" t="s">
        <v>485</v>
      </c>
      <c r="R140" s="140" t="s">
        <v>562</v>
      </c>
      <c r="S140" s="314" t="s">
        <v>1834</v>
      </c>
    </row>
    <row r="141" spans="2:19" x14ac:dyDescent="0.3">
      <c r="B141" s="305" t="str">
        <f t="shared" si="9"/>
        <v>Závěsy</v>
      </c>
      <c r="C141" s="137">
        <v>13</v>
      </c>
      <c r="O141" s="158" t="s">
        <v>735</v>
      </c>
      <c r="P141" s="140" t="s">
        <v>736</v>
      </c>
      <c r="Q141" s="140" t="s">
        <v>737</v>
      </c>
      <c r="R141" s="140" t="s">
        <v>738</v>
      </c>
      <c r="S141" s="314" t="s">
        <v>1835</v>
      </c>
    </row>
    <row r="142" spans="2:19" x14ac:dyDescent="0.3">
      <c r="B142" s="305" t="str">
        <f t="shared" si="9"/>
        <v>Aventos ostatní</v>
      </c>
      <c r="C142" s="137">
        <v>14</v>
      </c>
      <c r="O142" s="158" t="s">
        <v>739</v>
      </c>
      <c r="P142" s="140" t="s">
        <v>740</v>
      </c>
      <c r="Q142" s="140" t="s">
        <v>741</v>
      </c>
      <c r="R142" s="140" t="s">
        <v>742</v>
      </c>
      <c r="S142" s="314" t="s">
        <v>1836</v>
      </c>
    </row>
    <row r="143" spans="2:19" x14ac:dyDescent="0.3">
      <c r="B143" s="305" t="str">
        <f t="shared" si="9"/>
        <v>STRONG s tlumením</v>
      </c>
      <c r="C143" s="137">
        <v>15</v>
      </c>
      <c r="O143" s="158" t="s">
        <v>1174</v>
      </c>
      <c r="P143" s="140" t="s">
        <v>1610</v>
      </c>
      <c r="Q143" s="140" t="s">
        <v>1611</v>
      </c>
      <c r="R143" s="140" t="s">
        <v>1612</v>
      </c>
      <c r="S143" s="314" t="s">
        <v>1837</v>
      </c>
    </row>
    <row r="144" spans="2:19" x14ac:dyDescent="0.3">
      <c r="B144" s="305" t="str">
        <f t="shared" si="9"/>
        <v>Závěsy se zvedacím pístem</v>
      </c>
      <c r="C144" s="137">
        <v>16</v>
      </c>
      <c r="O144" s="158" t="s">
        <v>743</v>
      </c>
      <c r="P144" s="140" t="s">
        <v>744</v>
      </c>
      <c r="Q144" s="140" t="s">
        <v>745</v>
      </c>
      <c r="R144" s="140" t="s">
        <v>746</v>
      </c>
      <c r="S144" s="314" t="s">
        <v>1838</v>
      </c>
    </row>
    <row r="145" spans="2:19" x14ac:dyDescent="0.3">
      <c r="B145" s="305" t="str">
        <f t="shared" si="9"/>
        <v>Horní dvířko</v>
      </c>
      <c r="C145" s="137">
        <v>17</v>
      </c>
      <c r="O145" s="158" t="s">
        <v>98</v>
      </c>
      <c r="P145" s="140" t="s">
        <v>427</v>
      </c>
      <c r="Q145" s="140" t="s">
        <v>486</v>
      </c>
      <c r="R145" s="140" t="s">
        <v>747</v>
      </c>
      <c r="S145" s="314" t="s">
        <v>1839</v>
      </c>
    </row>
    <row r="146" spans="2:19" x14ac:dyDescent="0.3">
      <c r="B146" s="305" t="str">
        <f t="shared" si="9"/>
        <v>Spodní dvířko</v>
      </c>
      <c r="C146" s="137">
        <v>18</v>
      </c>
      <c r="O146" s="158" t="s">
        <v>97</v>
      </c>
      <c r="P146" s="140" t="s">
        <v>428</v>
      </c>
      <c r="Q146" s="140" t="s">
        <v>487</v>
      </c>
      <c r="R146" s="140" t="s">
        <v>563</v>
      </c>
      <c r="S146" s="314" t="s">
        <v>1840</v>
      </c>
    </row>
    <row r="147" spans="2:19" x14ac:dyDescent="0.3">
      <c r="B147" s="305" t="str">
        <f t="shared" si="9"/>
        <v>Naložený clip</v>
      </c>
      <c r="C147" s="137">
        <v>19</v>
      </c>
      <c r="O147" s="160" t="s">
        <v>121</v>
      </c>
      <c r="P147" s="140" t="s">
        <v>121</v>
      </c>
      <c r="Q147" s="140" t="s">
        <v>488</v>
      </c>
      <c r="R147" s="140" t="s">
        <v>564</v>
      </c>
      <c r="S147" s="314" t="s">
        <v>1841</v>
      </c>
    </row>
    <row r="148" spans="2:19" x14ac:dyDescent="0.3">
      <c r="B148" s="305" t="str">
        <f t="shared" si="9"/>
        <v>Polonaložený clip</v>
      </c>
      <c r="C148" s="137">
        <v>20</v>
      </c>
      <c r="O148" s="160" t="s">
        <v>122</v>
      </c>
      <c r="P148" s="140" t="s">
        <v>122</v>
      </c>
      <c r="Q148" s="140" t="s">
        <v>489</v>
      </c>
      <c r="R148" s="140" t="s">
        <v>565</v>
      </c>
      <c r="S148" s="314" t="s">
        <v>1842</v>
      </c>
    </row>
    <row r="149" spans="2:19" x14ac:dyDescent="0.3">
      <c r="B149" s="305" t="str">
        <f t="shared" si="9"/>
        <v>Vložený clip</v>
      </c>
      <c r="C149" s="137">
        <v>21</v>
      </c>
      <c r="O149" s="160" t="s">
        <v>123</v>
      </c>
      <c r="P149" s="140" t="s">
        <v>123</v>
      </c>
      <c r="Q149" s="140" t="s">
        <v>490</v>
      </c>
      <c r="R149" s="140" t="s">
        <v>566</v>
      </c>
      <c r="S149" s="314" t="s">
        <v>1843</v>
      </c>
    </row>
    <row r="150" spans="2:19" x14ac:dyDescent="0.3">
      <c r="B150" s="305" t="str">
        <f t="shared" si="9"/>
        <v>Úhel 45°</v>
      </c>
      <c r="C150" s="137">
        <v>22</v>
      </c>
      <c r="O150" s="160" t="s">
        <v>124</v>
      </c>
      <c r="P150" s="140" t="s">
        <v>429</v>
      </c>
      <c r="Q150" s="140" t="s">
        <v>491</v>
      </c>
      <c r="R150" s="140" t="s">
        <v>567</v>
      </c>
      <c r="S150" s="314" t="s">
        <v>1844</v>
      </c>
    </row>
    <row r="151" spans="2:19" x14ac:dyDescent="0.3">
      <c r="B151" s="305" t="str">
        <f t="shared" si="9"/>
        <v>Naložený</v>
      </c>
      <c r="C151" s="137">
        <v>23</v>
      </c>
      <c r="O151" s="307" t="s">
        <v>125</v>
      </c>
      <c r="P151" s="140" t="s">
        <v>430</v>
      </c>
      <c r="Q151" s="140" t="s">
        <v>492</v>
      </c>
      <c r="R151" s="140" t="s">
        <v>568</v>
      </c>
      <c r="S151" s="314" t="s">
        <v>1845</v>
      </c>
    </row>
    <row r="152" spans="2:19" x14ac:dyDescent="0.3">
      <c r="B152" s="305" t="str">
        <f t="shared" si="9"/>
        <v>Polonaložený</v>
      </c>
      <c r="C152" s="137">
        <v>24</v>
      </c>
      <c r="O152" s="307" t="s">
        <v>126</v>
      </c>
      <c r="P152" s="140" t="s">
        <v>431</v>
      </c>
      <c r="Q152" s="140" t="s">
        <v>493</v>
      </c>
      <c r="R152" s="140" t="s">
        <v>569</v>
      </c>
      <c r="S152" s="314" t="s">
        <v>1846</v>
      </c>
    </row>
    <row r="153" spans="2:19" x14ac:dyDescent="0.3">
      <c r="B153" s="305" t="str">
        <f t="shared" si="9"/>
        <v>Vložený</v>
      </c>
      <c r="C153" s="137">
        <v>25</v>
      </c>
      <c r="O153" s="307" t="s">
        <v>127</v>
      </c>
      <c r="P153" s="140" t="s">
        <v>432</v>
      </c>
      <c r="Q153" s="140" t="s">
        <v>494</v>
      </c>
      <c r="R153" s="140" t="s">
        <v>570</v>
      </c>
      <c r="S153" s="314" t="s">
        <v>1847</v>
      </c>
    </row>
    <row r="154" spans="2:19" x14ac:dyDescent="0.3">
      <c r="B154" s="305" t="str">
        <f t="shared" si="9"/>
        <v>Úhel 45°</v>
      </c>
      <c r="C154" s="137">
        <v>26</v>
      </c>
      <c r="O154" s="307" t="s">
        <v>124</v>
      </c>
      <c r="P154" s="140" t="s">
        <v>429</v>
      </c>
      <c r="Q154" s="140" t="s">
        <v>491</v>
      </c>
      <c r="R154" s="140" t="s">
        <v>124</v>
      </c>
      <c r="S154" s="314" t="s">
        <v>1844</v>
      </c>
    </row>
    <row r="155" spans="2:19" x14ac:dyDescent="0.3">
      <c r="B155" s="305" t="str">
        <f t="shared" si="9"/>
        <v>Naložený s opačnou pružinou</v>
      </c>
      <c r="C155" s="137">
        <v>27</v>
      </c>
      <c r="O155" s="307" t="s">
        <v>128</v>
      </c>
      <c r="P155" s="140" t="s">
        <v>128</v>
      </c>
      <c r="Q155" s="140" t="s">
        <v>495</v>
      </c>
      <c r="R155" s="140" t="s">
        <v>571</v>
      </c>
      <c r="S155" s="314" t="s">
        <v>1848</v>
      </c>
    </row>
    <row r="156" spans="2:19" x14ac:dyDescent="0.3">
      <c r="B156" s="305" t="str">
        <f t="shared" si="9"/>
        <v>Vložený s opačnou pružinou</v>
      </c>
      <c r="C156" s="137">
        <v>28</v>
      </c>
      <c r="O156" s="307" t="s">
        <v>129</v>
      </c>
      <c r="P156" s="140" t="s">
        <v>129</v>
      </c>
      <c r="Q156" s="140" t="s">
        <v>496</v>
      </c>
      <c r="R156" s="140" t="s">
        <v>572</v>
      </c>
      <c r="S156" s="314" t="s">
        <v>1849</v>
      </c>
    </row>
    <row r="157" spans="2:19" x14ac:dyDescent="0.3">
      <c r="B157" s="305" t="str">
        <f t="shared" si="9"/>
        <v>Clip na vrut H2</v>
      </c>
      <c r="C157" s="137">
        <v>29</v>
      </c>
      <c r="O157" s="158" t="s">
        <v>212</v>
      </c>
      <c r="P157" s="140" t="s">
        <v>433</v>
      </c>
      <c r="Q157" s="140" t="s">
        <v>497</v>
      </c>
      <c r="R157" s="140" t="s">
        <v>573</v>
      </c>
      <c r="S157" s="314" t="s">
        <v>1850</v>
      </c>
    </row>
    <row r="158" spans="2:19" x14ac:dyDescent="0.3">
      <c r="B158" s="305" t="str">
        <f t="shared" si="9"/>
        <v>Clip na vrut H4</v>
      </c>
      <c r="C158" s="137">
        <v>30</v>
      </c>
      <c r="O158" s="158" t="s">
        <v>213</v>
      </c>
      <c r="P158" s="140" t="s">
        <v>434</v>
      </c>
      <c r="Q158" s="140" t="s">
        <v>498</v>
      </c>
      <c r="R158" s="140" t="s">
        <v>574</v>
      </c>
      <c r="S158" s="314" t="s">
        <v>1851</v>
      </c>
    </row>
    <row r="159" spans="2:19" x14ac:dyDescent="0.3">
      <c r="B159" s="305" t="str">
        <f t="shared" si="9"/>
        <v>Clip na eurošroub H2</v>
      </c>
      <c r="C159" s="137">
        <v>31</v>
      </c>
      <c r="O159" s="158" t="s">
        <v>214</v>
      </c>
      <c r="P159" s="140" t="s">
        <v>435</v>
      </c>
      <c r="Q159" s="140" t="s">
        <v>499</v>
      </c>
      <c r="R159" s="140" t="s">
        <v>575</v>
      </c>
      <c r="S159" s="314" t="s">
        <v>1852</v>
      </c>
    </row>
    <row r="160" spans="2:19" x14ac:dyDescent="0.3">
      <c r="B160" s="305" t="str">
        <f t="shared" si="9"/>
        <v>Clip na eurošroub H4</v>
      </c>
      <c r="C160" s="137">
        <v>32</v>
      </c>
      <c r="O160" s="158" t="s">
        <v>215</v>
      </c>
      <c r="P160" s="140" t="s">
        <v>436</v>
      </c>
      <c r="Q160" s="140" t="s">
        <v>500</v>
      </c>
      <c r="R160" s="140" t="s">
        <v>576</v>
      </c>
      <c r="S160" s="314" t="s">
        <v>1853</v>
      </c>
    </row>
    <row r="161" spans="2:19" x14ac:dyDescent="0.3">
      <c r="B161" s="305" t="str">
        <f t="shared" si="9"/>
        <v>Slide on na vrut H2</v>
      </c>
      <c r="C161" s="137">
        <v>33</v>
      </c>
      <c r="O161" s="158" t="s">
        <v>216</v>
      </c>
      <c r="P161" s="140" t="s">
        <v>437</v>
      </c>
      <c r="Q161" s="140" t="s">
        <v>501</v>
      </c>
      <c r="R161" s="140" t="s">
        <v>577</v>
      </c>
      <c r="S161" s="314" t="s">
        <v>1854</v>
      </c>
    </row>
    <row r="162" spans="2:19" x14ac:dyDescent="0.3">
      <c r="B162" s="305" t="str">
        <f t="shared" si="9"/>
        <v>Slide on na vrut H4</v>
      </c>
      <c r="C162" s="137">
        <v>34</v>
      </c>
      <c r="O162" s="158" t="s">
        <v>217</v>
      </c>
      <c r="P162" s="140" t="s">
        <v>438</v>
      </c>
      <c r="Q162" s="140" t="s">
        <v>502</v>
      </c>
      <c r="R162" s="140" t="s">
        <v>578</v>
      </c>
      <c r="S162" s="314" t="s">
        <v>1855</v>
      </c>
    </row>
    <row r="163" spans="2:19" x14ac:dyDescent="0.3">
      <c r="B163" s="305" t="str">
        <f t="shared" si="9"/>
        <v>Slide on na eurošroub H2</v>
      </c>
      <c r="C163" s="137">
        <v>35</v>
      </c>
      <c r="O163" s="158" t="s">
        <v>218</v>
      </c>
      <c r="P163" s="140" t="s">
        <v>439</v>
      </c>
      <c r="Q163" s="140" t="s">
        <v>503</v>
      </c>
      <c r="R163" s="140" t="s">
        <v>579</v>
      </c>
      <c r="S163" s="314" t="s">
        <v>1856</v>
      </c>
    </row>
    <row r="164" spans="2:19" x14ac:dyDescent="0.3">
      <c r="B164" s="305" t="str">
        <f t="shared" si="9"/>
        <v>Slide on na eurošroub H4</v>
      </c>
      <c r="C164" s="137">
        <v>36</v>
      </c>
      <c r="O164" s="158" t="s">
        <v>219</v>
      </c>
      <c r="P164" s="140" t="s">
        <v>440</v>
      </c>
      <c r="Q164" s="140" t="s">
        <v>504</v>
      </c>
      <c r="R164" s="140" t="s">
        <v>580</v>
      </c>
      <c r="S164" s="314" t="s">
        <v>1857</v>
      </c>
    </row>
    <row r="165" spans="2:19" x14ac:dyDescent="0.3">
      <c r="B165" s="305" t="str">
        <f t="shared" si="9"/>
        <v>Naložený pro Blumotion</v>
      </c>
      <c r="C165" s="137">
        <v>37</v>
      </c>
      <c r="O165" s="158" t="s">
        <v>203</v>
      </c>
      <c r="P165" s="140" t="s">
        <v>441</v>
      </c>
      <c r="Q165" s="140" t="s">
        <v>505</v>
      </c>
      <c r="R165" s="140" t="s">
        <v>581</v>
      </c>
      <c r="S165" s="314" t="s">
        <v>1858</v>
      </c>
    </row>
    <row r="166" spans="2:19" x14ac:dyDescent="0.3">
      <c r="B166" s="305" t="str">
        <f t="shared" si="9"/>
        <v>Polonaložený s integr. Blumotionem</v>
      </c>
      <c r="C166" s="137">
        <v>38</v>
      </c>
      <c r="O166" s="158" t="s">
        <v>814</v>
      </c>
      <c r="P166" s="140" t="s">
        <v>862</v>
      </c>
      <c r="Q166" s="140" t="s">
        <v>875</v>
      </c>
      <c r="R166" s="140" t="s">
        <v>876</v>
      </c>
      <c r="S166" s="314" t="s">
        <v>1859</v>
      </c>
    </row>
    <row r="167" spans="2:19" x14ac:dyDescent="0.3">
      <c r="B167" s="305" t="str">
        <f t="shared" si="9"/>
        <v>Vložený s integr. Blumotionem</v>
      </c>
      <c r="C167" s="137">
        <v>39</v>
      </c>
      <c r="O167" s="158" t="s">
        <v>815</v>
      </c>
      <c r="P167" s="140" t="s">
        <v>863</v>
      </c>
      <c r="Q167" s="140" t="s">
        <v>877</v>
      </c>
      <c r="R167" s="140" t="s">
        <v>878</v>
      </c>
      <c r="S167" s="314" t="s">
        <v>1860</v>
      </c>
    </row>
    <row r="168" spans="2:19" x14ac:dyDescent="0.3">
      <c r="B168" s="305" t="str">
        <f t="shared" si="9"/>
        <v>45° clip naložený</v>
      </c>
      <c r="C168" s="137">
        <v>40</v>
      </c>
      <c r="O168" s="307" t="s">
        <v>205</v>
      </c>
      <c r="P168" s="140" t="s">
        <v>442</v>
      </c>
      <c r="Q168" s="140" t="s">
        <v>506</v>
      </c>
      <c r="R168" s="140" t="s">
        <v>582</v>
      </c>
      <c r="S168" s="314" t="s">
        <v>1861</v>
      </c>
    </row>
    <row r="169" spans="2:19" x14ac:dyDescent="0.3">
      <c r="B169" s="305" t="str">
        <f t="shared" si="9"/>
        <v>45° clip polonaložený</v>
      </c>
      <c r="C169" s="137">
        <v>41</v>
      </c>
      <c r="O169" s="307" t="s">
        <v>204</v>
      </c>
      <c r="P169" s="140" t="s">
        <v>204</v>
      </c>
      <c r="Q169" s="140" t="s">
        <v>507</v>
      </c>
      <c r="R169" s="140" t="s">
        <v>583</v>
      </c>
      <c r="S169" s="314" t="s">
        <v>1862</v>
      </c>
    </row>
    <row r="170" spans="2:19" x14ac:dyDescent="0.3">
      <c r="B170" s="305" t="str">
        <f t="shared" si="9"/>
        <v>Naložený bez pružiny</v>
      </c>
      <c r="C170" s="137">
        <v>42</v>
      </c>
      <c r="O170" s="307" t="s">
        <v>130</v>
      </c>
      <c r="P170" s="140" t="s">
        <v>130</v>
      </c>
      <c r="Q170" s="140" t="s">
        <v>508</v>
      </c>
      <c r="R170" s="140" t="s">
        <v>584</v>
      </c>
      <c r="S170" s="314" t="s">
        <v>1863</v>
      </c>
    </row>
    <row r="171" spans="2:19" x14ac:dyDescent="0.3">
      <c r="B171" s="305" t="str">
        <f t="shared" si="9"/>
        <v>Naložený bez pružiny (TIP-ON)</v>
      </c>
      <c r="C171" s="137">
        <v>43</v>
      </c>
      <c r="O171" s="307" t="s">
        <v>206</v>
      </c>
      <c r="P171" s="140" t="s">
        <v>443</v>
      </c>
      <c r="Q171" s="140" t="s">
        <v>509</v>
      </c>
      <c r="R171" s="140" t="s">
        <v>585</v>
      </c>
      <c r="S171" s="314" t="s">
        <v>1864</v>
      </c>
    </row>
    <row r="172" spans="2:19" x14ac:dyDescent="0.3">
      <c r="B172" s="305" t="str">
        <f t="shared" si="9"/>
        <v>Clip na eurošroub</v>
      </c>
      <c r="C172" s="137">
        <v>44</v>
      </c>
      <c r="O172" s="307" t="s">
        <v>208</v>
      </c>
      <c r="P172" s="140" t="s">
        <v>444</v>
      </c>
      <c r="Q172" s="140" t="s">
        <v>510</v>
      </c>
      <c r="R172" s="140" t="s">
        <v>586</v>
      </c>
      <c r="S172" s="314" t="s">
        <v>1865</v>
      </c>
    </row>
    <row r="173" spans="2:19" x14ac:dyDescent="0.3">
      <c r="B173" s="305" t="str">
        <f t="shared" si="9"/>
        <v>Clip na vrut</v>
      </c>
      <c r="C173" s="137">
        <v>45</v>
      </c>
      <c r="O173" s="307" t="s">
        <v>207</v>
      </c>
      <c r="P173" s="140" t="s">
        <v>445</v>
      </c>
      <c r="Q173" s="140" t="s">
        <v>511</v>
      </c>
      <c r="R173" s="140" t="s">
        <v>587</v>
      </c>
      <c r="S173" s="314" t="s">
        <v>1866</v>
      </c>
    </row>
    <row r="174" spans="2:19" x14ac:dyDescent="0.3">
      <c r="B174" s="305" t="str">
        <f t="shared" si="9"/>
        <v xml:space="preserve">Zvýšená o 6 mm </v>
      </c>
      <c r="C174" s="137">
        <v>46</v>
      </c>
      <c r="O174" s="307" t="s">
        <v>209</v>
      </c>
      <c r="P174" s="140" t="s">
        <v>446</v>
      </c>
      <c r="Q174" s="140" t="s">
        <v>512</v>
      </c>
      <c r="R174" s="140" t="s">
        <v>588</v>
      </c>
      <c r="S174" s="314" t="s">
        <v>1867</v>
      </c>
    </row>
    <row r="175" spans="2:19" x14ac:dyDescent="0.3">
      <c r="B175" s="305" t="str">
        <f t="shared" si="9"/>
        <v>45° clip</v>
      </c>
      <c r="C175" s="137">
        <v>47</v>
      </c>
      <c r="O175" s="307" t="s">
        <v>10</v>
      </c>
      <c r="P175" s="140" t="s">
        <v>447</v>
      </c>
      <c r="Q175" s="140" t="s">
        <v>10</v>
      </c>
      <c r="R175" s="140" t="s">
        <v>10</v>
      </c>
      <c r="S175" s="314" t="s">
        <v>1868</v>
      </c>
    </row>
    <row r="176" spans="2:19" x14ac:dyDescent="0.3">
      <c r="B176" s="305" t="str">
        <f t="shared" si="9"/>
        <v xml:space="preserve">Clip na eurošroub H0 </v>
      </c>
      <c r="C176" s="137">
        <v>48</v>
      </c>
      <c r="O176" s="307" t="s">
        <v>211</v>
      </c>
      <c r="P176" s="140" t="s">
        <v>448</v>
      </c>
      <c r="Q176" s="140" t="s">
        <v>513</v>
      </c>
      <c r="R176" s="140" t="s">
        <v>589</v>
      </c>
      <c r="S176" s="314" t="s">
        <v>1869</v>
      </c>
    </row>
    <row r="177" spans="2:19" x14ac:dyDescent="0.3">
      <c r="B177" s="305" t="str">
        <f t="shared" si="9"/>
        <v>Clip na vrut H0</v>
      </c>
      <c r="C177" s="137">
        <v>49</v>
      </c>
      <c r="O177" s="307" t="s">
        <v>210</v>
      </c>
      <c r="P177" s="140" t="s">
        <v>449</v>
      </c>
      <c r="Q177" s="140" t="s">
        <v>514</v>
      </c>
      <c r="R177" s="140" t="s">
        <v>590</v>
      </c>
      <c r="S177" s="314" t="s">
        <v>1870</v>
      </c>
    </row>
    <row r="178" spans="2:19" x14ac:dyDescent="0.3">
      <c r="B178" s="305" t="str">
        <f t="shared" si="9"/>
        <v>Výběr pozice rámečku</v>
      </c>
      <c r="C178" s="137">
        <v>50</v>
      </c>
      <c r="O178" s="307" t="s">
        <v>244</v>
      </c>
      <c r="P178" s="140" t="s">
        <v>450</v>
      </c>
      <c r="Q178" s="140" t="s">
        <v>515</v>
      </c>
      <c r="R178" s="140" t="s">
        <v>591</v>
      </c>
      <c r="S178" s="314" t="s">
        <v>1871</v>
      </c>
    </row>
    <row r="179" spans="2:19" x14ac:dyDescent="0.3">
      <c r="B179" s="305" t="str">
        <f t="shared" si="9"/>
        <v>Výrobce závěsů</v>
      </c>
      <c r="C179" s="137">
        <v>51</v>
      </c>
      <c r="O179" s="307" t="s">
        <v>222</v>
      </c>
      <c r="P179" s="140" t="s">
        <v>451</v>
      </c>
      <c r="Q179" s="140" t="s">
        <v>516</v>
      </c>
      <c r="R179" s="140" t="s">
        <v>592</v>
      </c>
      <c r="S179" s="314" t="s">
        <v>1872</v>
      </c>
    </row>
    <row r="180" spans="2:19" x14ac:dyDescent="0.3">
      <c r="B180" s="305" t="str">
        <f t="shared" si="9"/>
        <v>Typ závěsů</v>
      </c>
      <c r="C180" s="137">
        <v>52</v>
      </c>
      <c r="O180" s="307" t="s">
        <v>223</v>
      </c>
      <c r="P180" s="140" t="s">
        <v>452</v>
      </c>
      <c r="Q180" s="140" t="s">
        <v>517</v>
      </c>
      <c r="R180" s="140" t="s">
        <v>593</v>
      </c>
      <c r="S180" s="314" t="s">
        <v>1873</v>
      </c>
    </row>
    <row r="181" spans="2:19" x14ac:dyDescent="0.3">
      <c r="B181" s="305" t="str">
        <f t="shared" si="9"/>
        <v>Typ Aventosu</v>
      </c>
      <c r="C181" s="137">
        <v>53</v>
      </c>
      <c r="O181" s="158" t="s">
        <v>224</v>
      </c>
      <c r="P181" s="140" t="s">
        <v>224</v>
      </c>
      <c r="Q181" s="140" t="s">
        <v>518</v>
      </c>
      <c r="R181" s="140" t="s">
        <v>594</v>
      </c>
      <c r="S181" s="314" t="s">
        <v>1874</v>
      </c>
    </row>
    <row r="182" spans="2:19" x14ac:dyDescent="0.3">
      <c r="B182" s="305" t="str">
        <f t="shared" si="9"/>
        <v>Typ podložky</v>
      </c>
      <c r="C182" s="137">
        <v>54</v>
      </c>
      <c r="O182" s="158" t="s">
        <v>225</v>
      </c>
      <c r="P182" s="140" t="s">
        <v>225</v>
      </c>
      <c r="Q182" s="140" t="s">
        <v>519</v>
      </c>
      <c r="R182" s="140" t="s">
        <v>595</v>
      </c>
      <c r="S182" s="314" t="s">
        <v>1875</v>
      </c>
    </row>
    <row r="183" spans="2:19" x14ac:dyDescent="0.3">
      <c r="B183" s="305" t="str">
        <f t="shared" si="9"/>
        <v>Počet závěsu na 1 rámeček</v>
      </c>
      <c r="C183" s="137">
        <v>55</v>
      </c>
      <c r="O183" s="158" t="s">
        <v>373</v>
      </c>
      <c r="P183" s="140" t="s">
        <v>453</v>
      </c>
      <c r="Q183" s="140" t="s">
        <v>520</v>
      </c>
      <c r="R183" s="140" t="s">
        <v>596</v>
      </c>
      <c r="S183" s="314" t="s">
        <v>1876</v>
      </c>
    </row>
    <row r="184" spans="2:19" x14ac:dyDescent="0.3">
      <c r="B184" s="305" t="str">
        <f t="shared" si="9"/>
        <v>Zvedací písty</v>
      </c>
      <c r="C184" s="137">
        <v>56</v>
      </c>
      <c r="O184" s="158" t="s">
        <v>239</v>
      </c>
      <c r="P184" s="140" t="s">
        <v>454</v>
      </c>
      <c r="Q184" s="140" t="s">
        <v>521</v>
      </c>
      <c r="R184" s="140" t="s">
        <v>597</v>
      </c>
      <c r="S184" s="314" t="s">
        <v>1877</v>
      </c>
    </row>
    <row r="185" spans="2:19" x14ac:dyDescent="0.3">
      <c r="B185" s="305" t="str">
        <f t="shared" si="9"/>
        <v>Dodat včetně uvedeného kování</v>
      </c>
      <c r="C185" s="137">
        <v>57</v>
      </c>
      <c r="O185" s="158" t="s">
        <v>228</v>
      </c>
      <c r="P185" s="140" t="s">
        <v>455</v>
      </c>
      <c r="Q185" s="140" t="s">
        <v>555</v>
      </c>
      <c r="R185" s="140" t="s">
        <v>598</v>
      </c>
      <c r="S185" s="314" t="s">
        <v>1878</v>
      </c>
    </row>
    <row r="186" spans="2:19" x14ac:dyDescent="0.3">
      <c r="B186" s="305" t="str">
        <f t="shared" si="9"/>
        <v>Umístění pístů</v>
      </c>
      <c r="C186" s="137">
        <v>58</v>
      </c>
      <c r="O186" s="158" t="s">
        <v>240</v>
      </c>
      <c r="P186" s="140" t="s">
        <v>456</v>
      </c>
      <c r="Q186" s="140" t="s">
        <v>522</v>
      </c>
      <c r="R186" s="140" t="s">
        <v>599</v>
      </c>
      <c r="S186" s="314" t="s">
        <v>1879</v>
      </c>
    </row>
    <row r="187" spans="2:19" x14ac:dyDescent="0.3">
      <c r="B187" s="305" t="str">
        <f t="shared" si="9"/>
        <v xml:space="preserve">Vpravo </v>
      </c>
      <c r="C187" s="137">
        <v>59</v>
      </c>
      <c r="O187" s="158" t="s">
        <v>242</v>
      </c>
      <c r="P187" s="140" t="s">
        <v>457</v>
      </c>
      <c r="Q187" s="140" t="s">
        <v>523</v>
      </c>
      <c r="R187" s="140" t="s">
        <v>600</v>
      </c>
      <c r="S187" s="314" t="s">
        <v>1880</v>
      </c>
    </row>
    <row r="188" spans="2:19" x14ac:dyDescent="0.3">
      <c r="B188" s="305" t="str">
        <f t="shared" si="9"/>
        <v>Vlevo</v>
      </c>
      <c r="C188" s="137">
        <v>60</v>
      </c>
      <c r="O188" s="158" t="s">
        <v>241</v>
      </c>
      <c r="P188" s="140" t="s">
        <v>458</v>
      </c>
      <c r="Q188" s="140" t="s">
        <v>524</v>
      </c>
      <c r="R188" s="140" t="s">
        <v>601</v>
      </c>
      <c r="S188" s="314" t="s">
        <v>1881</v>
      </c>
    </row>
    <row r="189" spans="2:19" x14ac:dyDescent="0.3">
      <c r="B189" s="305" t="str">
        <f t="shared" si="9"/>
        <v>2 Kusy (obě strany)</v>
      </c>
      <c r="C189" s="137">
        <v>61</v>
      </c>
      <c r="O189" s="158" t="s">
        <v>243</v>
      </c>
      <c r="P189" s="140" t="s">
        <v>459</v>
      </c>
      <c r="Q189" s="140" t="s">
        <v>525</v>
      </c>
      <c r="R189" s="140" t="s">
        <v>602</v>
      </c>
      <c r="S189" s="314" t="s">
        <v>1882</v>
      </c>
    </row>
    <row r="190" spans="2:19" x14ac:dyDescent="0.3">
      <c r="B190" s="305" t="str">
        <f t="shared" si="9"/>
        <v>Provedení druhého dvířka</v>
      </c>
      <c r="C190" s="137">
        <v>62</v>
      </c>
      <c r="O190" s="158" t="s">
        <v>372</v>
      </c>
      <c r="P190" s="140" t="s">
        <v>460</v>
      </c>
      <c r="Q190" s="140" t="s">
        <v>554</v>
      </c>
      <c r="R190" s="140" t="s">
        <v>603</v>
      </c>
      <c r="S190" s="314" t="s">
        <v>1883</v>
      </c>
    </row>
    <row r="191" spans="2:19" x14ac:dyDescent="0.3">
      <c r="B191" s="305" t="str">
        <f t="shared" si="9"/>
        <v>Úzký ALU rámeček</v>
      </c>
      <c r="C191" s="137">
        <v>63</v>
      </c>
      <c r="O191" s="158" t="s">
        <v>245</v>
      </c>
      <c r="P191" s="140" t="s">
        <v>461</v>
      </c>
      <c r="Q191" s="140" t="s">
        <v>526</v>
      </c>
      <c r="R191" s="140" t="s">
        <v>604</v>
      </c>
      <c r="S191" s="314" t="s">
        <v>1884</v>
      </c>
    </row>
    <row r="192" spans="2:19" x14ac:dyDescent="0.3">
      <c r="B192" s="305" t="str">
        <f t="shared" si="9"/>
        <v>Široký ALU rámeček</v>
      </c>
      <c r="C192" s="137">
        <v>64</v>
      </c>
      <c r="O192" s="158" t="s">
        <v>246</v>
      </c>
      <c r="P192" s="140" t="s">
        <v>462</v>
      </c>
      <c r="Q192" s="140" t="s">
        <v>527</v>
      </c>
      <c r="R192" s="140" t="s">
        <v>605</v>
      </c>
      <c r="S192" s="314" t="s">
        <v>1885</v>
      </c>
    </row>
    <row r="193" spans="2:19" x14ac:dyDescent="0.3">
      <c r="B193" s="305" t="str">
        <f t="shared" ref="B193:B256" si="10">IF($D$1=1,O:O,IF($D$1=2,P:P,IF($D$1=3,Q:Q,IF($D$1=4,R:R,IF($D$1=5,S:S)))))</f>
        <v>MDF tloušťky 16 mm</v>
      </c>
      <c r="C193" s="137">
        <v>65</v>
      </c>
      <c r="O193" s="158" t="s">
        <v>248</v>
      </c>
      <c r="P193" s="140" t="s">
        <v>463</v>
      </c>
      <c r="Q193" s="140" t="s">
        <v>528</v>
      </c>
      <c r="R193" s="140" t="s">
        <v>606</v>
      </c>
      <c r="S193" s="314" t="s">
        <v>1886</v>
      </c>
    </row>
    <row r="194" spans="2:19" x14ac:dyDescent="0.3">
      <c r="B194" s="305" t="str">
        <f t="shared" si="10"/>
        <v>MDF tloušťky 18 mm</v>
      </c>
      <c r="C194" s="137">
        <v>66</v>
      </c>
      <c r="O194" s="158" t="s">
        <v>247</v>
      </c>
      <c r="P194" s="140" t="s">
        <v>464</v>
      </c>
      <c r="Q194" s="140" t="s">
        <v>529</v>
      </c>
      <c r="R194" s="140" t="s">
        <v>607</v>
      </c>
      <c r="S194" s="314" t="s">
        <v>1887</v>
      </c>
    </row>
    <row r="195" spans="2:19" x14ac:dyDescent="0.3">
      <c r="B195" s="305" t="str">
        <f t="shared" si="10"/>
        <v>DTDL tloušťky 18 mm</v>
      </c>
      <c r="C195" s="137">
        <v>67</v>
      </c>
      <c r="O195" s="158" t="s">
        <v>249</v>
      </c>
      <c r="P195" s="140" t="s">
        <v>465</v>
      </c>
      <c r="Q195" s="140" t="s">
        <v>530</v>
      </c>
      <c r="R195" s="140" t="s">
        <v>608</v>
      </c>
      <c r="S195" s="314" t="s">
        <v>1888</v>
      </c>
    </row>
    <row r="196" spans="2:19" x14ac:dyDescent="0.3">
      <c r="B196" s="305" t="str">
        <f t="shared" si="10"/>
        <v>Umístění závěsů</v>
      </c>
      <c r="C196" s="137">
        <v>68</v>
      </c>
      <c r="O196" s="158" t="s">
        <v>250</v>
      </c>
      <c r="P196" s="140" t="s">
        <v>466</v>
      </c>
      <c r="Q196" s="140" t="s">
        <v>531</v>
      </c>
      <c r="R196" s="140" t="s">
        <v>609</v>
      </c>
      <c r="S196" s="314" t="s">
        <v>1889</v>
      </c>
    </row>
    <row r="197" spans="2:19" x14ac:dyDescent="0.3">
      <c r="B197" s="305" t="str">
        <f t="shared" si="10"/>
        <v>Nahoře</v>
      </c>
      <c r="C197" s="137">
        <v>69</v>
      </c>
      <c r="O197" s="158" t="s">
        <v>251</v>
      </c>
      <c r="P197" s="140" t="s">
        <v>467</v>
      </c>
      <c r="Q197" s="140" t="s">
        <v>532</v>
      </c>
      <c r="R197" s="140" t="s">
        <v>610</v>
      </c>
      <c r="S197" s="314" t="s">
        <v>1890</v>
      </c>
    </row>
    <row r="198" spans="2:19" x14ac:dyDescent="0.3">
      <c r="B198" s="305" t="str">
        <f t="shared" si="10"/>
        <v>Dole</v>
      </c>
      <c r="C198" s="137">
        <v>70</v>
      </c>
      <c r="O198" s="158" t="s">
        <v>252</v>
      </c>
      <c r="P198" s="140" t="s">
        <v>252</v>
      </c>
      <c r="Q198" s="140" t="s">
        <v>533</v>
      </c>
      <c r="R198" s="140" t="s">
        <v>611</v>
      </c>
      <c r="S198" s="314" t="s">
        <v>1891</v>
      </c>
    </row>
    <row r="199" spans="2:19" x14ac:dyDescent="0.3">
      <c r="B199" s="305" t="str">
        <f t="shared" si="10"/>
        <v>Vyberte ze seznamu</v>
      </c>
      <c r="C199" s="137">
        <v>71</v>
      </c>
      <c r="O199" s="158" t="s">
        <v>258</v>
      </c>
      <c r="P199" s="140" t="s">
        <v>468</v>
      </c>
      <c r="Q199" s="140" t="s">
        <v>534</v>
      </c>
      <c r="R199" s="140" t="s">
        <v>612</v>
      </c>
      <c r="S199" s="314" t="s">
        <v>1892</v>
      </c>
    </row>
    <row r="200" spans="2:19" x14ac:dyDescent="0.3">
      <c r="B200" s="305" t="str">
        <f t="shared" si="10"/>
        <v>Vzdálenost závěsu od kraje</v>
      </c>
      <c r="C200" s="137">
        <v>72</v>
      </c>
      <c r="O200" s="158" t="s">
        <v>374</v>
      </c>
      <c r="P200" s="140" t="s">
        <v>469</v>
      </c>
      <c r="Q200" s="140" t="s">
        <v>535</v>
      </c>
      <c r="R200" s="140" t="s">
        <v>613</v>
      </c>
      <c r="S200" s="314" t="s">
        <v>1893</v>
      </c>
    </row>
    <row r="201" spans="2:19" x14ac:dyDescent="0.3">
      <c r="B201" s="305" t="str">
        <f t="shared" si="10"/>
        <v>Vyplňte pouze pokud nebude vrtání symetricky na střed</v>
      </c>
      <c r="C201" s="137">
        <v>73</v>
      </c>
      <c r="O201" s="158" t="s">
        <v>375</v>
      </c>
      <c r="P201" s="140" t="s">
        <v>470</v>
      </c>
      <c r="Q201" s="140" t="s">
        <v>1737</v>
      </c>
      <c r="R201" s="140" t="s">
        <v>614</v>
      </c>
      <c r="S201" s="314" t="s">
        <v>1894</v>
      </c>
    </row>
    <row r="202" spans="2:19" x14ac:dyDescent="0.3">
      <c r="B202" s="305" t="str">
        <f t="shared" si="10"/>
        <v>Objednávkový formulář ALU rámečků</v>
      </c>
      <c r="C202" s="137">
        <v>74</v>
      </c>
      <c r="O202" s="158" t="s">
        <v>376</v>
      </c>
      <c r="P202" s="140" t="s">
        <v>471</v>
      </c>
      <c r="Q202" s="140" t="s">
        <v>536</v>
      </c>
      <c r="R202" s="140" t="s">
        <v>680</v>
      </c>
      <c r="S202" s="314" t="s">
        <v>1895</v>
      </c>
    </row>
    <row r="203" spans="2:19" x14ac:dyDescent="0.3">
      <c r="B203" s="305" t="str">
        <f t="shared" si="10"/>
        <v xml:space="preserve">Při vyplňování formuláře postupujte vždy shora dolů. Provedete li zpětně změnu, překontrolujte zda jsou následující položky správně. </v>
      </c>
      <c r="C203" s="137">
        <v>75</v>
      </c>
      <c r="O203" s="158" t="s">
        <v>420</v>
      </c>
      <c r="P203" s="140" t="s">
        <v>478</v>
      </c>
      <c r="Q203" s="140" t="s">
        <v>537</v>
      </c>
      <c r="R203" s="140" t="s">
        <v>615</v>
      </c>
      <c r="S203" s="314" t="s">
        <v>1896</v>
      </c>
    </row>
    <row r="204" spans="2:19" s="164" customFormat="1" x14ac:dyDescent="0.3">
      <c r="B204" s="305" t="str">
        <f t="shared" si="10"/>
        <v>Ceny jsou platné od 1.02.2020/Verze 20.01</v>
      </c>
      <c r="C204" s="137">
        <v>76</v>
      </c>
      <c r="O204" s="278" t="s">
        <v>1759</v>
      </c>
      <c r="P204" s="279" t="s">
        <v>1756</v>
      </c>
      <c r="Q204" s="279" t="s">
        <v>1757</v>
      </c>
      <c r="R204" s="279" t="s">
        <v>1758</v>
      </c>
      <c r="S204" s="314" t="s">
        <v>1897</v>
      </c>
    </row>
    <row r="205" spans="2:19" x14ac:dyDescent="0.3">
      <c r="B205" s="305" t="str">
        <f t="shared" si="10"/>
        <v>Cena celkem</v>
      </c>
      <c r="C205" s="137">
        <v>77</v>
      </c>
      <c r="O205" s="158" t="s">
        <v>29</v>
      </c>
      <c r="P205" s="140" t="s">
        <v>472</v>
      </c>
      <c r="Q205" s="140" t="s">
        <v>538</v>
      </c>
      <c r="R205" s="140" t="s">
        <v>616</v>
      </c>
      <c r="S205" s="314" t="s">
        <v>1898</v>
      </c>
    </row>
    <row r="206" spans="2:19" x14ac:dyDescent="0.3">
      <c r="B206" s="305" t="str">
        <f t="shared" si="10"/>
        <v>Zákazník</v>
      </c>
      <c r="C206" s="137">
        <v>78</v>
      </c>
      <c r="O206" s="158" t="s">
        <v>379</v>
      </c>
      <c r="P206" s="140" t="s">
        <v>379</v>
      </c>
      <c r="Q206" s="140" t="s">
        <v>539</v>
      </c>
      <c r="R206" s="140" t="s">
        <v>617</v>
      </c>
      <c r="S206" s="314" t="s">
        <v>1899</v>
      </c>
    </row>
    <row r="207" spans="2:19" x14ac:dyDescent="0.3">
      <c r="B207" s="305" t="str">
        <f t="shared" si="10"/>
        <v>Kontaktní tel.</v>
      </c>
      <c r="C207" s="137">
        <v>79</v>
      </c>
      <c r="O207" s="158" t="s">
        <v>381</v>
      </c>
      <c r="P207" s="140" t="s">
        <v>473</v>
      </c>
      <c r="Q207" s="140" t="s">
        <v>540</v>
      </c>
      <c r="R207" s="140" t="s">
        <v>618</v>
      </c>
      <c r="S207" s="314" t="s">
        <v>1900</v>
      </c>
    </row>
    <row r="208" spans="2:19" x14ac:dyDescent="0.3">
      <c r="B208" s="305" t="str">
        <f t="shared" si="10"/>
        <v>Kontaktní e-mail</v>
      </c>
      <c r="C208" s="137">
        <v>80</v>
      </c>
      <c r="O208" s="158" t="s">
        <v>382</v>
      </c>
      <c r="P208" s="140" t="s">
        <v>474</v>
      </c>
      <c r="Q208" s="140" t="s">
        <v>541</v>
      </c>
      <c r="R208" s="140" t="s">
        <v>619</v>
      </c>
      <c r="S208" s="314" t="s">
        <v>1901</v>
      </c>
    </row>
    <row r="209" spans="2:260" x14ac:dyDescent="0.3">
      <c r="B209" s="305" t="str">
        <f t="shared" si="10"/>
        <v>Adresa provozovny</v>
      </c>
      <c r="C209" s="137">
        <v>81</v>
      </c>
      <c r="O209" s="158" t="s">
        <v>380</v>
      </c>
      <c r="P209" s="140" t="s">
        <v>475</v>
      </c>
      <c r="Q209" s="140" t="s">
        <v>542</v>
      </c>
      <c r="R209" s="140" t="s">
        <v>620</v>
      </c>
      <c r="S209" s="314" t="s">
        <v>1902</v>
      </c>
    </row>
    <row r="210" spans="2:260" x14ac:dyDescent="0.3">
      <c r="B210" s="305" t="str">
        <f t="shared" si="10"/>
        <v>IČ:</v>
      </c>
      <c r="C210" s="137">
        <v>82</v>
      </c>
      <c r="O210" s="158" t="s">
        <v>378</v>
      </c>
      <c r="P210" s="140" t="s">
        <v>378</v>
      </c>
      <c r="Q210" s="140" t="s">
        <v>543</v>
      </c>
      <c r="R210" s="140" t="s">
        <v>378</v>
      </c>
      <c r="S210" s="314" t="s">
        <v>1903</v>
      </c>
    </row>
    <row r="211" spans="2:260" x14ac:dyDescent="0.3">
      <c r="B211" s="305" t="str">
        <f t="shared" si="10"/>
        <v>Sleva na rámečky</v>
      </c>
      <c r="C211" s="137">
        <v>83</v>
      </c>
      <c r="O211" s="158" t="s">
        <v>383</v>
      </c>
      <c r="P211" s="140" t="s">
        <v>476</v>
      </c>
      <c r="Q211" s="140" t="s">
        <v>544</v>
      </c>
      <c r="R211" s="140" t="s">
        <v>621</v>
      </c>
      <c r="S211" s="314" t="s">
        <v>1904</v>
      </c>
    </row>
    <row r="212" spans="2:260" x14ac:dyDescent="0.3">
      <c r="B212" s="305" t="str">
        <f t="shared" si="10"/>
        <v>Sleva na kování</v>
      </c>
      <c r="C212" s="137">
        <v>84</v>
      </c>
      <c r="O212" s="158" t="s">
        <v>384</v>
      </c>
      <c r="P212" s="140" t="s">
        <v>477</v>
      </c>
      <c r="Q212" s="140" t="s">
        <v>545</v>
      </c>
      <c r="R212" s="140" t="s">
        <v>622</v>
      </c>
      <c r="S212" s="314" t="s">
        <v>1905</v>
      </c>
    </row>
    <row r="213" spans="2:260" x14ac:dyDescent="0.3">
      <c r="B213" s="305" t="str">
        <f t="shared" si="10"/>
        <v>Číslo objednávky</v>
      </c>
      <c r="C213" s="137">
        <v>85</v>
      </c>
      <c r="O213" s="158" t="s">
        <v>411</v>
      </c>
      <c r="P213" s="140" t="s">
        <v>411</v>
      </c>
      <c r="Q213" s="140" t="s">
        <v>25</v>
      </c>
      <c r="R213" s="140" t="s">
        <v>623</v>
      </c>
      <c r="S213" s="314" t="s">
        <v>1906</v>
      </c>
    </row>
    <row r="214" spans="2:260" x14ac:dyDescent="0.3">
      <c r="B214" s="305" t="str">
        <f t="shared" si="10"/>
        <v>Barevné náhledy u jednotlivých názvů RAL a REF jsou pouze orientační!!!!</v>
      </c>
      <c r="C214" s="137">
        <v>86</v>
      </c>
      <c r="O214" s="158" t="s">
        <v>410</v>
      </c>
      <c r="P214" s="140" t="s">
        <v>480</v>
      </c>
      <c r="Q214" s="140" t="s">
        <v>1738</v>
      </c>
      <c r="R214" s="140" t="s">
        <v>1388</v>
      </c>
      <c r="S214" s="314" t="s">
        <v>1907</v>
      </c>
    </row>
    <row r="215" spans="2:260" x14ac:dyDescent="0.3">
      <c r="B215" s="305" t="str">
        <f t="shared" si="10"/>
        <v>Typ kování</v>
      </c>
      <c r="C215" s="137">
        <v>87</v>
      </c>
      <c r="O215" s="158" t="s">
        <v>95</v>
      </c>
      <c r="P215" s="140" t="s">
        <v>479</v>
      </c>
      <c r="Q215" s="140" t="s">
        <v>553</v>
      </c>
      <c r="R215" s="140" t="s">
        <v>1734</v>
      </c>
      <c r="S215" s="314" t="s">
        <v>1908</v>
      </c>
    </row>
    <row r="216" spans="2:260" x14ac:dyDescent="0.3">
      <c r="B216" s="305" t="str">
        <f t="shared" si="10"/>
        <v>AVENTOS HF</v>
      </c>
      <c r="C216" s="137">
        <v>88</v>
      </c>
      <c r="O216" s="158" t="s">
        <v>103</v>
      </c>
      <c r="P216" s="158" t="s">
        <v>103</v>
      </c>
      <c r="Q216" s="158" t="s">
        <v>103</v>
      </c>
      <c r="R216" s="158" t="s">
        <v>103</v>
      </c>
      <c r="S216" s="314" t="s">
        <v>103</v>
      </c>
    </row>
    <row r="217" spans="2:260" x14ac:dyDescent="0.3">
      <c r="B217" s="305" t="str">
        <f t="shared" si="10"/>
        <v>AVENTOS HK TOP</v>
      </c>
      <c r="C217" s="137">
        <v>89</v>
      </c>
      <c r="O217" s="173" t="s">
        <v>1753</v>
      </c>
      <c r="P217" s="173" t="s">
        <v>1753</v>
      </c>
      <c r="Q217" s="173" t="s">
        <v>1753</v>
      </c>
      <c r="R217" s="173" t="s">
        <v>1753</v>
      </c>
      <c r="S217" s="314" t="s">
        <v>1753</v>
      </c>
    </row>
    <row r="218" spans="2:260" x14ac:dyDescent="0.3">
      <c r="B218" s="305" t="str">
        <f t="shared" si="10"/>
        <v>AVENTOS HKS</v>
      </c>
      <c r="C218" s="137">
        <v>90</v>
      </c>
      <c r="O218" s="173" t="s">
        <v>104</v>
      </c>
      <c r="P218" s="173" t="s">
        <v>104</v>
      </c>
      <c r="Q218" s="173" t="s">
        <v>104</v>
      </c>
      <c r="R218" s="173" t="s">
        <v>104</v>
      </c>
      <c r="S218" s="314" t="s">
        <v>104</v>
      </c>
    </row>
    <row r="219" spans="2:260" x14ac:dyDescent="0.3">
      <c r="B219" s="305" t="str">
        <f t="shared" si="10"/>
        <v>AVENTOS HL</v>
      </c>
      <c r="C219" s="137">
        <v>91</v>
      </c>
      <c r="O219" s="173" t="s">
        <v>105</v>
      </c>
      <c r="P219" s="173" t="s">
        <v>105</v>
      </c>
      <c r="Q219" s="173" t="s">
        <v>105</v>
      </c>
      <c r="R219" s="173" t="s">
        <v>105</v>
      </c>
      <c r="S219" s="314" t="s">
        <v>105</v>
      </c>
    </row>
    <row r="220" spans="2:260" x14ac:dyDescent="0.3">
      <c r="B220" s="305" t="str">
        <f t="shared" si="10"/>
        <v>AVENTOS HS</v>
      </c>
      <c r="C220" s="137">
        <v>92</v>
      </c>
      <c r="O220" s="173" t="s">
        <v>106</v>
      </c>
      <c r="P220" s="173" t="s">
        <v>106</v>
      </c>
      <c r="Q220" s="173" t="s">
        <v>106</v>
      </c>
      <c r="R220" s="173" t="s">
        <v>106</v>
      </c>
      <c r="S220" s="314" t="s">
        <v>106</v>
      </c>
    </row>
    <row r="221" spans="2:260" x14ac:dyDescent="0.3">
      <c r="B221" s="305" t="str">
        <f t="shared" si="10"/>
        <v>AVENTOS HK-XS</v>
      </c>
      <c r="C221" s="137">
        <v>93</v>
      </c>
      <c r="O221" s="173" t="s">
        <v>1034</v>
      </c>
      <c r="P221" s="173" t="s">
        <v>1034</v>
      </c>
      <c r="Q221" s="173" t="s">
        <v>1034</v>
      </c>
      <c r="R221" s="173" t="s">
        <v>1034</v>
      </c>
      <c r="S221" s="314" t="s">
        <v>1034</v>
      </c>
      <c r="IZ221" s="364"/>
    </row>
    <row r="222" spans="2:260" x14ac:dyDescent="0.3">
      <c r="B222" s="305" t="str">
        <f t="shared" si="10"/>
        <v>AVENTOS HK-XS TIP-ON</v>
      </c>
      <c r="C222" s="137">
        <v>94</v>
      </c>
      <c r="O222" s="173" t="s">
        <v>1063</v>
      </c>
      <c r="P222" s="173" t="s">
        <v>1063</v>
      </c>
      <c r="Q222" s="173" t="s">
        <v>1063</v>
      </c>
      <c r="R222" s="173" t="s">
        <v>1063</v>
      </c>
      <c r="S222" s="314" t="s">
        <v>1063</v>
      </c>
      <c r="IZ222" s="349"/>
    </row>
    <row r="223" spans="2:260" x14ac:dyDescent="0.3">
      <c r="B223" s="305" t="str">
        <f t="shared" si="10"/>
        <v>FGV</v>
      </c>
      <c r="C223" s="137">
        <v>95</v>
      </c>
      <c r="O223" s="173" t="s">
        <v>13</v>
      </c>
      <c r="P223" s="173" t="s">
        <v>13</v>
      </c>
      <c r="Q223" s="173" t="s">
        <v>13</v>
      </c>
      <c r="R223" s="173" t="s">
        <v>13</v>
      </c>
      <c r="S223" s="314" t="s">
        <v>13</v>
      </c>
    </row>
    <row r="224" spans="2:260" x14ac:dyDescent="0.3">
      <c r="B224" s="305" t="str">
        <f t="shared" si="10"/>
        <v>BLUM</v>
      </c>
      <c r="C224" s="137">
        <v>96</v>
      </c>
      <c r="O224" s="173" t="s">
        <v>14</v>
      </c>
      <c r="P224" s="173" t="s">
        <v>14</v>
      </c>
      <c r="Q224" s="173" t="s">
        <v>14</v>
      </c>
      <c r="R224" s="173" t="s">
        <v>14</v>
      </c>
      <c r="S224" s="314" t="s">
        <v>14</v>
      </c>
    </row>
    <row r="225" spans="2:19" x14ac:dyDescent="0.3">
      <c r="B225" s="305" t="str">
        <f t="shared" si="10"/>
        <v>STRONG bez tlumení</v>
      </c>
      <c r="C225" s="137">
        <v>97</v>
      </c>
      <c r="O225" s="173" t="s">
        <v>1173</v>
      </c>
      <c r="P225" s="173" t="s">
        <v>1613</v>
      </c>
      <c r="Q225" s="173" t="s">
        <v>1614</v>
      </c>
      <c r="R225" s="173" t="s">
        <v>1615</v>
      </c>
      <c r="S225" s="314" t="s">
        <v>1909</v>
      </c>
    </row>
    <row r="226" spans="2:19" x14ac:dyDescent="0.3">
      <c r="B226" s="305" t="str">
        <f t="shared" si="10"/>
        <v>HETTICH</v>
      </c>
      <c r="C226" s="137">
        <v>98</v>
      </c>
      <c r="O226" s="173" t="s">
        <v>1033</v>
      </c>
      <c r="P226" s="173" t="s">
        <v>1033</v>
      </c>
      <c r="Q226" s="173" t="s">
        <v>1033</v>
      </c>
      <c r="R226" s="173" t="s">
        <v>1033</v>
      </c>
      <c r="S226" s="314" t="s">
        <v>1033</v>
      </c>
    </row>
    <row r="227" spans="2:19" x14ac:dyDescent="0.3">
      <c r="B227" s="305" t="str">
        <f t="shared" si="10"/>
        <v xml:space="preserve">Vyplňte pouze pokud nebude vrtání symetricky na střed </v>
      </c>
      <c r="C227" s="137">
        <v>99</v>
      </c>
      <c r="O227" s="158" t="s">
        <v>552</v>
      </c>
      <c r="P227" s="173" t="s">
        <v>643</v>
      </c>
      <c r="Q227" s="140" t="s">
        <v>648</v>
      </c>
      <c r="R227" s="140" t="s">
        <v>655</v>
      </c>
      <c r="S227" s="314" t="s">
        <v>1894</v>
      </c>
    </row>
    <row r="228" spans="2:19" x14ac:dyDescent="0.3">
      <c r="B228" s="305" t="str">
        <f t="shared" si="10"/>
        <v>Posuvné rámečky</v>
      </c>
      <c r="C228" s="137">
        <v>100</v>
      </c>
      <c r="O228" s="158" t="s">
        <v>20</v>
      </c>
      <c r="P228" s="173" t="s">
        <v>644</v>
      </c>
      <c r="Q228" s="140" t="s">
        <v>649</v>
      </c>
      <c r="R228" s="140" t="s">
        <v>656</v>
      </c>
      <c r="S228" s="314" t="s">
        <v>1910</v>
      </c>
    </row>
    <row r="229" spans="2:19" x14ac:dyDescent="0.3">
      <c r="B229" s="305" t="str">
        <f t="shared" si="10"/>
        <v>Standardně je objednávka dodána včetně kování a vodících profilů</v>
      </c>
      <c r="C229" s="137">
        <v>101</v>
      </c>
      <c r="O229" s="158" t="s">
        <v>414</v>
      </c>
      <c r="P229" s="140" t="s">
        <v>637</v>
      </c>
      <c r="Q229" s="140" t="s">
        <v>681</v>
      </c>
      <c r="R229" s="158" t="s">
        <v>657</v>
      </c>
      <c r="S229" s="314" t="s">
        <v>1911</v>
      </c>
    </row>
    <row r="230" spans="2:19" x14ac:dyDescent="0.3">
      <c r="B230" s="305" t="str">
        <f t="shared" si="10"/>
        <v xml:space="preserve">Vnitřní rozměr skříňky (mm)  </v>
      </c>
      <c r="C230" s="137">
        <v>102</v>
      </c>
      <c r="O230" s="158" t="s">
        <v>640</v>
      </c>
      <c r="P230" s="140" t="s">
        <v>638</v>
      </c>
      <c r="Q230" s="140" t="s">
        <v>650</v>
      </c>
      <c r="R230" s="140" t="s">
        <v>658</v>
      </c>
      <c r="S230" s="314" t="s">
        <v>1912</v>
      </c>
    </row>
    <row r="231" spans="2:19" x14ac:dyDescent="0.3">
      <c r="B231" s="305" t="str">
        <f t="shared" si="10"/>
        <v>Počet dvířek</v>
      </c>
      <c r="C231" s="137">
        <v>103</v>
      </c>
      <c r="O231" s="158" t="s">
        <v>413</v>
      </c>
      <c r="P231" s="140" t="s">
        <v>639</v>
      </c>
      <c r="Q231" s="140" t="s">
        <v>651</v>
      </c>
      <c r="R231" s="158" t="s">
        <v>659</v>
      </c>
      <c r="S231" s="314" t="s">
        <v>1913</v>
      </c>
    </row>
    <row r="232" spans="2:19" x14ac:dyDescent="0.3">
      <c r="B232" s="305" t="str">
        <f t="shared" si="10"/>
        <v>Zde jsou uvedeny standardní přesahy dvířek</v>
      </c>
      <c r="C232" s="137">
        <v>104</v>
      </c>
      <c r="O232" s="158" t="s">
        <v>851</v>
      </c>
      <c r="P232" s="162" t="s">
        <v>641</v>
      </c>
      <c r="Q232" s="140" t="s">
        <v>852</v>
      </c>
      <c r="R232" s="158" t="s">
        <v>853</v>
      </c>
      <c r="S232" s="314" t="s">
        <v>1914</v>
      </c>
    </row>
    <row r="233" spans="2:19" x14ac:dyDescent="0.3">
      <c r="B233" s="305" t="str">
        <f t="shared" si="10"/>
        <v>barva</v>
      </c>
      <c r="C233" s="137">
        <v>105</v>
      </c>
      <c r="O233" s="158" t="s">
        <v>385</v>
      </c>
      <c r="P233" s="140" t="s">
        <v>642</v>
      </c>
      <c r="Q233" s="140" t="s">
        <v>652</v>
      </c>
      <c r="R233" s="158" t="s">
        <v>660</v>
      </c>
      <c r="S233" s="314" t="s">
        <v>1915</v>
      </c>
    </row>
    <row r="234" spans="2:19" x14ac:dyDescent="0.3">
      <c r="B234" s="305" t="str">
        <f t="shared" si="10"/>
        <v>Objednávka ALU</v>
      </c>
      <c r="C234" s="137">
        <v>106</v>
      </c>
      <c r="O234" s="158" t="s">
        <v>635</v>
      </c>
      <c r="P234" s="140" t="s">
        <v>635</v>
      </c>
      <c r="Q234" s="140" t="s">
        <v>653</v>
      </c>
      <c r="R234" s="158" t="s">
        <v>661</v>
      </c>
      <c r="S234" s="314" t="s">
        <v>1916</v>
      </c>
    </row>
    <row r="235" spans="2:19" x14ac:dyDescent="0.3">
      <c r="B235" s="305" t="str">
        <f t="shared" si="10"/>
        <v>Posuvné rámečky</v>
      </c>
      <c r="C235" s="137">
        <v>107</v>
      </c>
      <c r="O235" s="158" t="s">
        <v>20</v>
      </c>
      <c r="P235" s="173" t="s">
        <v>644</v>
      </c>
      <c r="Q235" s="140" t="s">
        <v>649</v>
      </c>
      <c r="R235" s="140" t="s">
        <v>656</v>
      </c>
      <c r="S235" s="314" t="s">
        <v>1910</v>
      </c>
    </row>
    <row r="236" spans="2:19" x14ac:dyDescent="0.3">
      <c r="B236" s="305" t="str">
        <f t="shared" si="10"/>
        <v>Barvy LACOBEL A MATELAC</v>
      </c>
      <c r="C236" s="137">
        <v>108</v>
      </c>
      <c r="O236" s="158" t="s">
        <v>636</v>
      </c>
      <c r="P236" s="140" t="s">
        <v>645</v>
      </c>
      <c r="Q236" s="140" t="s">
        <v>654</v>
      </c>
      <c r="R236" s="158" t="s">
        <v>662</v>
      </c>
      <c r="S236" s="314" t="s">
        <v>1917</v>
      </c>
    </row>
    <row r="237" spans="2:19" x14ac:dyDescent="0.3">
      <c r="B237" s="305" t="str">
        <f t="shared" si="10"/>
        <v>20L3200</v>
      </c>
      <c r="C237" s="137">
        <v>109</v>
      </c>
      <c r="O237" s="139" t="s">
        <v>664</v>
      </c>
      <c r="P237" s="139" t="s">
        <v>664</v>
      </c>
      <c r="Q237" s="139" t="s">
        <v>664</v>
      </c>
      <c r="R237" s="139" t="s">
        <v>664</v>
      </c>
      <c r="S237" s="314" t="s">
        <v>664</v>
      </c>
    </row>
    <row r="238" spans="2:19" x14ac:dyDescent="0.3">
      <c r="B238" s="305" t="str">
        <f t="shared" si="10"/>
        <v>20L3500</v>
      </c>
      <c r="C238" s="137">
        <v>110</v>
      </c>
      <c r="O238" s="139" t="s">
        <v>665</v>
      </c>
      <c r="P238" s="139" t="s">
        <v>665</v>
      </c>
      <c r="Q238" s="139" t="s">
        <v>665</v>
      </c>
      <c r="R238" s="139" t="s">
        <v>665</v>
      </c>
      <c r="S238" s="314" t="s">
        <v>665</v>
      </c>
    </row>
    <row r="239" spans="2:19" x14ac:dyDescent="0.3">
      <c r="B239" s="305" t="str">
        <f t="shared" si="10"/>
        <v>20L3800</v>
      </c>
      <c r="C239" s="137">
        <v>111</v>
      </c>
      <c r="O239" s="139" t="s">
        <v>666</v>
      </c>
      <c r="P239" s="139" t="s">
        <v>666</v>
      </c>
      <c r="Q239" s="139" t="s">
        <v>666</v>
      </c>
      <c r="R239" s="139" t="s">
        <v>666</v>
      </c>
      <c r="S239" s="314" t="s">
        <v>666</v>
      </c>
    </row>
    <row r="240" spans="2:19" x14ac:dyDescent="0.3">
      <c r="B240" s="305" t="str">
        <f t="shared" si="10"/>
        <v>20L3900</v>
      </c>
      <c r="C240" s="137">
        <v>112</v>
      </c>
      <c r="O240" s="139" t="s">
        <v>667</v>
      </c>
      <c r="P240" s="139" t="s">
        <v>667</v>
      </c>
      <c r="Q240" s="139" t="s">
        <v>667</v>
      </c>
      <c r="R240" s="139" t="s">
        <v>667</v>
      </c>
      <c r="S240" s="314" t="s">
        <v>667</v>
      </c>
    </row>
    <row r="241" spans="2:19" x14ac:dyDescent="0.3">
      <c r="B241" s="305" t="str">
        <f t="shared" si="10"/>
        <v>Typ ramene</v>
      </c>
      <c r="C241" s="137">
        <v>113</v>
      </c>
      <c r="O241" s="139" t="s">
        <v>668</v>
      </c>
      <c r="P241" s="139" t="s">
        <v>671</v>
      </c>
      <c r="Q241" s="139" t="s">
        <v>672</v>
      </c>
      <c r="R241" s="139" t="s">
        <v>673</v>
      </c>
      <c r="S241" s="314" t="s">
        <v>1918</v>
      </c>
    </row>
    <row r="242" spans="2:19" x14ac:dyDescent="0.3">
      <c r="B242" s="305" t="str">
        <f t="shared" si="10"/>
        <v>Hmotnost úchytky (g)</v>
      </c>
      <c r="C242" s="137">
        <v>114</v>
      </c>
      <c r="O242" s="139" t="s">
        <v>669</v>
      </c>
      <c r="P242" s="139" t="s">
        <v>674</v>
      </c>
      <c r="Q242" s="139" t="s">
        <v>675</v>
      </c>
      <c r="R242" s="139" t="s">
        <v>676</v>
      </c>
      <c r="S242" s="314" t="s">
        <v>1919</v>
      </c>
    </row>
    <row r="243" spans="2:19" x14ac:dyDescent="0.3">
      <c r="B243" s="305" t="str">
        <f t="shared" si="10"/>
        <v>Typy profilů</v>
      </c>
      <c r="C243" s="137">
        <v>115</v>
      </c>
      <c r="O243" s="139" t="s">
        <v>670</v>
      </c>
      <c r="P243" s="140" t="s">
        <v>677</v>
      </c>
      <c r="Q243" s="140" t="s">
        <v>678</v>
      </c>
      <c r="R243" s="140" t="s">
        <v>679</v>
      </c>
      <c r="S243" s="314" t="s">
        <v>1920</v>
      </c>
    </row>
    <row r="244" spans="2:19" x14ac:dyDescent="0.3">
      <c r="B244" s="305" t="str">
        <f t="shared" si="10"/>
        <v>AVENTOS HF Servo Drive</v>
      </c>
      <c r="C244" s="137">
        <v>116</v>
      </c>
      <c r="O244" s="158" t="s">
        <v>749</v>
      </c>
      <c r="P244" s="158" t="s">
        <v>749</v>
      </c>
      <c r="Q244" s="158" t="s">
        <v>749</v>
      </c>
      <c r="R244" s="158" t="s">
        <v>749</v>
      </c>
      <c r="S244" s="314" t="s">
        <v>749</v>
      </c>
    </row>
    <row r="245" spans="2:19" x14ac:dyDescent="0.3">
      <c r="B245" s="305" t="str">
        <f t="shared" si="10"/>
        <v>AVENTOS HK TOP TIP ON</v>
      </c>
      <c r="C245" s="137">
        <v>117</v>
      </c>
      <c r="O245" s="158" t="s">
        <v>1755</v>
      </c>
      <c r="P245" s="158" t="s">
        <v>1755</v>
      </c>
      <c r="Q245" s="158" t="s">
        <v>1755</v>
      </c>
      <c r="R245" s="158" t="s">
        <v>1755</v>
      </c>
      <c r="S245" s="314" t="s">
        <v>1755</v>
      </c>
    </row>
    <row r="246" spans="2:19" x14ac:dyDescent="0.3">
      <c r="B246" s="305" t="str">
        <f t="shared" si="10"/>
        <v>AVENTOS HKS TIP ON</v>
      </c>
      <c r="C246" s="137">
        <v>118</v>
      </c>
      <c r="O246" s="158" t="s">
        <v>750</v>
      </c>
      <c r="P246" s="158" t="s">
        <v>750</v>
      </c>
      <c r="Q246" s="158" t="s">
        <v>750</v>
      </c>
      <c r="R246" s="158" t="s">
        <v>750</v>
      </c>
      <c r="S246" s="314" t="s">
        <v>750</v>
      </c>
    </row>
    <row r="247" spans="2:19" x14ac:dyDescent="0.3">
      <c r="B247" s="305" t="str">
        <f t="shared" si="10"/>
        <v>AVENTOS HK TOP Servo Drive</v>
      </c>
      <c r="C247" s="137">
        <v>119</v>
      </c>
      <c r="O247" s="158" t="s">
        <v>1754</v>
      </c>
      <c r="P247" s="158" t="s">
        <v>1754</v>
      </c>
      <c r="Q247" s="158" t="s">
        <v>1754</v>
      </c>
      <c r="R247" s="158" t="s">
        <v>1754</v>
      </c>
      <c r="S247" s="314" t="s">
        <v>1754</v>
      </c>
    </row>
    <row r="248" spans="2:19" x14ac:dyDescent="0.3">
      <c r="B248" s="305" t="str">
        <f t="shared" si="10"/>
        <v>AVENTOS HL Servo Drive</v>
      </c>
      <c r="C248" s="137">
        <v>120</v>
      </c>
      <c r="O248" s="158" t="s">
        <v>751</v>
      </c>
      <c r="P248" s="158" t="s">
        <v>751</v>
      </c>
      <c r="Q248" s="158" t="s">
        <v>751</v>
      </c>
      <c r="R248" s="158" t="s">
        <v>751</v>
      </c>
      <c r="S248" s="314" t="s">
        <v>751</v>
      </c>
    </row>
    <row r="249" spans="2:19" x14ac:dyDescent="0.3">
      <c r="B249" s="305" t="str">
        <f t="shared" si="10"/>
        <v>AVENTOS HS Servo Drive</v>
      </c>
      <c r="C249" s="137">
        <v>121</v>
      </c>
      <c r="O249" s="158" t="s">
        <v>752</v>
      </c>
      <c r="P249" s="158" t="s">
        <v>752</v>
      </c>
      <c r="Q249" s="158" t="s">
        <v>752</v>
      </c>
      <c r="R249" s="158" t="s">
        <v>752</v>
      </c>
      <c r="S249" s="314" t="s">
        <v>752</v>
      </c>
    </row>
    <row r="250" spans="2:19" x14ac:dyDescent="0.3">
      <c r="B250" s="305" t="str">
        <f t="shared" si="10"/>
        <v>spodní</v>
      </c>
      <c r="C250" s="137">
        <v>122</v>
      </c>
      <c r="O250" s="158" t="s">
        <v>806</v>
      </c>
      <c r="P250" s="140" t="s">
        <v>807</v>
      </c>
      <c r="Q250" s="140" t="s">
        <v>808</v>
      </c>
      <c r="R250" s="140" t="s">
        <v>809</v>
      </c>
      <c r="S250" s="314" t="s">
        <v>1921</v>
      </c>
    </row>
    <row r="251" spans="2:19" x14ac:dyDescent="0.3">
      <c r="B251" s="305" t="str">
        <f t="shared" si="10"/>
        <v>Minimální vzdálenost umístění závěsů</v>
      </c>
      <c r="C251" s="137">
        <v>123</v>
      </c>
      <c r="O251" s="139" t="s">
        <v>811</v>
      </c>
      <c r="P251" s="140" t="s">
        <v>864</v>
      </c>
      <c r="Q251" s="140" t="s">
        <v>879</v>
      </c>
      <c r="R251" s="140" t="s">
        <v>880</v>
      </c>
      <c r="S251" s="314" t="s">
        <v>1922</v>
      </c>
    </row>
    <row r="252" spans="2:19" x14ac:dyDescent="0.3">
      <c r="B252" s="305" t="str">
        <f t="shared" si="10"/>
        <v>Naložený s integr. Blumotionem</v>
      </c>
      <c r="C252" s="137">
        <v>124</v>
      </c>
      <c r="O252" s="158" t="s">
        <v>813</v>
      </c>
      <c r="P252" s="140" t="s">
        <v>865</v>
      </c>
      <c r="Q252" s="140" t="s">
        <v>881</v>
      </c>
      <c r="R252" s="140" t="s">
        <v>882</v>
      </c>
      <c r="S252" s="314" t="s">
        <v>1923</v>
      </c>
    </row>
    <row r="253" spans="2:19" x14ac:dyDescent="0.3">
      <c r="B253" s="305" t="str">
        <f t="shared" si="10"/>
        <v>Standardní vrtání otvorů pro závěsy u všech typů kování Aventos HF, je 100 mm od kraje.</v>
      </c>
      <c r="C253" s="137">
        <v>125</v>
      </c>
      <c r="O253" s="349" t="s">
        <v>857</v>
      </c>
      <c r="P253" s="137" t="s">
        <v>866</v>
      </c>
      <c r="Q253" s="137" t="s">
        <v>1739</v>
      </c>
      <c r="R253" s="137" t="s">
        <v>883</v>
      </c>
      <c r="S253" s="314" t="s">
        <v>1924</v>
      </c>
    </row>
    <row r="254" spans="2:19" x14ac:dyDescent="0.3">
      <c r="B254" s="305" t="str">
        <f t="shared" si="10"/>
        <v>Standardní průměr otvorů pro úchytky je ve skle 7 mm a v rámečku 5 mm (distanční podložky jsou součástí balení).</v>
      </c>
      <c r="C254" s="137">
        <v>126</v>
      </c>
      <c r="O254" s="17" t="s">
        <v>817</v>
      </c>
      <c r="P254" s="137" t="s">
        <v>867</v>
      </c>
      <c r="Q254" s="137" t="s">
        <v>884</v>
      </c>
      <c r="R254" s="137" t="s">
        <v>885</v>
      </c>
      <c r="S254" s="314" t="s">
        <v>1925</v>
      </c>
    </row>
    <row r="255" spans="2:19" x14ac:dyDescent="0.3">
      <c r="B255" s="305" t="str">
        <f t="shared" si="10"/>
        <v xml:space="preserve">Pokud je váš požadavek jiný než je uvedeno výše, uveďte ho do poznámky. </v>
      </c>
      <c r="C255" s="137">
        <v>127</v>
      </c>
      <c r="O255" s="17" t="s">
        <v>818</v>
      </c>
      <c r="P255" s="137" t="s">
        <v>868</v>
      </c>
      <c r="Q255" s="137" t="s">
        <v>886</v>
      </c>
      <c r="R255" s="137" t="s">
        <v>887</v>
      </c>
      <c r="S255" s="314" t="s">
        <v>1926</v>
      </c>
    </row>
    <row r="256" spans="2:19" x14ac:dyDescent="0.3">
      <c r="B256" s="305" t="str">
        <f t="shared" si="10"/>
        <v>U určitých typů úchytek jsou závity pro šrouby zapuštěné a je nutné použít vhodné distanční podložky.</v>
      </c>
      <c r="C256" s="137">
        <v>128</v>
      </c>
      <c r="O256" s="17" t="s">
        <v>822</v>
      </c>
      <c r="P256" s="137" t="s">
        <v>869</v>
      </c>
      <c r="Q256" s="137" t="s">
        <v>1740</v>
      </c>
      <c r="R256" s="137" t="s">
        <v>1733</v>
      </c>
      <c r="S256" s="314" t="s">
        <v>1927</v>
      </c>
    </row>
    <row r="257" spans="2:19" x14ac:dyDescent="0.3">
      <c r="B257" s="305" t="str">
        <f t="shared" ref="B257:B320" si="11">IF($D$1=1,O:O,IF($D$1=2,P:P,IF($D$1=3,Q:Q,IF($D$1=4,R:R,IF($D$1=5,S:S)))))</f>
        <v>Reklamace spojené s poškozením nelze uplatnit, pokud byl rámeček již namontován.</v>
      </c>
      <c r="C257" s="137">
        <v>129</v>
      </c>
      <c r="O257" s="17" t="s">
        <v>819</v>
      </c>
      <c r="P257" s="137" t="s">
        <v>870</v>
      </c>
      <c r="Q257" s="137" t="s">
        <v>888</v>
      </c>
      <c r="R257" s="137" t="s">
        <v>889</v>
      </c>
      <c r="S257" s="314" t="s">
        <v>1928</v>
      </c>
    </row>
    <row r="258" spans="2:19" x14ac:dyDescent="0.3">
      <c r="B258" s="305" t="str">
        <f t="shared" si="11"/>
        <v xml:space="preserve">Pro připevnění kování do ALU rámečku, je nutné používat vruty pro toto určené (např. kód 13681). </v>
      </c>
      <c r="C258" s="137">
        <v>130</v>
      </c>
      <c r="O258" s="17" t="s">
        <v>820</v>
      </c>
      <c r="P258" s="137" t="s">
        <v>871</v>
      </c>
      <c r="Q258" s="137" t="s">
        <v>1741</v>
      </c>
      <c r="R258" s="137" t="s">
        <v>890</v>
      </c>
      <c r="S258" s="314" t="s">
        <v>1929</v>
      </c>
    </row>
    <row r="259" spans="2:19" x14ac:dyDescent="0.3">
      <c r="B259" s="305" t="str">
        <f t="shared" si="11"/>
        <v>Vždy používejte aktuální verzi formuláře, který je dostupný na našich stánkách.</v>
      </c>
      <c r="C259" s="137">
        <v>131</v>
      </c>
      <c r="O259" s="17" t="s">
        <v>827</v>
      </c>
      <c r="P259" s="137" t="s">
        <v>872</v>
      </c>
      <c r="Q259" s="137" t="s">
        <v>891</v>
      </c>
      <c r="R259" s="137" t="s">
        <v>892</v>
      </c>
      <c r="S259" s="314" t="s">
        <v>1930</v>
      </c>
    </row>
    <row r="260" spans="2:19" x14ac:dyDescent="0.3">
      <c r="B260" s="305">
        <f t="shared" si="11"/>
        <v>0</v>
      </c>
      <c r="C260" s="137">
        <v>132</v>
      </c>
      <c r="S260" s="314"/>
    </row>
    <row r="261" spans="2:19" x14ac:dyDescent="0.3">
      <c r="B261" s="305"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s="137">
        <v>133</v>
      </c>
      <c r="O261" s="17" t="s">
        <v>821</v>
      </c>
      <c r="P261" s="137" t="s">
        <v>893</v>
      </c>
      <c r="Q261" s="137" t="s">
        <v>1742</v>
      </c>
      <c r="R261" s="137" t="s">
        <v>894</v>
      </c>
      <c r="S261" s="314" t="s">
        <v>1931</v>
      </c>
    </row>
    <row r="262" spans="2:19" x14ac:dyDescent="0.3">
      <c r="B262" s="305" t="str">
        <f t="shared" si="11"/>
        <v>Formulář obsahuje několik listů, mezi kterými je možné se přepínat ve spodní části.</v>
      </c>
      <c r="C262" s="137">
        <v>134</v>
      </c>
      <c r="O262" s="17" t="s">
        <v>823</v>
      </c>
      <c r="P262" s="137" t="s">
        <v>895</v>
      </c>
      <c r="Q262" s="137" t="s">
        <v>896</v>
      </c>
      <c r="R262" s="137" t="s">
        <v>897</v>
      </c>
      <c r="S262" s="314" t="s">
        <v>1932</v>
      </c>
    </row>
    <row r="263" spans="2:19" x14ac:dyDescent="0.3">
      <c r="B263" s="305" t="str">
        <f t="shared" si="11"/>
        <v xml:space="preserve">Vyplňte prosím vaše kontaktní údaje a poté klikněte na požadované políčko níže. </v>
      </c>
      <c r="C263" s="137">
        <v>135</v>
      </c>
      <c r="O263" s="17" t="s">
        <v>969</v>
      </c>
      <c r="P263" s="137" t="s">
        <v>898</v>
      </c>
      <c r="Q263" s="137" t="s">
        <v>899</v>
      </c>
      <c r="R263" s="137" t="s">
        <v>900</v>
      </c>
      <c r="S263" s="314" t="s">
        <v>1933</v>
      </c>
    </row>
    <row r="264" spans="2:19" x14ac:dyDescent="0.3">
      <c r="B264" s="305" t="str">
        <f t="shared" si="11"/>
        <v>Vyplněním kontaktních údajů vyjadřujete současně souhlas, že jste se seznámil s informacemi uvedenými níže!</v>
      </c>
      <c r="C264" s="137">
        <v>136</v>
      </c>
      <c r="O264" s="17" t="s">
        <v>855</v>
      </c>
      <c r="P264" s="137" t="s">
        <v>901</v>
      </c>
      <c r="Q264" s="137" t="s">
        <v>902</v>
      </c>
      <c r="R264" s="137" t="s">
        <v>903</v>
      </c>
      <c r="S264" s="314" t="s">
        <v>1933</v>
      </c>
    </row>
    <row r="265" spans="2:19" x14ac:dyDescent="0.3">
      <c r="B265" s="305" t="str">
        <f t="shared" si="11"/>
        <v>Běžné rámečky</v>
      </c>
      <c r="C265" s="137">
        <v>137</v>
      </c>
      <c r="O265" s="17" t="s">
        <v>824</v>
      </c>
      <c r="P265" s="137" t="s">
        <v>904</v>
      </c>
      <c r="Q265" s="137" t="s">
        <v>905</v>
      </c>
      <c r="R265" s="137" t="s">
        <v>906</v>
      </c>
      <c r="S265" s="314" t="s">
        <v>1934</v>
      </c>
    </row>
    <row r="266" spans="2:19" x14ac:dyDescent="0.3">
      <c r="B266" s="305" t="str">
        <f t="shared" si="11"/>
        <v>Posuvné rámečky</v>
      </c>
      <c r="C266" s="137">
        <v>138</v>
      </c>
      <c r="O266" s="17" t="s">
        <v>20</v>
      </c>
      <c r="P266" s="137" t="s">
        <v>644</v>
      </c>
      <c r="Q266" s="137" t="s">
        <v>907</v>
      </c>
      <c r="R266" s="137" t="s">
        <v>908</v>
      </c>
      <c r="S266" s="314" t="s">
        <v>1910</v>
      </c>
    </row>
    <row r="267" spans="2:19" x14ac:dyDescent="0.3">
      <c r="B267" s="305" t="str">
        <f t="shared" si="11"/>
        <v>Nákresy profilů a spoj. kování</v>
      </c>
      <c r="C267" s="137">
        <v>139</v>
      </c>
      <c r="O267" s="17" t="s">
        <v>825</v>
      </c>
      <c r="P267" s="137" t="s">
        <v>909</v>
      </c>
      <c r="Q267" s="137" t="s">
        <v>910</v>
      </c>
      <c r="R267" s="137" t="s">
        <v>911</v>
      </c>
      <c r="S267" s="314" t="s">
        <v>1935</v>
      </c>
    </row>
    <row r="268" spans="2:19" x14ac:dyDescent="0.3">
      <c r="B268" s="305" t="str">
        <f t="shared" si="11"/>
        <v>Maximální doporučený rozměr rámečku je 2000 x 600 mm (v případě rámečků s nalepeným sklem 1800 x 600 mm)</v>
      </c>
      <c r="C268" s="137">
        <v>140</v>
      </c>
      <c r="O268" s="17" t="s">
        <v>828</v>
      </c>
      <c r="P268" s="137" t="s">
        <v>912</v>
      </c>
      <c r="Q268" s="137" t="s">
        <v>1743</v>
      </c>
      <c r="R268" s="137" t="s">
        <v>913</v>
      </c>
      <c r="S268" s="314" t="s">
        <v>1936</v>
      </c>
    </row>
    <row r="269" spans="2:19" x14ac:dyDescent="0.3">
      <c r="B269" s="305" t="str">
        <f t="shared" si="11"/>
        <v xml:space="preserve">Na požadavek zákazníka, je možné dodat rámečky s maximální délkou profilu 3m. Maximální rozměr skla je v tomto případě 2500 x 1300 mm. </v>
      </c>
      <c r="C269" s="137">
        <v>141</v>
      </c>
      <c r="O269" s="17" t="s">
        <v>970</v>
      </c>
      <c r="P269" s="137" t="s">
        <v>914</v>
      </c>
      <c r="Q269" s="137" t="s">
        <v>915</v>
      </c>
      <c r="R269" s="137" t="s">
        <v>916</v>
      </c>
      <c r="S269" s="314" t="s">
        <v>1937</v>
      </c>
    </row>
    <row r="270" spans="2:19" x14ac:dyDescent="0.3">
      <c r="B270" s="305" t="str">
        <f t="shared" si="11"/>
        <v>Všechny skla Lacobel a Matelac je možné podlepit bezpečnostní fólií (v případě potřeby uveďte do poznámky)</v>
      </c>
      <c r="C270" s="137">
        <v>142</v>
      </c>
      <c r="O270" s="17" t="s">
        <v>829</v>
      </c>
      <c r="P270" s="137" t="s">
        <v>917</v>
      </c>
      <c r="Q270" s="137" t="s">
        <v>1744</v>
      </c>
      <c r="R270" s="137" t="s">
        <v>918</v>
      </c>
      <c r="S270" s="314" t="s">
        <v>1938</v>
      </c>
    </row>
    <row r="271" spans="2:19" x14ac:dyDescent="0.3">
      <c r="B271" s="305" t="str">
        <f t="shared" si="11"/>
        <v xml:space="preserve">Vyplněnou objednávku zašlete na adresu </v>
      </c>
      <c r="C271" s="137">
        <v>143</v>
      </c>
      <c r="O271" s="17" t="s">
        <v>830</v>
      </c>
      <c r="P271" s="137" t="s">
        <v>919</v>
      </c>
      <c r="Q271" s="137" t="s">
        <v>920</v>
      </c>
      <c r="R271" s="137" t="s">
        <v>921</v>
      </c>
      <c r="S271" s="314" t="s">
        <v>1939</v>
      </c>
    </row>
    <row r="272" spans="2:19" x14ac:dyDescent="0.3">
      <c r="B272" s="305" t="str">
        <f t="shared" si="11"/>
        <v>objednavky@demos-trade.com</v>
      </c>
      <c r="C272" s="137">
        <v>144</v>
      </c>
      <c r="O272" s="171" t="s">
        <v>833</v>
      </c>
      <c r="P272" s="170" t="s">
        <v>833</v>
      </c>
      <c r="Q272" s="170" t="s">
        <v>831</v>
      </c>
      <c r="R272" s="170" t="s">
        <v>832</v>
      </c>
      <c r="S272" s="314" t="s">
        <v>1940</v>
      </c>
    </row>
    <row r="273" spans="2:19" x14ac:dyDescent="0.3">
      <c r="B273" s="305" t="str">
        <f t="shared" si="11"/>
        <v>Nákresy profilů</v>
      </c>
      <c r="C273" s="137">
        <v>145</v>
      </c>
      <c r="O273" s="17" t="s">
        <v>834</v>
      </c>
      <c r="P273" s="137" t="s">
        <v>922</v>
      </c>
      <c r="Q273" s="137" t="s">
        <v>923</v>
      </c>
      <c r="R273" s="137" t="s">
        <v>924</v>
      </c>
      <c r="S273" s="314" t="s">
        <v>1941</v>
      </c>
    </row>
    <row r="274" spans="2:19" x14ac:dyDescent="0.3">
      <c r="B274" s="305" t="str">
        <f t="shared" si="11"/>
        <v>Sada kování na úzký rámeček H27AL (88630)</v>
      </c>
      <c r="C274" s="137">
        <v>146</v>
      </c>
      <c r="O274" s="17" t="s">
        <v>836</v>
      </c>
      <c r="P274" s="137" t="s">
        <v>925</v>
      </c>
      <c r="Q274" s="137" t="s">
        <v>926</v>
      </c>
      <c r="R274" s="137" t="s">
        <v>927</v>
      </c>
      <c r="S274" s="314" t="s">
        <v>1942</v>
      </c>
    </row>
    <row r="275" spans="2:19" x14ac:dyDescent="0.3">
      <c r="B275" s="305" t="str">
        <f t="shared" si="11"/>
        <v>Sada kování na široký rámeček H37AL (88631)</v>
      </c>
      <c r="C275" s="137">
        <v>147</v>
      </c>
      <c r="O275" s="17" t="s">
        <v>837</v>
      </c>
      <c r="P275" s="137" t="s">
        <v>928</v>
      </c>
      <c r="Q275" s="137" t="s">
        <v>929</v>
      </c>
      <c r="R275" s="137" t="s">
        <v>930</v>
      </c>
      <c r="S275" s="314" t="s">
        <v>1943</v>
      </c>
    </row>
    <row r="276" spans="2:19" x14ac:dyDescent="0.3">
      <c r="B276" s="305" t="str">
        <f t="shared" si="11"/>
        <v>Výška rámečku je standardně o 6 mm menší, než uvedená vnitřní výška skříňky.</v>
      </c>
      <c r="C276" s="137">
        <v>148</v>
      </c>
      <c r="O276" s="17" t="s">
        <v>835</v>
      </c>
      <c r="P276" s="137" t="s">
        <v>931</v>
      </c>
      <c r="Q276" s="137" t="s">
        <v>1745</v>
      </c>
      <c r="R276" s="137" t="s">
        <v>932</v>
      </c>
      <c r="S276" s="314" t="s">
        <v>1944</v>
      </c>
    </row>
    <row r="277" spans="2:19" x14ac:dyDescent="0.3">
      <c r="B277" s="305" t="str">
        <f t="shared" si="11"/>
        <v>Standardně jsou rámečky připraveny pro posuvné kování H27AL (nosnost 25 kg na rámeček) a H37AL (nosnost 35 kg na rámeček)</v>
      </c>
      <c r="C277" s="137">
        <v>149</v>
      </c>
      <c r="O277" s="17" t="s">
        <v>838</v>
      </c>
      <c r="P277" s="137" t="s">
        <v>933</v>
      </c>
      <c r="Q277" s="137" t="s">
        <v>1746</v>
      </c>
      <c r="R277" s="137" t="s">
        <v>934</v>
      </c>
      <c r="S277" s="314" t="s">
        <v>1945</v>
      </c>
    </row>
    <row r="278" spans="2:19" x14ac:dyDescent="0.3">
      <c r="B278" s="305" t="str">
        <f t="shared" si="11"/>
        <v>Horní vedení délka 2 m (87313)</v>
      </c>
      <c r="C278" s="137">
        <v>150</v>
      </c>
      <c r="O278" s="17" t="s">
        <v>839</v>
      </c>
      <c r="P278" s="137" t="s">
        <v>935</v>
      </c>
      <c r="Q278" s="137" t="s">
        <v>936</v>
      </c>
      <c r="R278" s="137" t="s">
        <v>937</v>
      </c>
      <c r="S278" s="314" t="s">
        <v>1946</v>
      </c>
    </row>
    <row r="279" spans="2:19" x14ac:dyDescent="0.3">
      <c r="B279" s="305" t="str">
        <f t="shared" si="11"/>
        <v>Spodní vedení délka 2 m (87315)</v>
      </c>
      <c r="C279" s="137">
        <v>151</v>
      </c>
      <c r="O279" s="17" t="s">
        <v>841</v>
      </c>
      <c r="P279" s="137" t="s">
        <v>938</v>
      </c>
      <c r="Q279" s="137" t="s">
        <v>939</v>
      </c>
      <c r="R279" s="137" t="s">
        <v>940</v>
      </c>
      <c r="S279" s="314" t="s">
        <v>1947</v>
      </c>
    </row>
    <row r="280" spans="2:19" x14ac:dyDescent="0.3">
      <c r="B280" s="305" t="str">
        <f t="shared" si="11"/>
        <v>Horní vedení délka 3 m (87312)</v>
      </c>
      <c r="C280" s="137">
        <v>152</v>
      </c>
      <c r="O280" s="17" t="s">
        <v>840</v>
      </c>
      <c r="P280" s="137" t="s">
        <v>941</v>
      </c>
      <c r="Q280" s="137" t="s">
        <v>942</v>
      </c>
      <c r="R280" s="137" t="s">
        <v>943</v>
      </c>
      <c r="S280" s="314" t="s">
        <v>1948</v>
      </c>
    </row>
    <row r="281" spans="2:19" x14ac:dyDescent="0.3">
      <c r="B281" s="305" t="str">
        <f t="shared" si="11"/>
        <v>Spodní vedení délka 3 m (87314)</v>
      </c>
      <c r="C281" s="137">
        <v>153</v>
      </c>
      <c r="O281" s="17" t="s">
        <v>842</v>
      </c>
      <c r="P281" s="137" t="s">
        <v>944</v>
      </c>
      <c r="Q281" s="137" t="s">
        <v>945</v>
      </c>
      <c r="R281" s="137" t="s">
        <v>946</v>
      </c>
      <c r="S281" s="314" t="s">
        <v>1949</v>
      </c>
    </row>
    <row r="282" spans="2:19" x14ac:dyDescent="0.3">
      <c r="B282" s="305" t="str">
        <f t="shared" si="11"/>
        <v>Jiný požadavek (ks)</v>
      </c>
      <c r="C282" s="137">
        <v>154</v>
      </c>
      <c r="O282" s="17" t="s">
        <v>850</v>
      </c>
      <c r="P282" s="137" t="s">
        <v>947</v>
      </c>
      <c r="Q282" s="137" t="s">
        <v>948</v>
      </c>
      <c r="R282" s="137" t="s">
        <v>949</v>
      </c>
      <c r="S282" s="314" t="s">
        <v>1950</v>
      </c>
    </row>
    <row r="283" spans="2:19" x14ac:dyDescent="0.3">
      <c r="B283" s="305" t="str">
        <f t="shared" si="11"/>
        <v>Množství (ks)</v>
      </c>
      <c r="C283" s="137">
        <v>155</v>
      </c>
      <c r="O283" s="17" t="s">
        <v>854</v>
      </c>
      <c r="P283" s="137" t="s">
        <v>950</v>
      </c>
      <c r="Q283" s="137" t="s">
        <v>951</v>
      </c>
      <c r="R283" s="137" t="s">
        <v>952</v>
      </c>
      <c r="S283" s="314" t="s">
        <v>1951</v>
      </c>
    </row>
    <row r="284" spans="2:19" x14ac:dyDescent="0.3">
      <c r="B284" s="305" t="str">
        <f t="shared" si="11"/>
        <v>K nadrozměrným rámečkům (nad rozměr 1200 x 800 mm), může být účtován příplatek za speciální balení a dopravu (více informací na zákaznickém centru).</v>
      </c>
      <c r="C284" s="137">
        <v>156</v>
      </c>
      <c r="O284" s="17" t="s">
        <v>971</v>
      </c>
      <c r="P284" s="137" t="s">
        <v>953</v>
      </c>
      <c r="Q284" s="137" t="s">
        <v>954</v>
      </c>
      <c r="R284" s="137" t="s">
        <v>955</v>
      </c>
      <c r="S284" s="314" t="s">
        <v>1952</v>
      </c>
    </row>
    <row r="285" spans="2:19" x14ac:dyDescent="0.3">
      <c r="B285" s="305" t="str">
        <f t="shared" si="11"/>
        <v xml:space="preserve">Vhodné rozměry rámečku pro konkrétní typ kování je nutné ověřit před zadáním do objednávky (Aventplan, katalog, …), formulář nemá nastaveny omezení. </v>
      </c>
      <c r="C285" s="137">
        <v>157</v>
      </c>
      <c r="O285" s="17" t="s">
        <v>856</v>
      </c>
      <c r="P285" s="137" t="s">
        <v>956</v>
      </c>
      <c r="Q285" s="137" t="s">
        <v>1747</v>
      </c>
      <c r="R285" s="137" t="s">
        <v>957</v>
      </c>
      <c r="S285" s="314" t="s">
        <v>1953</v>
      </c>
    </row>
    <row r="286" spans="2:19" x14ac:dyDescent="0.3">
      <c r="B286" s="305" t="str">
        <f t="shared" si="11"/>
        <v>Vzorkovník skel je možné objednat pod kódy Lacebel VZK003P a Matelac VZK004P.</v>
      </c>
      <c r="C286" s="137">
        <v>158</v>
      </c>
      <c r="O286" s="17" t="s">
        <v>858</v>
      </c>
      <c r="P286" s="137" t="s">
        <v>959</v>
      </c>
      <c r="Q286" s="137" t="s">
        <v>958</v>
      </c>
      <c r="R286" s="137" t="s">
        <v>960</v>
      </c>
      <c r="S286" s="314" t="s">
        <v>1954</v>
      </c>
    </row>
    <row r="287" spans="2:19" x14ac:dyDescent="0.3">
      <c r="B287" s="305" t="str">
        <f t="shared" si="11"/>
        <v xml:space="preserve">Cena za posuvné rámečky je shodná jako cena za běžné rámečky. </v>
      </c>
      <c r="C287" s="137">
        <v>159</v>
      </c>
      <c r="O287" s="17" t="s">
        <v>968</v>
      </c>
      <c r="P287" s="137" t="s">
        <v>973</v>
      </c>
      <c r="Q287" s="137" t="s">
        <v>972</v>
      </c>
      <c r="R287" s="137" t="s">
        <v>977</v>
      </c>
      <c r="S287" s="314" t="s">
        <v>1955</v>
      </c>
    </row>
    <row r="288" spans="2:19" x14ac:dyDescent="0.3">
      <c r="B288" s="305" t="str">
        <f t="shared" si="11"/>
        <v>Pokud je úchytka připevněna skrz sklo, je nutné vždy použít distanční podložku (např. 144516, 191970, C0315)</v>
      </c>
      <c r="C288" s="137">
        <v>160</v>
      </c>
      <c r="O288" s="17" t="s">
        <v>1748</v>
      </c>
      <c r="P288" s="137" t="s">
        <v>1749</v>
      </c>
      <c r="Q288" s="137" t="s">
        <v>1750</v>
      </c>
      <c r="R288" s="137" t="s">
        <v>1751</v>
      </c>
      <c r="S288" s="314" t="s">
        <v>1956</v>
      </c>
    </row>
    <row r="289" spans="1:19" x14ac:dyDescent="0.3">
      <c r="B289" s="305" t="str">
        <f t="shared" si="11"/>
        <v>Uvedené nákresy dvířek jsou znázorněny při pohledu z přední strany.</v>
      </c>
      <c r="C289" s="137">
        <v>161</v>
      </c>
      <c r="O289" s="17" t="s">
        <v>1016</v>
      </c>
      <c r="P289" s="137" t="s">
        <v>1381</v>
      </c>
      <c r="Q289" s="137" t="s">
        <v>1752</v>
      </c>
      <c r="R289" s="137" t="s">
        <v>1732</v>
      </c>
      <c r="S289" s="314" t="s">
        <v>1957</v>
      </c>
    </row>
    <row r="290" spans="1:19" x14ac:dyDescent="0.3">
      <c r="B290" s="305" t="str">
        <f t="shared" si="11"/>
        <v>Nadrozměrný rámeček, může být účtováno vyšší dopravné</v>
      </c>
      <c r="C290" s="137">
        <v>162</v>
      </c>
      <c r="O290" s="17" t="s">
        <v>1017</v>
      </c>
      <c r="P290" s="137" t="s">
        <v>1018</v>
      </c>
      <c r="Q290" s="137" t="s">
        <v>1019</v>
      </c>
      <c r="R290" s="137" t="s">
        <v>1020</v>
      </c>
      <c r="S290" s="314" t="s">
        <v>1958</v>
      </c>
    </row>
    <row r="291" spans="1:19" x14ac:dyDescent="0.3">
      <c r="B291" s="305" t="str">
        <f t="shared" si="11"/>
        <v>Umístění ramene</v>
      </c>
      <c r="C291" s="137">
        <v>163</v>
      </c>
      <c r="O291" s="17" t="s">
        <v>1062</v>
      </c>
      <c r="P291" s="137" t="s">
        <v>1382</v>
      </c>
      <c r="Q291" s="137" t="s">
        <v>1380</v>
      </c>
      <c r="R291" s="137" t="s">
        <v>1383</v>
      </c>
      <c r="S291" s="314" t="s">
        <v>1959</v>
      </c>
    </row>
    <row r="292" spans="1:19" x14ac:dyDescent="0.3">
      <c r="B292" s="305" t="str">
        <f t="shared" si="11"/>
        <v>Maximální možný rozměr rámečku je 2500x1300mm</v>
      </c>
      <c r="C292" s="137">
        <v>164</v>
      </c>
      <c r="O292" s="17" t="s">
        <v>1219</v>
      </c>
      <c r="P292" s="137" t="s">
        <v>1227</v>
      </c>
      <c r="Q292" s="137" t="s">
        <v>1228</v>
      </c>
      <c r="R292" s="137" t="s">
        <v>1229</v>
      </c>
      <c r="S292" s="314" t="s">
        <v>1960</v>
      </c>
    </row>
    <row r="293" spans="1:19" x14ac:dyDescent="0.3">
      <c r="B293" s="305" t="str">
        <f t="shared" si="11"/>
        <v>Minimální vzdálenost závěsu od kraje rámečku je 70mm</v>
      </c>
      <c r="C293" s="137">
        <v>165</v>
      </c>
      <c r="O293" s="17" t="s">
        <v>1220</v>
      </c>
      <c r="P293" s="137" t="s">
        <v>1230</v>
      </c>
      <c r="Q293" s="137" t="s">
        <v>1231</v>
      </c>
      <c r="R293" s="137" t="s">
        <v>1232</v>
      </c>
      <c r="S293" s="314" t="s">
        <v>1961</v>
      </c>
    </row>
    <row r="294" spans="1:19" x14ac:dyDescent="0.3">
      <c r="B294" s="305" t="str">
        <f t="shared" si="11"/>
        <v>Minimální vzdálenost závěsu od kraje rámečku je 80mm</v>
      </c>
      <c r="C294" s="137">
        <v>166</v>
      </c>
      <c r="O294" s="17" t="s">
        <v>1221</v>
      </c>
      <c r="P294" s="137" t="s">
        <v>1233</v>
      </c>
      <c r="Q294" s="137" t="s">
        <v>1234</v>
      </c>
      <c r="R294" s="137" t="s">
        <v>1235</v>
      </c>
      <c r="S294" s="314" t="s">
        <v>1962</v>
      </c>
    </row>
    <row r="295" spans="1:19" x14ac:dyDescent="0.3">
      <c r="A295" s="137">
        <v>123517</v>
      </c>
      <c r="B295" s="305" t="str">
        <f t="shared" si="11"/>
        <v>Naložený clip</v>
      </c>
      <c r="C295" s="137">
        <v>167</v>
      </c>
      <c r="O295" s="17" t="s">
        <v>121</v>
      </c>
      <c r="P295" s="137" t="s">
        <v>121</v>
      </c>
      <c r="Q295" s="137" t="s">
        <v>488</v>
      </c>
      <c r="R295" s="137" t="s">
        <v>564</v>
      </c>
      <c r="S295" s="314" t="s">
        <v>1841</v>
      </c>
    </row>
    <row r="296" spans="1:19" x14ac:dyDescent="0.3">
      <c r="A296" s="137">
        <v>123518</v>
      </c>
      <c r="B296" s="305" t="str">
        <f t="shared" si="11"/>
        <v>Polonaložený clip</v>
      </c>
      <c r="C296" s="137">
        <v>168</v>
      </c>
      <c r="O296" s="17" t="s">
        <v>122</v>
      </c>
      <c r="P296" s="137" t="s">
        <v>122</v>
      </c>
      <c r="Q296" s="137" t="s">
        <v>489</v>
      </c>
      <c r="R296" s="137" t="s">
        <v>565</v>
      </c>
      <c r="S296" s="314" t="s">
        <v>1842</v>
      </c>
    </row>
    <row r="297" spans="1:19" x14ac:dyDescent="0.3">
      <c r="A297" s="137">
        <v>123519</v>
      </c>
      <c r="B297" s="305" t="str">
        <f t="shared" si="11"/>
        <v>Vložený clip</v>
      </c>
      <c r="C297" s="137">
        <v>169</v>
      </c>
      <c r="O297" s="17" t="s">
        <v>123</v>
      </c>
      <c r="P297" s="137" t="s">
        <v>123</v>
      </c>
      <c r="Q297" s="137" t="s">
        <v>490</v>
      </c>
      <c r="R297" s="137" t="s">
        <v>566</v>
      </c>
      <c r="S297" s="314" t="s">
        <v>1843</v>
      </c>
    </row>
    <row r="298" spans="1:19" x14ac:dyDescent="0.3">
      <c r="A298" s="137">
        <v>92991</v>
      </c>
      <c r="B298" s="305" t="str">
        <f t="shared" si="11"/>
        <v>Úhel 45°</v>
      </c>
      <c r="C298" s="137">
        <v>170</v>
      </c>
      <c r="O298" s="17" t="s">
        <v>124</v>
      </c>
      <c r="P298" s="137" t="s">
        <v>429</v>
      </c>
      <c r="Q298" s="137" t="s">
        <v>491</v>
      </c>
      <c r="R298" s="137" t="s">
        <v>567</v>
      </c>
      <c r="S298" s="314" t="s">
        <v>1844</v>
      </c>
    </row>
    <row r="299" spans="1:19" x14ac:dyDescent="0.3">
      <c r="A299" s="137">
        <v>92950</v>
      </c>
      <c r="B299" s="305" t="str">
        <f t="shared" si="11"/>
        <v>Naložený</v>
      </c>
      <c r="C299" s="137">
        <v>171</v>
      </c>
      <c r="O299" s="17" t="s">
        <v>125</v>
      </c>
      <c r="P299" s="137" t="s">
        <v>430</v>
      </c>
      <c r="Q299" s="137" t="s">
        <v>492</v>
      </c>
      <c r="R299" s="137" t="s">
        <v>568</v>
      </c>
      <c r="S299" s="314" t="s">
        <v>1845</v>
      </c>
    </row>
    <row r="300" spans="1:19" x14ac:dyDescent="0.3">
      <c r="A300" s="137">
        <v>92951</v>
      </c>
      <c r="B300" s="305" t="str">
        <f t="shared" si="11"/>
        <v>Polonaložený</v>
      </c>
      <c r="C300" s="137">
        <v>172</v>
      </c>
      <c r="O300" s="17" t="s">
        <v>126</v>
      </c>
      <c r="P300" s="137" t="s">
        <v>431</v>
      </c>
      <c r="Q300" s="137" t="s">
        <v>493</v>
      </c>
      <c r="R300" s="137" t="s">
        <v>569</v>
      </c>
      <c r="S300" s="314" t="s">
        <v>1846</v>
      </c>
    </row>
    <row r="301" spans="1:19" x14ac:dyDescent="0.3">
      <c r="A301" s="137">
        <v>92952</v>
      </c>
      <c r="B301" s="305" t="str">
        <f t="shared" si="11"/>
        <v>Vložený</v>
      </c>
      <c r="C301" s="137">
        <v>173</v>
      </c>
      <c r="O301" s="17" t="s">
        <v>127</v>
      </c>
      <c r="P301" s="137" t="s">
        <v>432</v>
      </c>
      <c r="Q301" s="137" t="s">
        <v>494</v>
      </c>
      <c r="R301" s="137" t="s">
        <v>570</v>
      </c>
      <c r="S301" s="314" t="s">
        <v>1847</v>
      </c>
    </row>
    <row r="302" spans="1:19" x14ac:dyDescent="0.3">
      <c r="A302" s="137">
        <v>92957</v>
      </c>
      <c r="B302" s="305" t="str">
        <f t="shared" si="11"/>
        <v>Úhel 45°</v>
      </c>
      <c r="C302" s="137">
        <v>174</v>
      </c>
      <c r="O302" s="17" t="s">
        <v>124</v>
      </c>
      <c r="P302" s="137" t="s">
        <v>429</v>
      </c>
      <c r="Q302" s="137" t="s">
        <v>491</v>
      </c>
      <c r="R302" s="137" t="s">
        <v>567</v>
      </c>
      <c r="S302" s="314" t="s">
        <v>1844</v>
      </c>
    </row>
    <row r="303" spans="1:19" x14ac:dyDescent="0.3">
      <c r="A303" s="137">
        <v>93000</v>
      </c>
      <c r="B303" s="305" t="str">
        <f t="shared" si="11"/>
        <v>Naložený s opačnou pružinou</v>
      </c>
      <c r="C303" s="137">
        <v>175</v>
      </c>
      <c r="O303" s="17" t="s">
        <v>128</v>
      </c>
      <c r="P303" s="137" t="s">
        <v>128</v>
      </c>
      <c r="Q303" s="137" t="s">
        <v>495</v>
      </c>
      <c r="R303" s="137" t="s">
        <v>571</v>
      </c>
      <c r="S303" s="314" t="s">
        <v>1848</v>
      </c>
    </row>
    <row r="304" spans="1:19" x14ac:dyDescent="0.3">
      <c r="A304" s="137">
        <v>93903</v>
      </c>
      <c r="B304" s="305" t="str">
        <f t="shared" si="11"/>
        <v>Vložený s opačnou pružinou</v>
      </c>
      <c r="C304" s="137">
        <v>176</v>
      </c>
      <c r="O304" s="17" t="s">
        <v>129</v>
      </c>
      <c r="P304" s="137" t="s">
        <v>129</v>
      </c>
      <c r="Q304" s="137" t="s">
        <v>496</v>
      </c>
      <c r="R304" s="137" t="s">
        <v>572</v>
      </c>
      <c r="S304" s="314" t="s">
        <v>1849</v>
      </c>
    </row>
    <row r="305" spans="1:19" x14ac:dyDescent="0.3">
      <c r="A305" s="137">
        <v>92975</v>
      </c>
      <c r="B305" s="305" t="str">
        <f t="shared" si="11"/>
        <v>Clip na vrut H2</v>
      </c>
      <c r="C305" s="137">
        <v>177</v>
      </c>
      <c r="O305" s="17" t="s">
        <v>212</v>
      </c>
      <c r="P305" s="137" t="s">
        <v>433</v>
      </c>
      <c r="Q305" s="137" t="s">
        <v>497</v>
      </c>
      <c r="R305" s="137" t="s">
        <v>573</v>
      </c>
      <c r="S305" s="314" t="s">
        <v>1850</v>
      </c>
    </row>
    <row r="306" spans="1:19" x14ac:dyDescent="0.3">
      <c r="A306" s="137">
        <v>92961</v>
      </c>
      <c r="B306" s="305" t="str">
        <f t="shared" si="11"/>
        <v>Clip na vrut H4</v>
      </c>
      <c r="C306" s="137">
        <v>178</v>
      </c>
      <c r="O306" s="17" t="s">
        <v>213</v>
      </c>
      <c r="P306" s="137" t="s">
        <v>434</v>
      </c>
      <c r="Q306" s="137" t="s">
        <v>498</v>
      </c>
      <c r="R306" s="137" t="s">
        <v>574</v>
      </c>
      <c r="S306" s="314" t="s">
        <v>1851</v>
      </c>
    </row>
    <row r="307" spans="1:19" x14ac:dyDescent="0.3">
      <c r="A307" s="137">
        <v>92962</v>
      </c>
      <c r="B307" s="305" t="str">
        <f t="shared" si="11"/>
        <v>Clip na eurošroub H2</v>
      </c>
      <c r="C307" s="137">
        <v>179</v>
      </c>
      <c r="O307" s="17" t="s">
        <v>214</v>
      </c>
      <c r="P307" s="137" t="s">
        <v>435</v>
      </c>
      <c r="Q307" s="137" t="s">
        <v>499</v>
      </c>
      <c r="R307" s="137" t="s">
        <v>575</v>
      </c>
      <c r="S307" s="314" t="s">
        <v>1852</v>
      </c>
    </row>
    <row r="308" spans="1:19" x14ac:dyDescent="0.3">
      <c r="A308" s="137">
        <v>92969</v>
      </c>
      <c r="B308" s="305" t="str">
        <f t="shared" si="11"/>
        <v>Clip na eurošroub H4</v>
      </c>
      <c r="C308" s="137">
        <v>180</v>
      </c>
      <c r="O308" s="17" t="s">
        <v>215</v>
      </c>
      <c r="P308" s="137" t="s">
        <v>436</v>
      </c>
      <c r="Q308" s="137" t="s">
        <v>500</v>
      </c>
      <c r="R308" s="137" t="s">
        <v>576</v>
      </c>
      <c r="S308" s="314" t="s">
        <v>1853</v>
      </c>
    </row>
    <row r="309" spans="1:19" x14ac:dyDescent="0.3">
      <c r="A309" s="137">
        <v>92960</v>
      </c>
      <c r="B309" s="305" t="str">
        <f t="shared" si="11"/>
        <v>Slide on na vrut H2</v>
      </c>
      <c r="C309" s="137">
        <v>181</v>
      </c>
      <c r="O309" s="17" t="s">
        <v>216</v>
      </c>
      <c r="P309" s="137" t="s">
        <v>437</v>
      </c>
      <c r="Q309" s="137" t="s">
        <v>501</v>
      </c>
      <c r="R309" s="137" t="s">
        <v>577</v>
      </c>
      <c r="S309" s="314" t="s">
        <v>1854</v>
      </c>
    </row>
    <row r="310" spans="1:19" x14ac:dyDescent="0.3">
      <c r="A310" s="137">
        <v>92961</v>
      </c>
      <c r="B310" s="305" t="str">
        <f t="shared" si="11"/>
        <v>Slide on na vrut H4</v>
      </c>
      <c r="C310" s="137">
        <v>182</v>
      </c>
      <c r="O310" s="17" t="s">
        <v>217</v>
      </c>
      <c r="P310" s="137" t="s">
        <v>438</v>
      </c>
      <c r="Q310" s="137" t="s">
        <v>502</v>
      </c>
      <c r="R310" s="137" t="s">
        <v>578</v>
      </c>
      <c r="S310" s="314" t="s">
        <v>1855</v>
      </c>
    </row>
    <row r="311" spans="1:19" x14ac:dyDescent="0.3">
      <c r="A311" s="137">
        <v>92962</v>
      </c>
      <c r="B311" s="305" t="str">
        <f t="shared" si="11"/>
        <v>Slide on na eurošroub H2</v>
      </c>
      <c r="C311" s="137">
        <v>183</v>
      </c>
      <c r="O311" s="17" t="s">
        <v>218</v>
      </c>
      <c r="P311" s="137" t="s">
        <v>439</v>
      </c>
      <c r="Q311" s="137" t="s">
        <v>503</v>
      </c>
      <c r="R311" s="137" t="s">
        <v>579</v>
      </c>
      <c r="S311" s="314" t="s">
        <v>1856</v>
      </c>
    </row>
    <row r="312" spans="1:19" x14ac:dyDescent="0.3">
      <c r="A312" s="137">
        <v>92963</v>
      </c>
      <c r="B312" s="305" t="str">
        <f t="shared" si="11"/>
        <v>Slide on na eurošroub H4</v>
      </c>
      <c r="C312" s="137">
        <v>184</v>
      </c>
      <c r="O312" s="17" t="s">
        <v>219</v>
      </c>
      <c r="P312" s="137" t="s">
        <v>440</v>
      </c>
      <c r="Q312" s="137" t="s">
        <v>504</v>
      </c>
      <c r="R312" s="137" t="s">
        <v>580</v>
      </c>
      <c r="S312" s="314" t="s">
        <v>1857</v>
      </c>
    </row>
    <row r="313" spans="1:19" x14ac:dyDescent="0.3">
      <c r="A313" s="137">
        <v>92584</v>
      </c>
      <c r="B313" s="305" t="str">
        <f t="shared" si="11"/>
        <v>Naložený clip</v>
      </c>
      <c r="C313" s="137">
        <v>185</v>
      </c>
      <c r="O313" s="17" t="s">
        <v>121</v>
      </c>
      <c r="P313" s="137" t="s">
        <v>121</v>
      </c>
      <c r="Q313" s="137" t="s">
        <v>488</v>
      </c>
      <c r="R313" s="137" t="s">
        <v>564</v>
      </c>
      <c r="S313" s="314" t="s">
        <v>1841</v>
      </c>
    </row>
    <row r="314" spans="1:19" x14ac:dyDescent="0.3">
      <c r="A314" s="137">
        <v>92585</v>
      </c>
      <c r="B314" s="305" t="str">
        <f t="shared" si="11"/>
        <v>Polonaložený clip</v>
      </c>
      <c r="C314" s="137">
        <v>186</v>
      </c>
      <c r="O314" s="17" t="s">
        <v>122</v>
      </c>
      <c r="P314" s="137" t="s">
        <v>122</v>
      </c>
      <c r="Q314" s="137" t="s">
        <v>489</v>
      </c>
      <c r="R314" s="137" t="s">
        <v>565</v>
      </c>
      <c r="S314" s="314" t="s">
        <v>1842</v>
      </c>
    </row>
    <row r="315" spans="1:19" x14ac:dyDescent="0.3">
      <c r="A315" s="137">
        <v>92586</v>
      </c>
      <c r="B315" s="305" t="str">
        <f t="shared" si="11"/>
        <v>Vložený clip</v>
      </c>
      <c r="C315" s="137">
        <v>187</v>
      </c>
      <c r="O315" s="17" t="s">
        <v>123</v>
      </c>
      <c r="P315" s="137" t="s">
        <v>123</v>
      </c>
      <c r="Q315" s="137" t="s">
        <v>490</v>
      </c>
      <c r="R315" s="137" t="s">
        <v>566</v>
      </c>
      <c r="S315" s="314" t="s">
        <v>1843</v>
      </c>
    </row>
    <row r="316" spans="1:19" x14ac:dyDescent="0.3">
      <c r="A316" s="137">
        <v>92588</v>
      </c>
      <c r="B316" s="305" t="str">
        <f t="shared" si="11"/>
        <v>45° clip</v>
      </c>
      <c r="C316" s="137">
        <v>188</v>
      </c>
      <c r="O316" s="17" t="s">
        <v>10</v>
      </c>
      <c r="P316" s="137" t="s">
        <v>447</v>
      </c>
      <c r="Q316" s="137" t="s">
        <v>10</v>
      </c>
      <c r="R316" s="137" t="s">
        <v>10</v>
      </c>
      <c r="S316" s="314" t="s">
        <v>1868</v>
      </c>
    </row>
    <row r="317" spans="1:19" x14ac:dyDescent="0.3">
      <c r="A317" s="137">
        <v>92597</v>
      </c>
      <c r="B317" s="305" t="str">
        <f t="shared" si="11"/>
        <v xml:space="preserve">Strong Plus Clip na eurošroub H0 </v>
      </c>
      <c r="C317" s="137">
        <v>189</v>
      </c>
      <c r="O317" s="17" t="s">
        <v>1703</v>
      </c>
      <c r="P317" s="137" t="s">
        <v>1705</v>
      </c>
      <c r="Q317" s="137" t="s">
        <v>1707</v>
      </c>
      <c r="R317" s="137" t="s">
        <v>1709</v>
      </c>
      <c r="S317" s="314" t="s">
        <v>1963</v>
      </c>
    </row>
    <row r="318" spans="1:19" x14ac:dyDescent="0.3">
      <c r="A318" s="137">
        <v>92596</v>
      </c>
      <c r="B318" s="305" t="str">
        <f t="shared" si="11"/>
        <v>Strong Plus Clip na vrut H0</v>
      </c>
      <c r="C318" s="137">
        <v>190</v>
      </c>
      <c r="O318" s="17" t="s">
        <v>1704</v>
      </c>
      <c r="P318" s="137" t="s">
        <v>1706</v>
      </c>
      <c r="Q318" s="137" t="s">
        <v>1708</v>
      </c>
      <c r="R318" s="137" t="s">
        <v>1710</v>
      </c>
      <c r="S318" s="314" t="s">
        <v>1964</v>
      </c>
    </row>
    <row r="319" spans="1:19" x14ac:dyDescent="0.3">
      <c r="A319" s="137">
        <v>92599</v>
      </c>
      <c r="B319" s="305" t="str">
        <f t="shared" si="11"/>
        <v>Strong Plus Clip na eurošroub H2</v>
      </c>
      <c r="C319" s="137">
        <v>191</v>
      </c>
      <c r="O319" s="17" t="s">
        <v>1695</v>
      </c>
      <c r="P319" s="137" t="s">
        <v>1696</v>
      </c>
      <c r="Q319" s="137" t="s">
        <v>1697</v>
      </c>
      <c r="R319" s="137" t="s">
        <v>1698</v>
      </c>
      <c r="S319" s="314" t="s">
        <v>1965</v>
      </c>
    </row>
    <row r="320" spans="1:19" x14ac:dyDescent="0.3">
      <c r="A320" s="137">
        <v>92598</v>
      </c>
      <c r="B320" s="305" t="str">
        <f t="shared" si="11"/>
        <v>Strong Plus Clip na vrut H2</v>
      </c>
      <c r="C320" s="137">
        <v>192</v>
      </c>
      <c r="O320" s="17" t="s">
        <v>1700</v>
      </c>
      <c r="P320" s="137" t="s">
        <v>1699</v>
      </c>
      <c r="Q320" s="137" t="s">
        <v>1701</v>
      </c>
      <c r="R320" s="137" t="s">
        <v>1702</v>
      </c>
      <c r="S320" s="314" t="s">
        <v>1966</v>
      </c>
    </row>
    <row r="321" spans="1:19" x14ac:dyDescent="0.3">
      <c r="A321" s="137" t="s">
        <v>810</v>
      </c>
      <c r="B321" s="305" t="str">
        <f t="shared" ref="B321:B384" si="12">IF($D$1=1,O:O,IF($D$1=2,P:P,IF($D$1=3,Q:Q,IF($D$1=4,R:R,IF($D$1=5,S:S)))))</f>
        <v>Naložený clip</v>
      </c>
      <c r="C321" s="137">
        <v>193</v>
      </c>
      <c r="O321" s="17" t="s">
        <v>121</v>
      </c>
      <c r="P321" s="137" t="s">
        <v>121</v>
      </c>
      <c r="Q321" s="137" t="s">
        <v>488</v>
      </c>
      <c r="R321" s="137" t="s">
        <v>564</v>
      </c>
      <c r="S321" s="314" t="s">
        <v>1841</v>
      </c>
    </row>
    <row r="322" spans="1:19" x14ac:dyDescent="0.3">
      <c r="A322" s="137" t="s">
        <v>114</v>
      </c>
      <c r="B322" s="305" t="str">
        <f t="shared" si="12"/>
        <v>Naložený clip</v>
      </c>
      <c r="C322" s="137">
        <v>194</v>
      </c>
      <c r="O322" s="17" t="s">
        <v>121</v>
      </c>
      <c r="P322" s="137" t="s">
        <v>121</v>
      </c>
      <c r="Q322" s="137" t="s">
        <v>488</v>
      </c>
      <c r="R322" s="137" t="s">
        <v>564</v>
      </c>
      <c r="S322" s="314" t="s">
        <v>1841</v>
      </c>
    </row>
    <row r="323" spans="1:19" x14ac:dyDescent="0.3">
      <c r="A323" s="137" t="s">
        <v>115</v>
      </c>
      <c r="B323" s="305" t="str">
        <f t="shared" si="12"/>
        <v>Polonaložený clip</v>
      </c>
      <c r="C323" s="137">
        <v>195</v>
      </c>
      <c r="O323" s="17" t="s">
        <v>122</v>
      </c>
      <c r="P323" s="137" t="s">
        <v>122</v>
      </c>
      <c r="Q323" s="137" t="s">
        <v>489</v>
      </c>
      <c r="R323" s="137" t="s">
        <v>565</v>
      </c>
      <c r="S323" s="314" t="s">
        <v>1842</v>
      </c>
    </row>
    <row r="324" spans="1:19" x14ac:dyDescent="0.3">
      <c r="A324" s="137" t="s">
        <v>116</v>
      </c>
      <c r="B324" s="305" t="str">
        <f t="shared" si="12"/>
        <v>Vložený clip</v>
      </c>
      <c r="C324" s="137">
        <v>196</v>
      </c>
      <c r="O324" s="17" t="s">
        <v>123</v>
      </c>
      <c r="P324" s="137" t="s">
        <v>123</v>
      </c>
      <c r="Q324" s="137" t="s">
        <v>490</v>
      </c>
      <c r="R324" s="137" t="s">
        <v>566</v>
      </c>
      <c r="S324" s="314" t="s">
        <v>1843</v>
      </c>
    </row>
    <row r="325" spans="1:19" x14ac:dyDescent="0.3">
      <c r="A325" s="137" t="s">
        <v>118</v>
      </c>
      <c r="B325" s="305" t="str">
        <f t="shared" si="12"/>
        <v>45° clip</v>
      </c>
      <c r="C325" s="137">
        <v>197</v>
      </c>
      <c r="O325" s="17" t="s">
        <v>10</v>
      </c>
      <c r="P325" s="137" t="s">
        <v>447</v>
      </c>
      <c r="Q325" s="137" t="s">
        <v>10</v>
      </c>
      <c r="R325" s="137" t="s">
        <v>10</v>
      </c>
      <c r="S325" s="314" t="s">
        <v>1868</v>
      </c>
    </row>
    <row r="326" spans="1:19" x14ac:dyDescent="0.3">
      <c r="A326" s="137" t="s">
        <v>119</v>
      </c>
      <c r="B326" s="305" t="str">
        <f t="shared" si="12"/>
        <v xml:space="preserve">Clip na eurošroub H0 </v>
      </c>
      <c r="C326" s="137">
        <v>198</v>
      </c>
      <c r="O326" s="17" t="s">
        <v>211</v>
      </c>
      <c r="P326" s="137" t="s">
        <v>448</v>
      </c>
      <c r="Q326" s="137" t="s">
        <v>513</v>
      </c>
      <c r="R326" s="137" t="s">
        <v>589</v>
      </c>
      <c r="S326" s="314" t="s">
        <v>1869</v>
      </c>
    </row>
    <row r="327" spans="1:19" x14ac:dyDescent="0.3">
      <c r="A327" s="137" t="s">
        <v>113</v>
      </c>
      <c r="B327" s="305" t="str">
        <f t="shared" si="12"/>
        <v>Clip na vrut H0</v>
      </c>
      <c r="C327" s="137">
        <v>199</v>
      </c>
      <c r="O327" s="17" t="s">
        <v>210</v>
      </c>
      <c r="P327" s="137" t="s">
        <v>449</v>
      </c>
      <c r="Q327" s="137" t="s">
        <v>514</v>
      </c>
      <c r="R327" s="137" t="s">
        <v>590</v>
      </c>
      <c r="S327" s="314" t="s">
        <v>1870</v>
      </c>
    </row>
    <row r="328" spans="1:19" x14ac:dyDescent="0.3">
      <c r="A328" s="137" t="s">
        <v>146</v>
      </c>
      <c r="B328" s="305" t="str">
        <f t="shared" si="12"/>
        <v>Clip na eurošroub H2</v>
      </c>
      <c r="C328" s="137">
        <v>200</v>
      </c>
      <c r="O328" s="17" t="s">
        <v>214</v>
      </c>
      <c r="P328" s="137" t="s">
        <v>435</v>
      </c>
      <c r="Q328" s="137" t="s">
        <v>499</v>
      </c>
      <c r="R328" s="137" t="s">
        <v>575</v>
      </c>
      <c r="S328" s="314" t="s">
        <v>1852</v>
      </c>
    </row>
    <row r="329" spans="1:19" x14ac:dyDescent="0.3">
      <c r="A329" s="137">
        <v>104717</v>
      </c>
      <c r="B329" s="305" t="str">
        <f t="shared" si="12"/>
        <v>Sensys naložený tlumený</v>
      </c>
      <c r="C329" s="137">
        <v>201</v>
      </c>
      <c r="O329" s="17" t="s">
        <v>1035</v>
      </c>
      <c r="P329" s="137" t="s">
        <v>1236</v>
      </c>
      <c r="Q329" s="137" t="s">
        <v>1237</v>
      </c>
      <c r="R329" s="137" t="s">
        <v>1238</v>
      </c>
      <c r="S329" s="314" t="s">
        <v>1967</v>
      </c>
    </row>
    <row r="330" spans="1:19" x14ac:dyDescent="0.3">
      <c r="A330" s="137">
        <v>104718</v>
      </c>
      <c r="B330" s="305" t="str">
        <f t="shared" si="12"/>
        <v>Sensys polonaložený tlumený</v>
      </c>
      <c r="C330" s="137">
        <v>202</v>
      </c>
      <c r="O330" s="17" t="s">
        <v>1036</v>
      </c>
      <c r="P330" s="137" t="s">
        <v>1239</v>
      </c>
      <c r="Q330" s="137" t="s">
        <v>1240</v>
      </c>
      <c r="R330" s="137" t="s">
        <v>1241</v>
      </c>
      <c r="S330" s="314" t="s">
        <v>1968</v>
      </c>
    </row>
    <row r="331" spans="1:19" x14ac:dyDescent="0.3">
      <c r="A331" s="137">
        <v>104719</v>
      </c>
      <c r="B331" s="305" t="str">
        <f t="shared" si="12"/>
        <v>Sensys vložený tlumený</v>
      </c>
      <c r="C331" s="137">
        <v>203</v>
      </c>
      <c r="O331" s="17" t="s">
        <v>1037</v>
      </c>
      <c r="P331" s="137" t="s">
        <v>1242</v>
      </c>
      <c r="Q331" s="137" t="s">
        <v>1243</v>
      </c>
      <c r="R331" s="137" t="s">
        <v>1244</v>
      </c>
      <c r="S331" s="314" t="s">
        <v>1969</v>
      </c>
    </row>
    <row r="332" spans="1:19" x14ac:dyDescent="0.3">
      <c r="A332" s="137">
        <v>104802</v>
      </c>
      <c r="B332" s="305" t="str">
        <f t="shared" si="12"/>
        <v>Sensys příložný tlumený</v>
      </c>
      <c r="C332" s="137">
        <v>204</v>
      </c>
      <c r="O332" s="17" t="s">
        <v>1039</v>
      </c>
      <c r="P332" s="137" t="s">
        <v>1245</v>
      </c>
      <c r="Q332" s="137" t="s">
        <v>1246</v>
      </c>
      <c r="R332" s="137" t="s">
        <v>1247</v>
      </c>
      <c r="S332" s="314" t="s">
        <v>1970</v>
      </c>
    </row>
    <row r="333" spans="1:19" x14ac:dyDescent="0.3">
      <c r="A333" s="137">
        <v>232346</v>
      </c>
      <c r="B333" s="305" t="str">
        <f t="shared" si="12"/>
        <v>Sensys naložený netlumený</v>
      </c>
      <c r="C333" s="137">
        <v>205</v>
      </c>
      <c r="O333" s="17" t="s">
        <v>1041</v>
      </c>
      <c r="P333" s="137" t="s">
        <v>1248</v>
      </c>
      <c r="Q333" s="137" t="s">
        <v>1249</v>
      </c>
      <c r="R333" s="137" t="s">
        <v>1250</v>
      </c>
      <c r="S333" s="314" t="s">
        <v>1971</v>
      </c>
    </row>
    <row r="334" spans="1:19" x14ac:dyDescent="0.3">
      <c r="A334" s="137">
        <v>104189</v>
      </c>
      <c r="B334" s="305" t="str">
        <f t="shared" si="12"/>
        <v>Intermat naložený</v>
      </c>
      <c r="C334" s="137">
        <v>206</v>
      </c>
      <c r="O334" s="17" t="s">
        <v>1044</v>
      </c>
      <c r="P334" s="137" t="s">
        <v>1044</v>
      </c>
      <c r="Q334" s="137" t="s">
        <v>1251</v>
      </c>
      <c r="R334" s="137" t="s">
        <v>1252</v>
      </c>
      <c r="S334" s="314" t="s">
        <v>1972</v>
      </c>
    </row>
    <row r="335" spans="1:19" x14ac:dyDescent="0.3">
      <c r="A335" s="137">
        <v>104257</v>
      </c>
      <c r="B335" s="305" t="str">
        <f t="shared" si="12"/>
        <v>Intermat naložený 125°</v>
      </c>
      <c r="C335" s="137">
        <v>207</v>
      </c>
      <c r="O335" s="17" t="s">
        <v>1045</v>
      </c>
      <c r="P335" s="137" t="s">
        <v>1045</v>
      </c>
      <c r="Q335" s="137" t="s">
        <v>1253</v>
      </c>
      <c r="R335" s="137" t="s">
        <v>1254</v>
      </c>
      <c r="S335" s="314" t="s">
        <v>1973</v>
      </c>
    </row>
    <row r="336" spans="1:19" x14ac:dyDescent="0.3">
      <c r="A336" s="137">
        <v>104190</v>
      </c>
      <c r="B336" s="305" t="str">
        <f t="shared" si="12"/>
        <v>Intermat polonaložený</v>
      </c>
      <c r="C336" s="137">
        <v>208</v>
      </c>
      <c r="O336" s="17" t="s">
        <v>1046</v>
      </c>
      <c r="P336" s="137" t="s">
        <v>1046</v>
      </c>
      <c r="Q336" s="137" t="s">
        <v>1255</v>
      </c>
      <c r="R336" s="137" t="s">
        <v>1256</v>
      </c>
      <c r="S336" s="314" t="s">
        <v>1974</v>
      </c>
    </row>
    <row r="337" spans="1:19" x14ac:dyDescent="0.3">
      <c r="A337" s="137">
        <v>104191</v>
      </c>
      <c r="B337" s="305" t="str">
        <f t="shared" si="12"/>
        <v>Intermat vložený</v>
      </c>
      <c r="C337" s="137">
        <v>209</v>
      </c>
      <c r="O337" s="17" t="s">
        <v>1047</v>
      </c>
      <c r="P337" s="137" t="s">
        <v>1047</v>
      </c>
      <c r="Q337" s="137" t="s">
        <v>1257</v>
      </c>
      <c r="R337" s="137" t="s">
        <v>1258</v>
      </c>
      <c r="S337" s="314" t="s">
        <v>1975</v>
      </c>
    </row>
    <row r="338" spans="1:19" x14ac:dyDescent="0.3">
      <c r="A338" s="137">
        <v>104574</v>
      </c>
      <c r="B338" s="305" t="str">
        <f t="shared" si="12"/>
        <v>Intermat příložný</v>
      </c>
      <c r="C338" s="137">
        <v>210</v>
      </c>
      <c r="O338" s="17" t="s">
        <v>1053</v>
      </c>
      <c r="P338" s="137" t="s">
        <v>1259</v>
      </c>
      <c r="Q338" s="137" t="s">
        <v>1260</v>
      </c>
      <c r="R338" s="137" t="s">
        <v>1261</v>
      </c>
      <c r="S338" s="314" t="s">
        <v>1976</v>
      </c>
    </row>
    <row r="339" spans="1:19" x14ac:dyDescent="0.3">
      <c r="A339" s="137">
        <v>300282</v>
      </c>
      <c r="B339" s="305" t="str">
        <f t="shared" si="12"/>
        <v>Sensys naložený bez tlumení</v>
      </c>
      <c r="C339" s="137">
        <v>211</v>
      </c>
      <c r="O339" s="17" t="s">
        <v>1080</v>
      </c>
      <c r="P339" s="137" t="s">
        <v>1262</v>
      </c>
      <c r="Q339" s="137" t="s">
        <v>1249</v>
      </c>
      <c r="R339" s="137" t="s">
        <v>1250</v>
      </c>
      <c r="S339" s="314" t="s">
        <v>1971</v>
      </c>
    </row>
    <row r="340" spans="1:19" x14ac:dyDescent="0.3">
      <c r="A340" s="137">
        <v>300284</v>
      </c>
      <c r="B340" s="305" t="str">
        <f t="shared" si="12"/>
        <v>Sensys vložený bez tlumení</v>
      </c>
      <c r="C340" s="137">
        <v>212</v>
      </c>
      <c r="O340" s="17" t="s">
        <v>1081</v>
      </c>
      <c r="P340" s="137" t="s">
        <v>1263</v>
      </c>
      <c r="Q340" s="137" t="s">
        <v>1264</v>
      </c>
      <c r="R340" s="137" t="s">
        <v>1265</v>
      </c>
      <c r="S340" s="314" t="s">
        <v>1977</v>
      </c>
    </row>
    <row r="341" spans="1:19" x14ac:dyDescent="0.3">
      <c r="A341" s="137">
        <v>300279</v>
      </c>
      <c r="B341" s="305" t="str">
        <f t="shared" si="12"/>
        <v>Sensys naložený tlumený</v>
      </c>
      <c r="C341" s="137">
        <v>213</v>
      </c>
      <c r="O341" s="17" t="s">
        <v>1035</v>
      </c>
      <c r="P341" s="137" t="s">
        <v>1236</v>
      </c>
      <c r="Q341" s="137" t="s">
        <v>1237</v>
      </c>
      <c r="R341" s="137" t="s">
        <v>1238</v>
      </c>
      <c r="S341" s="314" t="s">
        <v>1967</v>
      </c>
    </row>
    <row r="342" spans="1:19" x14ac:dyDescent="0.3">
      <c r="A342" s="137">
        <v>300281</v>
      </c>
      <c r="B342" s="305" t="str">
        <f t="shared" si="12"/>
        <v>Sensys vložený tlumený</v>
      </c>
      <c r="C342" s="137">
        <v>214</v>
      </c>
      <c r="O342" s="17" t="s">
        <v>1037</v>
      </c>
      <c r="P342" s="137" t="s">
        <v>1242</v>
      </c>
      <c r="Q342" s="137" t="s">
        <v>1243</v>
      </c>
      <c r="R342" s="137" t="s">
        <v>1244</v>
      </c>
      <c r="S342" s="314" t="s">
        <v>1969</v>
      </c>
    </row>
    <row r="343" spans="1:19" x14ac:dyDescent="0.3">
      <c r="A343" s="137">
        <v>300801</v>
      </c>
      <c r="B343" s="305" t="str">
        <f t="shared" si="12"/>
        <v>Intermat naložený</v>
      </c>
      <c r="C343" s="137">
        <v>215</v>
      </c>
      <c r="O343" s="17" t="s">
        <v>1044</v>
      </c>
      <c r="P343" s="137" t="s">
        <v>1044</v>
      </c>
      <c r="Q343" s="137" t="s">
        <v>1251</v>
      </c>
      <c r="R343" s="137" t="s">
        <v>1252</v>
      </c>
      <c r="S343" s="314" t="s">
        <v>1972</v>
      </c>
    </row>
    <row r="344" spans="1:19" x14ac:dyDescent="0.3">
      <c r="A344" s="137">
        <v>300803</v>
      </c>
      <c r="B344" s="305" t="str">
        <f t="shared" si="12"/>
        <v>Intermat vložený</v>
      </c>
      <c r="C344" s="137">
        <v>216</v>
      </c>
      <c r="O344" s="17" t="s">
        <v>1047</v>
      </c>
      <c r="P344" s="137" t="s">
        <v>1047</v>
      </c>
      <c r="Q344" s="137" t="s">
        <v>1257</v>
      </c>
      <c r="R344" s="137" t="s">
        <v>1258</v>
      </c>
      <c r="S344" s="314" t="s">
        <v>1975</v>
      </c>
    </row>
    <row r="345" spans="1:19" x14ac:dyDescent="0.3">
      <c r="A345" s="137">
        <v>106403</v>
      </c>
      <c r="B345" s="305" t="str">
        <f t="shared" si="12"/>
        <v>podložka na vrut</v>
      </c>
      <c r="C345" s="137">
        <v>217</v>
      </c>
      <c r="O345" s="17" t="s">
        <v>1192</v>
      </c>
      <c r="P345" s="137" t="s">
        <v>1192</v>
      </c>
      <c r="Q345" s="137" t="s">
        <v>1266</v>
      </c>
      <c r="R345" s="137" t="s">
        <v>1267</v>
      </c>
      <c r="S345" s="314" t="s">
        <v>1978</v>
      </c>
    </row>
    <row r="346" spans="1:19" x14ac:dyDescent="0.3">
      <c r="A346" s="137">
        <v>119240</v>
      </c>
      <c r="B346" s="305" t="str">
        <f t="shared" si="12"/>
        <v>podložka na Eurovrut</v>
      </c>
      <c r="C346" s="137">
        <v>218</v>
      </c>
      <c r="O346" s="17" t="s">
        <v>1060</v>
      </c>
      <c r="P346" s="137" t="s">
        <v>1060</v>
      </c>
      <c r="Q346" s="137" t="s">
        <v>1268</v>
      </c>
      <c r="R346" s="137" t="s">
        <v>1269</v>
      </c>
      <c r="S346" s="314" t="s">
        <v>1979</v>
      </c>
    </row>
    <row r="347" spans="1:19" x14ac:dyDescent="0.3">
      <c r="A347" s="137">
        <v>136276</v>
      </c>
      <c r="B347" s="305" t="str">
        <f t="shared" si="12"/>
        <v>podložka na rozpěrnou hmoždinku</v>
      </c>
      <c r="C347" s="137">
        <v>219</v>
      </c>
      <c r="O347" s="17" t="s">
        <v>1061</v>
      </c>
      <c r="P347" s="137" t="s">
        <v>1270</v>
      </c>
      <c r="Q347" s="137" t="s">
        <v>1271</v>
      </c>
      <c r="R347" s="137" t="s">
        <v>1272</v>
      </c>
      <c r="S347" s="314" t="s">
        <v>1980</v>
      </c>
    </row>
    <row r="348" spans="1:19" x14ac:dyDescent="0.3">
      <c r="A348" s="137">
        <v>12002</v>
      </c>
      <c r="B348" s="305" t="str">
        <f t="shared" si="12"/>
        <v>naložený clip</v>
      </c>
      <c r="C348" s="137">
        <v>220</v>
      </c>
      <c r="O348" s="17" t="s">
        <v>1193</v>
      </c>
      <c r="P348" s="137" t="s">
        <v>121</v>
      </c>
      <c r="Q348" s="137" t="s">
        <v>488</v>
      </c>
      <c r="R348" s="137" t="s">
        <v>564</v>
      </c>
      <c r="S348" s="314" t="s">
        <v>1841</v>
      </c>
    </row>
    <row r="349" spans="1:19" x14ac:dyDescent="0.3">
      <c r="A349" s="137">
        <v>12005</v>
      </c>
      <c r="B349" s="305" t="str">
        <f t="shared" si="12"/>
        <v>polonaložený clip</v>
      </c>
      <c r="C349" s="137">
        <v>221</v>
      </c>
      <c r="O349" s="17" t="s">
        <v>1194</v>
      </c>
      <c r="P349" s="137" t="s">
        <v>122</v>
      </c>
      <c r="Q349" s="137" t="s">
        <v>489</v>
      </c>
      <c r="R349" s="137" t="s">
        <v>565</v>
      </c>
      <c r="S349" s="314" t="s">
        <v>1842</v>
      </c>
    </row>
    <row r="350" spans="1:19" x14ac:dyDescent="0.3">
      <c r="A350" s="137">
        <v>12008</v>
      </c>
      <c r="B350" s="305" t="str">
        <f t="shared" si="12"/>
        <v>Vložený clip</v>
      </c>
      <c r="C350" s="137">
        <v>222</v>
      </c>
      <c r="O350" s="17" t="s">
        <v>123</v>
      </c>
      <c r="P350" s="137" t="s">
        <v>123</v>
      </c>
      <c r="Q350" s="137" t="s">
        <v>490</v>
      </c>
      <c r="R350" s="137" t="s">
        <v>566</v>
      </c>
      <c r="S350" s="314" t="s">
        <v>1843</v>
      </c>
    </row>
    <row r="351" spans="1:19" x14ac:dyDescent="0.3">
      <c r="A351" s="137">
        <v>12047</v>
      </c>
      <c r="B351" s="305" t="str">
        <f t="shared" si="12"/>
        <v>naložený s tlumením clip 110°</v>
      </c>
      <c r="C351" s="137">
        <v>223</v>
      </c>
      <c r="O351" s="17" t="s">
        <v>1065</v>
      </c>
      <c r="P351" s="137" t="s">
        <v>1273</v>
      </c>
      <c r="Q351" s="137" t="s">
        <v>1274</v>
      </c>
      <c r="R351" s="137" t="s">
        <v>1568</v>
      </c>
      <c r="S351" s="314" t="s">
        <v>1981</v>
      </c>
    </row>
    <row r="352" spans="1:19" x14ac:dyDescent="0.3">
      <c r="A352" s="137">
        <v>12048</v>
      </c>
      <c r="B352" s="305" t="str">
        <f t="shared" si="12"/>
        <v>polonaložený s tlumením clip 110°</v>
      </c>
      <c r="C352" s="137">
        <v>224</v>
      </c>
      <c r="O352" s="17" t="s">
        <v>1066</v>
      </c>
      <c r="P352" s="137" t="s">
        <v>1275</v>
      </c>
      <c r="Q352" s="137" t="s">
        <v>1276</v>
      </c>
      <c r="R352" s="137" t="s">
        <v>1569</v>
      </c>
      <c r="S352" s="314" t="s">
        <v>1982</v>
      </c>
    </row>
    <row r="353" spans="1:19" x14ac:dyDescent="0.3">
      <c r="A353" s="137">
        <v>12049</v>
      </c>
      <c r="B353" s="305" t="str">
        <f t="shared" si="12"/>
        <v>vložený s tlumením clip 110°</v>
      </c>
      <c r="C353" s="137">
        <v>225</v>
      </c>
      <c r="O353" s="17" t="s">
        <v>1067</v>
      </c>
      <c r="P353" s="137" t="s">
        <v>1277</v>
      </c>
      <c r="Q353" s="137" t="s">
        <v>1278</v>
      </c>
      <c r="R353" s="137" t="s">
        <v>1593</v>
      </c>
      <c r="S353" s="314" t="s">
        <v>1983</v>
      </c>
    </row>
    <row r="354" spans="1:19" x14ac:dyDescent="0.3">
      <c r="A354" s="137">
        <v>12052</v>
      </c>
      <c r="B354" s="305" t="str">
        <f t="shared" si="12"/>
        <v>naložený bez tlumení clip 110°</v>
      </c>
      <c r="C354" s="137">
        <v>226</v>
      </c>
      <c r="O354" s="17" t="s">
        <v>1068</v>
      </c>
      <c r="P354" s="137" t="s">
        <v>1279</v>
      </c>
      <c r="Q354" s="137" t="s">
        <v>1280</v>
      </c>
      <c r="R354" s="137" t="s">
        <v>1570</v>
      </c>
      <c r="S354" s="314" t="s">
        <v>1984</v>
      </c>
    </row>
    <row r="355" spans="1:19" x14ac:dyDescent="0.3">
      <c r="A355" s="137">
        <v>12053</v>
      </c>
      <c r="B355" s="305" t="str">
        <f t="shared" si="12"/>
        <v>polonaložený bez tlumení clip 110°</v>
      </c>
      <c r="C355" s="137">
        <v>227</v>
      </c>
      <c r="O355" s="17" t="s">
        <v>1069</v>
      </c>
      <c r="P355" s="137" t="s">
        <v>1281</v>
      </c>
      <c r="Q355" s="137" t="s">
        <v>1282</v>
      </c>
      <c r="R355" s="137" t="s">
        <v>1571</v>
      </c>
      <c r="S355" s="314" t="s">
        <v>1985</v>
      </c>
    </row>
    <row r="356" spans="1:19" x14ac:dyDescent="0.3">
      <c r="A356" s="137">
        <v>12059</v>
      </c>
      <c r="B356" s="305" t="str">
        <f t="shared" si="12"/>
        <v>vložený bez tlumení clip 110°</v>
      </c>
      <c r="C356" s="137">
        <v>228</v>
      </c>
      <c r="O356" s="17" t="s">
        <v>1070</v>
      </c>
      <c r="P356" s="137" t="s">
        <v>1283</v>
      </c>
      <c r="Q356" s="137" t="s">
        <v>1284</v>
      </c>
      <c r="R356" s="137" t="s">
        <v>1594</v>
      </c>
      <c r="S356" s="314" t="s">
        <v>1986</v>
      </c>
    </row>
    <row r="357" spans="1:19" x14ac:dyDescent="0.3">
      <c r="A357" s="137">
        <v>226668</v>
      </c>
      <c r="B357" s="305" t="str">
        <f t="shared" si="12"/>
        <v>naložený TIP-ON clip 110°</v>
      </c>
      <c r="C357" s="137">
        <v>229</v>
      </c>
      <c r="O357" s="17" t="s">
        <v>1071</v>
      </c>
      <c r="P357" s="137" t="s">
        <v>1071</v>
      </c>
      <c r="Q357" s="137" t="s">
        <v>1285</v>
      </c>
      <c r="R357" s="137" t="s">
        <v>1572</v>
      </c>
      <c r="S357" s="314" t="s">
        <v>1987</v>
      </c>
    </row>
    <row r="358" spans="1:19" x14ac:dyDescent="0.3">
      <c r="A358" s="137">
        <v>226670</v>
      </c>
      <c r="B358" s="305" t="str">
        <f t="shared" si="12"/>
        <v>polonaložený TIP-ON clip 110°</v>
      </c>
      <c r="C358" s="137">
        <v>230</v>
      </c>
      <c r="O358" s="17" t="s">
        <v>1072</v>
      </c>
      <c r="P358" s="137" t="s">
        <v>1072</v>
      </c>
      <c r="Q358" s="137" t="s">
        <v>1286</v>
      </c>
      <c r="R358" s="137" t="s">
        <v>1573</v>
      </c>
      <c r="S358" s="314" t="s">
        <v>1988</v>
      </c>
    </row>
    <row r="359" spans="1:19" x14ac:dyDescent="0.3">
      <c r="A359" s="137">
        <v>226671</v>
      </c>
      <c r="B359" s="305" t="str">
        <f t="shared" si="12"/>
        <v>vložený TIP-ON clip 110°</v>
      </c>
      <c r="C359" s="137">
        <v>231</v>
      </c>
      <c r="O359" s="17" t="s">
        <v>1073</v>
      </c>
      <c r="P359" s="137" t="s">
        <v>1073</v>
      </c>
      <c r="Q359" s="137" t="s">
        <v>1287</v>
      </c>
      <c r="R359" s="137" t="s">
        <v>1595</v>
      </c>
      <c r="S359" s="314" t="s">
        <v>1989</v>
      </c>
    </row>
    <row r="360" spans="1:19" x14ac:dyDescent="0.3">
      <c r="A360" s="137">
        <v>12106</v>
      </c>
      <c r="B360" s="305" t="str">
        <f t="shared" si="12"/>
        <v>naložený clip</v>
      </c>
      <c r="C360" s="137">
        <v>232</v>
      </c>
      <c r="O360" s="17" t="s">
        <v>1193</v>
      </c>
      <c r="P360" s="137" t="s">
        <v>121</v>
      </c>
      <c r="Q360" s="137" t="s">
        <v>488</v>
      </c>
      <c r="R360" s="137" t="s">
        <v>564</v>
      </c>
      <c r="S360" s="314" t="s">
        <v>1841</v>
      </c>
    </row>
    <row r="361" spans="1:19" x14ac:dyDescent="0.3">
      <c r="A361" s="137">
        <v>12107</v>
      </c>
      <c r="B361" s="305" t="str">
        <f t="shared" si="12"/>
        <v>polonaložený clip</v>
      </c>
      <c r="C361" s="137">
        <v>233</v>
      </c>
      <c r="O361" s="17" t="s">
        <v>1194</v>
      </c>
      <c r="P361" s="137" t="s">
        <v>122</v>
      </c>
      <c r="Q361" s="137" t="s">
        <v>489</v>
      </c>
      <c r="R361" s="137" t="s">
        <v>565</v>
      </c>
      <c r="S361" s="314" t="s">
        <v>1842</v>
      </c>
    </row>
    <row r="362" spans="1:19" x14ac:dyDescent="0.3">
      <c r="A362" s="137">
        <v>12108</v>
      </c>
      <c r="B362" s="305" t="str">
        <f t="shared" si="12"/>
        <v>Vložený clip</v>
      </c>
      <c r="C362" s="137">
        <v>234</v>
      </c>
      <c r="O362" s="17" t="s">
        <v>123</v>
      </c>
      <c r="P362" s="137" t="s">
        <v>123</v>
      </c>
      <c r="Q362" s="137" t="s">
        <v>490</v>
      </c>
      <c r="R362" s="137" t="s">
        <v>566</v>
      </c>
      <c r="S362" s="314" t="s">
        <v>1843</v>
      </c>
    </row>
    <row r="363" spans="1:19" x14ac:dyDescent="0.3">
      <c r="A363" s="137">
        <v>118033</v>
      </c>
      <c r="B363" s="305" t="str">
        <f t="shared" si="12"/>
        <v>naložený s tlumením clip 95°</v>
      </c>
      <c r="C363" s="137">
        <v>235</v>
      </c>
      <c r="O363" s="17" t="s">
        <v>1075</v>
      </c>
      <c r="P363" s="137" t="s">
        <v>1288</v>
      </c>
      <c r="Q363" s="137" t="s">
        <v>1289</v>
      </c>
      <c r="R363" s="137" t="s">
        <v>1574</v>
      </c>
      <c r="S363" s="314" t="s">
        <v>1990</v>
      </c>
    </row>
    <row r="364" spans="1:19" x14ac:dyDescent="0.3">
      <c r="A364" s="137">
        <v>118120</v>
      </c>
      <c r="B364" s="305" t="str">
        <f t="shared" si="12"/>
        <v>polonaložený s tlumením clip 95°</v>
      </c>
      <c r="C364" s="137">
        <v>236</v>
      </c>
      <c r="O364" s="17" t="s">
        <v>1076</v>
      </c>
      <c r="P364" s="137" t="s">
        <v>1290</v>
      </c>
      <c r="Q364" s="137" t="s">
        <v>1291</v>
      </c>
      <c r="R364" s="137" t="s">
        <v>1575</v>
      </c>
      <c r="S364" s="314" t="s">
        <v>1991</v>
      </c>
    </row>
    <row r="365" spans="1:19" x14ac:dyDescent="0.3">
      <c r="A365" s="137">
        <v>118121</v>
      </c>
      <c r="B365" s="305" t="str">
        <f t="shared" si="12"/>
        <v>vložený s tlumením clip 95°</v>
      </c>
      <c r="C365" s="137">
        <v>237</v>
      </c>
      <c r="O365" s="17" t="s">
        <v>1077</v>
      </c>
      <c r="P365" s="137" t="s">
        <v>1292</v>
      </c>
      <c r="Q365" s="137" t="s">
        <v>1293</v>
      </c>
      <c r="R365" s="137" t="s">
        <v>1596</v>
      </c>
      <c r="S365" s="314" t="s">
        <v>1992</v>
      </c>
    </row>
    <row r="366" spans="1:19" x14ac:dyDescent="0.3">
      <c r="A366" s="137">
        <v>12109</v>
      </c>
      <c r="B366" s="305" t="str">
        <f t="shared" si="12"/>
        <v>naložený TIP-ON clip 95°</v>
      </c>
      <c r="C366" s="137">
        <v>238</v>
      </c>
      <c r="O366" s="17" t="s">
        <v>1078</v>
      </c>
      <c r="P366" s="137" t="s">
        <v>1078</v>
      </c>
      <c r="Q366" s="137" t="s">
        <v>1294</v>
      </c>
      <c r="R366" s="137" t="s">
        <v>1576</v>
      </c>
      <c r="S366" s="314" t="s">
        <v>1993</v>
      </c>
    </row>
    <row r="367" spans="1:19" x14ac:dyDescent="0.3">
      <c r="A367" s="137">
        <v>13764</v>
      </c>
      <c r="B367" s="305" t="str">
        <f t="shared" si="12"/>
        <v>naložený TIP-ON clip 120°</v>
      </c>
      <c r="C367" s="137">
        <v>239</v>
      </c>
      <c r="O367" s="17" t="s">
        <v>1079</v>
      </c>
      <c r="P367" s="137" t="s">
        <v>1079</v>
      </c>
      <c r="Q367" s="137" t="s">
        <v>1295</v>
      </c>
      <c r="R367" s="137" t="s">
        <v>1577</v>
      </c>
      <c r="S367" s="314" t="s">
        <v>1994</v>
      </c>
    </row>
    <row r="368" spans="1:19" x14ac:dyDescent="0.3">
      <c r="A368" s="137">
        <v>12318</v>
      </c>
      <c r="B368" s="305" t="str">
        <f t="shared" si="12"/>
        <v>Clip na eurošroub</v>
      </c>
      <c r="C368" s="137">
        <v>240</v>
      </c>
      <c r="O368" s="17" t="s">
        <v>208</v>
      </c>
      <c r="P368" s="137" t="s">
        <v>444</v>
      </c>
      <c r="Q368" s="137" t="s">
        <v>510</v>
      </c>
      <c r="R368" s="137" t="s">
        <v>586</v>
      </c>
      <c r="S368" s="314" t="s">
        <v>1865</v>
      </c>
    </row>
    <row r="369" spans="1:19" x14ac:dyDescent="0.3">
      <c r="A369" s="137">
        <v>12306</v>
      </c>
      <c r="B369" s="305" t="str">
        <f t="shared" si="12"/>
        <v>Clip na vrut</v>
      </c>
      <c r="C369" s="137">
        <v>241</v>
      </c>
      <c r="O369" s="17" t="s">
        <v>207</v>
      </c>
      <c r="P369" s="137" t="s">
        <v>445</v>
      </c>
      <c r="Q369" s="137" t="s">
        <v>511</v>
      </c>
      <c r="R369" s="137" t="s">
        <v>587</v>
      </c>
      <c r="S369" s="314" t="s">
        <v>1866</v>
      </c>
    </row>
    <row r="370" spans="1:19" x14ac:dyDescent="0.3">
      <c r="A370" s="137">
        <v>12319</v>
      </c>
      <c r="B370" s="305" t="str">
        <f t="shared" si="12"/>
        <v xml:space="preserve">Zvýšená o 6 mm </v>
      </c>
      <c r="C370" s="137">
        <v>242</v>
      </c>
      <c r="O370" s="17" t="s">
        <v>209</v>
      </c>
      <c r="P370" s="137" t="s">
        <v>446</v>
      </c>
      <c r="Q370" s="137" t="s">
        <v>512</v>
      </c>
      <c r="R370" s="137" t="s">
        <v>588</v>
      </c>
      <c r="S370" s="314" t="s">
        <v>1867</v>
      </c>
    </row>
    <row r="371" spans="1:19" x14ac:dyDescent="0.3">
      <c r="A371" s="137">
        <v>92580</v>
      </c>
      <c r="B371" s="305" t="str">
        <f t="shared" si="12"/>
        <v>naložený k nasunutí</v>
      </c>
      <c r="C371" s="137">
        <v>243</v>
      </c>
      <c r="O371" s="137" t="s">
        <v>1170</v>
      </c>
      <c r="P371" s="137" t="s">
        <v>1296</v>
      </c>
      <c r="Q371" s="137" t="s">
        <v>1297</v>
      </c>
      <c r="R371" s="137" t="s">
        <v>1298</v>
      </c>
      <c r="S371" s="314" t="s">
        <v>1995</v>
      </c>
    </row>
    <row r="372" spans="1:19" x14ac:dyDescent="0.3">
      <c r="A372" s="137">
        <v>92582</v>
      </c>
      <c r="B372" s="305" t="str">
        <f t="shared" si="12"/>
        <v>polonaložený k nasunutí</v>
      </c>
      <c r="C372" s="137">
        <v>244</v>
      </c>
      <c r="O372" s="137" t="s">
        <v>1171</v>
      </c>
      <c r="P372" s="137" t="s">
        <v>1299</v>
      </c>
      <c r="Q372" s="137" t="s">
        <v>1300</v>
      </c>
      <c r="R372" s="137" t="s">
        <v>1301</v>
      </c>
      <c r="S372" s="314" t="s">
        <v>1996</v>
      </c>
    </row>
    <row r="373" spans="1:19" x14ac:dyDescent="0.3">
      <c r="A373" s="137">
        <v>92583</v>
      </c>
      <c r="B373" s="305" t="str">
        <f t="shared" si="12"/>
        <v>vložený k nasunutí</v>
      </c>
      <c r="C373" s="137">
        <v>245</v>
      </c>
      <c r="O373" s="137" t="s">
        <v>1172</v>
      </c>
      <c r="P373" s="137" t="s">
        <v>1302</v>
      </c>
      <c r="Q373" s="137" t="s">
        <v>1303</v>
      </c>
      <c r="R373" s="137" t="s">
        <v>1304</v>
      </c>
      <c r="S373" s="314" t="s">
        <v>1997</v>
      </c>
    </row>
    <row r="374" spans="1:19" x14ac:dyDescent="0.3">
      <c r="A374" s="137" t="s">
        <v>1086</v>
      </c>
      <c r="B374" s="305" t="str">
        <f t="shared" si="12"/>
        <v>STRONG 30N bílý Automatický</v>
      </c>
      <c r="C374" s="137">
        <v>246</v>
      </c>
      <c r="O374" s="137" t="s">
        <v>1087</v>
      </c>
      <c r="P374" s="137" t="s">
        <v>1305</v>
      </c>
      <c r="Q374" s="137" t="s">
        <v>1306</v>
      </c>
      <c r="R374" s="137" t="s">
        <v>1307</v>
      </c>
      <c r="S374" s="314" t="s">
        <v>1998</v>
      </c>
    </row>
    <row r="375" spans="1:19" x14ac:dyDescent="0.3">
      <c r="A375" s="137" t="s">
        <v>1088</v>
      </c>
      <c r="B375" s="305" t="str">
        <f t="shared" si="12"/>
        <v>STRONG 60N bílý Automatický</v>
      </c>
      <c r="C375" s="137">
        <v>247</v>
      </c>
      <c r="O375" s="137" t="s">
        <v>1089</v>
      </c>
      <c r="P375" s="137" t="s">
        <v>1308</v>
      </c>
      <c r="Q375" s="137" t="s">
        <v>1309</v>
      </c>
      <c r="R375" s="137" t="s">
        <v>1310</v>
      </c>
      <c r="S375" s="314" t="s">
        <v>1999</v>
      </c>
    </row>
    <row r="376" spans="1:19" x14ac:dyDescent="0.3">
      <c r="A376" s="137" t="s">
        <v>1090</v>
      </c>
      <c r="B376" s="305" t="str">
        <f t="shared" si="12"/>
        <v>STRONG 80N bílý Automatický</v>
      </c>
      <c r="C376" s="137">
        <v>248</v>
      </c>
      <c r="O376" s="137" t="s">
        <v>1091</v>
      </c>
      <c r="P376" s="137" t="s">
        <v>1311</v>
      </c>
      <c r="Q376" s="137" t="s">
        <v>1312</v>
      </c>
      <c r="R376" s="137" t="s">
        <v>1313</v>
      </c>
      <c r="S376" s="314" t="s">
        <v>2000</v>
      </c>
    </row>
    <row r="377" spans="1:19" x14ac:dyDescent="0.3">
      <c r="A377" s="137" t="s">
        <v>1092</v>
      </c>
      <c r="B377" s="305" t="str">
        <f t="shared" si="12"/>
        <v>STRONG 100N bílý Automatický</v>
      </c>
      <c r="C377" s="137">
        <v>249</v>
      </c>
      <c r="O377" s="137" t="s">
        <v>1093</v>
      </c>
      <c r="P377" s="137" t="s">
        <v>1314</v>
      </c>
      <c r="Q377" s="137" t="s">
        <v>1315</v>
      </c>
      <c r="R377" s="137" t="s">
        <v>1316</v>
      </c>
      <c r="S377" s="314" t="s">
        <v>2001</v>
      </c>
    </row>
    <row r="378" spans="1:19" x14ac:dyDescent="0.3">
      <c r="A378" s="137" t="s">
        <v>1094</v>
      </c>
      <c r="B378" s="305" t="str">
        <f t="shared" si="12"/>
        <v>STRONG 120N bílý Automatický</v>
      </c>
      <c r="C378" s="137">
        <v>250</v>
      </c>
      <c r="O378" s="137" t="s">
        <v>1095</v>
      </c>
      <c r="P378" s="137" t="s">
        <v>1317</v>
      </c>
      <c r="Q378" s="137" t="s">
        <v>1318</v>
      </c>
      <c r="R378" s="137" t="s">
        <v>1319</v>
      </c>
      <c r="S378" s="314" t="s">
        <v>2002</v>
      </c>
    </row>
    <row r="379" spans="1:19" x14ac:dyDescent="0.3">
      <c r="A379" s="137" t="s">
        <v>1096</v>
      </c>
      <c r="B379" s="305" t="str">
        <f t="shared" si="12"/>
        <v>STRONG 60N bílý Polohovací</v>
      </c>
      <c r="C379" s="137">
        <v>251</v>
      </c>
      <c r="O379" s="137" t="s">
        <v>1097</v>
      </c>
      <c r="P379" s="137" t="s">
        <v>1320</v>
      </c>
      <c r="Q379" s="137" t="s">
        <v>1321</v>
      </c>
      <c r="R379" s="137" t="s">
        <v>1322</v>
      </c>
      <c r="S379" s="314" t="s">
        <v>2003</v>
      </c>
    </row>
    <row r="380" spans="1:19" x14ac:dyDescent="0.3">
      <c r="A380" s="137" t="s">
        <v>1098</v>
      </c>
      <c r="B380" s="305" t="str">
        <f t="shared" si="12"/>
        <v>STRONG 80N bílý Polohovací</v>
      </c>
      <c r="C380" s="137">
        <v>252</v>
      </c>
      <c r="O380" s="137" t="s">
        <v>1099</v>
      </c>
      <c r="P380" s="137" t="s">
        <v>1323</v>
      </c>
      <c r="Q380" s="137" t="s">
        <v>1324</v>
      </c>
      <c r="R380" s="137" t="s">
        <v>1325</v>
      </c>
      <c r="S380" s="314" t="s">
        <v>2004</v>
      </c>
    </row>
    <row r="381" spans="1:19" x14ac:dyDescent="0.3">
      <c r="A381" s="137" t="s">
        <v>1100</v>
      </c>
      <c r="B381" s="305" t="str">
        <f t="shared" si="12"/>
        <v>STRONG 100N bílý Polohovací</v>
      </c>
      <c r="C381" s="137">
        <v>253</v>
      </c>
      <c r="O381" s="137" t="s">
        <v>1101</v>
      </c>
      <c r="P381" s="137" t="s">
        <v>1326</v>
      </c>
      <c r="Q381" s="137" t="s">
        <v>1327</v>
      </c>
      <c r="R381" s="137" t="s">
        <v>1328</v>
      </c>
      <c r="S381" s="314" t="s">
        <v>2005</v>
      </c>
    </row>
    <row r="382" spans="1:19" x14ac:dyDescent="0.3">
      <c r="A382" s="137" t="s">
        <v>1102</v>
      </c>
      <c r="B382" s="305" t="str">
        <f t="shared" si="12"/>
        <v>STRONG 120N bílý Polohovací</v>
      </c>
      <c r="C382" s="137">
        <v>254</v>
      </c>
      <c r="O382" s="137" t="s">
        <v>1103</v>
      </c>
      <c r="P382" s="137" t="s">
        <v>1329</v>
      </c>
      <c r="Q382" s="137" t="s">
        <v>1330</v>
      </c>
      <c r="R382" s="137" t="s">
        <v>1331</v>
      </c>
      <c r="S382" s="314" t="s">
        <v>2006</v>
      </c>
    </row>
    <row r="383" spans="1:19" x14ac:dyDescent="0.3">
      <c r="A383" s="137" t="s">
        <v>1104</v>
      </c>
      <c r="B383" s="305" t="str">
        <f t="shared" si="12"/>
        <v>STRONG 30N šedý Automatický</v>
      </c>
      <c r="C383" s="137">
        <v>255</v>
      </c>
      <c r="O383" s="137" t="s">
        <v>1105</v>
      </c>
      <c r="P383" s="137" t="s">
        <v>1105</v>
      </c>
      <c r="Q383" s="137" t="s">
        <v>1332</v>
      </c>
      <c r="R383" s="137" t="s">
        <v>1333</v>
      </c>
      <c r="S383" s="314" t="s">
        <v>2007</v>
      </c>
    </row>
    <row r="384" spans="1:19" x14ac:dyDescent="0.3">
      <c r="A384" s="137" t="s">
        <v>1106</v>
      </c>
      <c r="B384" s="305" t="str">
        <f t="shared" si="12"/>
        <v>STRONG 60N šedý Automatický</v>
      </c>
      <c r="C384" s="137">
        <v>256</v>
      </c>
      <c r="O384" s="137" t="s">
        <v>1107</v>
      </c>
      <c r="P384" s="137" t="s">
        <v>1107</v>
      </c>
      <c r="Q384" s="137" t="s">
        <v>1334</v>
      </c>
      <c r="R384" s="137" t="s">
        <v>1335</v>
      </c>
      <c r="S384" s="314" t="s">
        <v>2008</v>
      </c>
    </row>
    <row r="385" spans="1:19" x14ac:dyDescent="0.3">
      <c r="A385" s="137" t="s">
        <v>1108</v>
      </c>
      <c r="B385" s="305" t="str">
        <f t="shared" ref="B385:B448" si="13">IF($D$1=1,O:O,IF($D$1=2,P:P,IF($D$1=3,Q:Q,IF($D$1=4,R:R,IF($D$1=5,S:S)))))</f>
        <v>STRONG 80N šedý Automatický</v>
      </c>
      <c r="C385" s="137">
        <v>257</v>
      </c>
      <c r="O385" s="137" t="s">
        <v>1109</v>
      </c>
      <c r="P385" s="137" t="s">
        <v>1109</v>
      </c>
      <c r="Q385" s="137" t="s">
        <v>1336</v>
      </c>
      <c r="R385" s="137" t="s">
        <v>1337</v>
      </c>
      <c r="S385" s="314" t="s">
        <v>2009</v>
      </c>
    </row>
    <row r="386" spans="1:19" x14ac:dyDescent="0.3">
      <c r="A386" s="137" t="s">
        <v>1110</v>
      </c>
      <c r="B386" s="305" t="str">
        <f t="shared" si="13"/>
        <v>STRONG 100N šedý Automatický</v>
      </c>
      <c r="C386" s="137">
        <v>258</v>
      </c>
      <c r="O386" s="137" t="s">
        <v>1111</v>
      </c>
      <c r="P386" s="137" t="s">
        <v>1111</v>
      </c>
      <c r="Q386" s="137" t="s">
        <v>1338</v>
      </c>
      <c r="R386" s="137" t="s">
        <v>1339</v>
      </c>
      <c r="S386" s="314" t="s">
        <v>2010</v>
      </c>
    </row>
    <row r="387" spans="1:19" x14ac:dyDescent="0.3">
      <c r="A387" s="137" t="s">
        <v>1112</v>
      </c>
      <c r="B387" s="305" t="str">
        <f t="shared" si="13"/>
        <v>STRONG 120N šedý Automatický</v>
      </c>
      <c r="C387" s="137">
        <v>259</v>
      </c>
      <c r="O387" s="137" t="s">
        <v>1113</v>
      </c>
      <c r="P387" s="137" t="s">
        <v>1113</v>
      </c>
      <c r="Q387" s="137" t="s">
        <v>1340</v>
      </c>
      <c r="R387" s="137" t="s">
        <v>1341</v>
      </c>
      <c r="S387" s="314" t="s">
        <v>2011</v>
      </c>
    </row>
    <row r="388" spans="1:19" x14ac:dyDescent="0.3">
      <c r="A388" s="137" t="s">
        <v>1114</v>
      </c>
      <c r="B388" s="305" t="str">
        <f t="shared" si="13"/>
        <v>STRONG 60N šedý Polohovací</v>
      </c>
      <c r="C388" s="137">
        <v>260</v>
      </c>
      <c r="O388" s="137" t="s">
        <v>1115</v>
      </c>
      <c r="P388" s="137" t="s">
        <v>1115</v>
      </c>
      <c r="Q388" s="137" t="s">
        <v>1342</v>
      </c>
      <c r="R388" s="137" t="s">
        <v>1343</v>
      </c>
      <c r="S388" s="314" t="s">
        <v>2012</v>
      </c>
    </row>
    <row r="389" spans="1:19" x14ac:dyDescent="0.3">
      <c r="A389" s="137" t="s">
        <v>1116</v>
      </c>
      <c r="B389" s="305" t="str">
        <f t="shared" si="13"/>
        <v>STRONG 80N šedý Polohovací</v>
      </c>
      <c r="C389" s="137">
        <v>261</v>
      </c>
      <c r="O389" s="137" t="s">
        <v>1117</v>
      </c>
      <c r="P389" s="137" t="s">
        <v>1117</v>
      </c>
      <c r="Q389" s="137" t="s">
        <v>1344</v>
      </c>
      <c r="R389" s="137" t="s">
        <v>1345</v>
      </c>
      <c r="S389" s="314" t="s">
        <v>2013</v>
      </c>
    </row>
    <row r="390" spans="1:19" x14ac:dyDescent="0.3">
      <c r="A390" s="137" t="s">
        <v>1118</v>
      </c>
      <c r="B390" s="305" t="str">
        <f t="shared" si="13"/>
        <v>STRONG 100N šedý Polohovací</v>
      </c>
      <c r="C390" s="137">
        <v>262</v>
      </c>
      <c r="O390" s="137" t="s">
        <v>1119</v>
      </c>
      <c r="P390" s="137" t="s">
        <v>1119</v>
      </c>
      <c r="Q390" s="137" t="s">
        <v>1346</v>
      </c>
      <c r="R390" s="137" t="s">
        <v>1347</v>
      </c>
      <c r="S390" s="314" t="s">
        <v>2014</v>
      </c>
    </row>
    <row r="391" spans="1:19" x14ac:dyDescent="0.3">
      <c r="A391" s="137" t="s">
        <v>1120</v>
      </c>
      <c r="B391" s="305" t="str">
        <f t="shared" si="13"/>
        <v>STRONG 120N šedý Polohovací</v>
      </c>
      <c r="C391" s="137">
        <v>263</v>
      </c>
      <c r="O391" s="137" t="s">
        <v>1121</v>
      </c>
      <c r="P391" s="137" t="s">
        <v>1121</v>
      </c>
      <c r="Q391" s="137" t="s">
        <v>1348</v>
      </c>
      <c r="R391" s="137" t="s">
        <v>1349</v>
      </c>
      <c r="S391" s="314" t="s">
        <v>2015</v>
      </c>
    </row>
    <row r="392" spans="1:19" x14ac:dyDescent="0.3">
      <c r="A392" s="137" t="s">
        <v>1122</v>
      </c>
      <c r="B392" s="305" t="str">
        <f t="shared" si="13"/>
        <v>HUWIL DUO</v>
      </c>
      <c r="C392" s="137">
        <v>264</v>
      </c>
      <c r="O392" s="137" t="s">
        <v>1123</v>
      </c>
      <c r="P392" s="137" t="s">
        <v>1123</v>
      </c>
      <c r="Q392" s="137" t="s">
        <v>1123</v>
      </c>
      <c r="R392" s="137" t="s">
        <v>1123</v>
      </c>
      <c r="S392" s="314" t="s">
        <v>1123</v>
      </c>
    </row>
    <row r="393" spans="1:19" x14ac:dyDescent="0.3">
      <c r="A393" s="137" t="s">
        <v>1124</v>
      </c>
      <c r="B393" s="305" t="str">
        <f t="shared" si="13"/>
        <v>HUWIL DUO FORTE</v>
      </c>
      <c r="C393" s="137">
        <v>265</v>
      </c>
      <c r="O393" s="137" t="s">
        <v>1125</v>
      </c>
      <c r="P393" s="137" t="s">
        <v>1125</v>
      </c>
      <c r="Q393" s="137" t="s">
        <v>1125</v>
      </c>
      <c r="R393" s="137" t="s">
        <v>1125</v>
      </c>
      <c r="S393" s="314" t="s">
        <v>1125</v>
      </c>
    </row>
    <row r="394" spans="1:19" x14ac:dyDescent="0.3">
      <c r="A394" s="137" t="s">
        <v>1126</v>
      </c>
      <c r="B394" s="305" t="str">
        <f t="shared" si="13"/>
        <v>HUWILIFT MAXI</v>
      </c>
      <c r="C394" s="137">
        <v>266</v>
      </c>
      <c r="O394" s="137" t="s">
        <v>1127</v>
      </c>
      <c r="P394" s="137" t="s">
        <v>1127</v>
      </c>
      <c r="Q394" s="137" t="s">
        <v>1127</v>
      </c>
      <c r="R394" s="137" t="s">
        <v>1127</v>
      </c>
      <c r="S394" s="314" t="s">
        <v>1127</v>
      </c>
    </row>
    <row r="395" spans="1:19" x14ac:dyDescent="0.3">
      <c r="A395" s="137" t="s">
        <v>1128</v>
      </c>
      <c r="B395" s="305" t="str">
        <f t="shared" si="13"/>
        <v>KRABY 164 45N</v>
      </c>
      <c r="C395" s="137">
        <v>267</v>
      </c>
      <c r="O395" s="137" t="s">
        <v>756</v>
      </c>
      <c r="P395" s="137" t="s">
        <v>756</v>
      </c>
      <c r="Q395" s="137" t="s">
        <v>756</v>
      </c>
      <c r="R395" s="137" t="s">
        <v>756</v>
      </c>
      <c r="S395" s="314" t="s">
        <v>756</v>
      </c>
    </row>
    <row r="396" spans="1:19" x14ac:dyDescent="0.3">
      <c r="A396" s="137" t="s">
        <v>1129</v>
      </c>
      <c r="B396" s="305" t="str">
        <f t="shared" si="13"/>
        <v>KRABY 164 60N</v>
      </c>
      <c r="C396" s="137">
        <v>268</v>
      </c>
      <c r="O396" s="137" t="s">
        <v>757</v>
      </c>
      <c r="P396" s="137" t="s">
        <v>757</v>
      </c>
      <c r="Q396" s="137" t="s">
        <v>757</v>
      </c>
      <c r="R396" s="137" t="s">
        <v>757</v>
      </c>
      <c r="S396" s="314" t="s">
        <v>757</v>
      </c>
    </row>
    <row r="397" spans="1:19" x14ac:dyDescent="0.3">
      <c r="A397" s="137" t="s">
        <v>1130</v>
      </c>
      <c r="B397" s="305" t="str">
        <f t="shared" si="13"/>
        <v>KRABY 244 45N</v>
      </c>
      <c r="C397" s="137">
        <v>269</v>
      </c>
      <c r="O397" s="137" t="s">
        <v>758</v>
      </c>
      <c r="P397" s="137" t="s">
        <v>758</v>
      </c>
      <c r="Q397" s="137" t="s">
        <v>758</v>
      </c>
      <c r="R397" s="137" t="s">
        <v>758</v>
      </c>
      <c r="S397" s="314" t="s">
        <v>758</v>
      </c>
    </row>
    <row r="398" spans="1:19" x14ac:dyDescent="0.3">
      <c r="A398" s="137" t="s">
        <v>1131</v>
      </c>
      <c r="B398" s="305" t="str">
        <f t="shared" si="13"/>
        <v>KRABY 244 60N</v>
      </c>
      <c r="C398" s="137">
        <v>270</v>
      </c>
      <c r="O398" s="137" t="s">
        <v>759</v>
      </c>
      <c r="P398" s="137" t="s">
        <v>759</v>
      </c>
      <c r="Q398" s="137" t="s">
        <v>759</v>
      </c>
      <c r="R398" s="137" t="s">
        <v>759</v>
      </c>
      <c r="S398" s="314" t="s">
        <v>759</v>
      </c>
    </row>
    <row r="399" spans="1:19" x14ac:dyDescent="0.3">
      <c r="A399" s="137" t="s">
        <v>1132</v>
      </c>
      <c r="B399" s="305" t="str">
        <f t="shared" si="13"/>
        <v>KRABY 244 90N</v>
      </c>
      <c r="C399" s="137">
        <v>271</v>
      </c>
      <c r="O399" s="137" t="s">
        <v>760</v>
      </c>
      <c r="P399" s="137" t="s">
        <v>760</v>
      </c>
      <c r="Q399" s="137" t="s">
        <v>760</v>
      </c>
      <c r="R399" s="137" t="s">
        <v>760</v>
      </c>
      <c r="S399" s="314" t="s">
        <v>760</v>
      </c>
    </row>
    <row r="400" spans="1:19" x14ac:dyDescent="0.3">
      <c r="A400" s="137" t="s">
        <v>1133</v>
      </c>
      <c r="B400" s="305" t="str">
        <f t="shared" si="13"/>
        <v>KRABY 244 120N</v>
      </c>
      <c r="C400" s="137">
        <v>272</v>
      </c>
      <c r="O400" s="137" t="s">
        <v>761</v>
      </c>
      <c r="P400" s="137" t="s">
        <v>761</v>
      </c>
      <c r="Q400" s="137" t="s">
        <v>761</v>
      </c>
      <c r="R400" s="137" t="s">
        <v>761</v>
      </c>
      <c r="S400" s="314" t="s">
        <v>761</v>
      </c>
    </row>
    <row r="401" spans="1:19" x14ac:dyDescent="0.3">
      <c r="A401" s="137" t="s">
        <v>1134</v>
      </c>
      <c r="B401" s="305" t="str">
        <f t="shared" si="13"/>
        <v>KRABY 355 45N</v>
      </c>
      <c r="C401" s="137">
        <v>273</v>
      </c>
      <c r="O401" s="137" t="s">
        <v>762</v>
      </c>
      <c r="P401" s="137" t="s">
        <v>762</v>
      </c>
      <c r="Q401" s="137" t="s">
        <v>762</v>
      </c>
      <c r="R401" s="137" t="s">
        <v>762</v>
      </c>
      <c r="S401" s="314" t="s">
        <v>762</v>
      </c>
    </row>
    <row r="402" spans="1:19" x14ac:dyDescent="0.3">
      <c r="A402" s="137" t="s">
        <v>1135</v>
      </c>
      <c r="B402" s="305" t="str">
        <f t="shared" si="13"/>
        <v>KRABY 355 60N</v>
      </c>
      <c r="C402" s="137">
        <v>274</v>
      </c>
      <c r="O402" s="137" t="s">
        <v>763</v>
      </c>
      <c r="P402" s="137" t="s">
        <v>763</v>
      </c>
      <c r="Q402" s="137" t="s">
        <v>763</v>
      </c>
      <c r="R402" s="137" t="s">
        <v>763</v>
      </c>
      <c r="S402" s="314" t="s">
        <v>763</v>
      </c>
    </row>
    <row r="403" spans="1:19" x14ac:dyDescent="0.3">
      <c r="A403" s="137" t="s">
        <v>1136</v>
      </c>
      <c r="B403" s="305" t="str">
        <f t="shared" si="13"/>
        <v>KRABY 355 90N</v>
      </c>
      <c r="C403" s="137">
        <v>275</v>
      </c>
      <c r="O403" s="137" t="s">
        <v>764</v>
      </c>
      <c r="P403" s="137" t="s">
        <v>764</v>
      </c>
      <c r="Q403" s="137" t="s">
        <v>764</v>
      </c>
      <c r="R403" s="137" t="s">
        <v>764</v>
      </c>
      <c r="S403" s="314" t="s">
        <v>764</v>
      </c>
    </row>
    <row r="404" spans="1:19" x14ac:dyDescent="0.3">
      <c r="A404" s="137" t="s">
        <v>1137</v>
      </c>
      <c r="B404" s="305" t="str">
        <f t="shared" si="13"/>
        <v>KRABY 355 120N</v>
      </c>
      <c r="C404" s="137">
        <v>276</v>
      </c>
      <c r="O404" s="137" t="s">
        <v>765</v>
      </c>
      <c r="P404" s="137" t="s">
        <v>765</v>
      </c>
      <c r="Q404" s="137" t="s">
        <v>765</v>
      </c>
      <c r="R404" s="137" t="s">
        <v>765</v>
      </c>
      <c r="S404" s="314" t="s">
        <v>765</v>
      </c>
    </row>
    <row r="405" spans="1:19" x14ac:dyDescent="0.3">
      <c r="A405" s="137" t="s">
        <v>1138</v>
      </c>
      <c r="B405" s="305" t="str">
        <f t="shared" si="13"/>
        <v>K12 244 50N</v>
      </c>
      <c r="C405" s="137">
        <v>277</v>
      </c>
      <c r="O405" s="137" t="s">
        <v>1139</v>
      </c>
      <c r="P405" s="137" t="s">
        <v>1139</v>
      </c>
      <c r="Q405" s="137" t="s">
        <v>1139</v>
      </c>
      <c r="R405" s="137" t="s">
        <v>1139</v>
      </c>
      <c r="S405" s="314" t="s">
        <v>1139</v>
      </c>
    </row>
    <row r="406" spans="1:19" x14ac:dyDescent="0.3">
      <c r="A406" s="137" t="s">
        <v>1140</v>
      </c>
      <c r="B406" s="305" t="str">
        <f t="shared" si="13"/>
        <v>K12 244 80N</v>
      </c>
      <c r="C406" s="137">
        <v>278</v>
      </c>
      <c r="O406" s="137" t="s">
        <v>1141</v>
      </c>
      <c r="P406" s="137" t="s">
        <v>1141</v>
      </c>
      <c r="Q406" s="137" t="s">
        <v>1141</v>
      </c>
      <c r="R406" s="137" t="s">
        <v>1141</v>
      </c>
      <c r="S406" s="314" t="s">
        <v>1141</v>
      </c>
    </row>
    <row r="407" spans="1:19" x14ac:dyDescent="0.3">
      <c r="A407" s="137" t="s">
        <v>1142</v>
      </c>
      <c r="B407" s="305" t="str">
        <f t="shared" si="13"/>
        <v>K12 244 100N</v>
      </c>
      <c r="C407" s="137">
        <v>279</v>
      </c>
      <c r="O407" s="137" t="s">
        <v>1143</v>
      </c>
      <c r="P407" s="137" t="s">
        <v>1143</v>
      </c>
      <c r="Q407" s="137" t="s">
        <v>1143</v>
      </c>
      <c r="R407" s="137" t="s">
        <v>1143</v>
      </c>
      <c r="S407" s="314" t="s">
        <v>1143</v>
      </c>
    </row>
    <row r="408" spans="1:19" x14ac:dyDescent="0.3">
      <c r="A408" s="137" t="s">
        <v>1144</v>
      </c>
      <c r="B408" s="305" t="str">
        <f t="shared" si="13"/>
        <v>K12 244 120N</v>
      </c>
      <c r="C408" s="137">
        <v>280</v>
      </c>
      <c r="O408" s="137" t="s">
        <v>1145</v>
      </c>
      <c r="P408" s="137" t="s">
        <v>1145</v>
      </c>
      <c r="Q408" s="137" t="s">
        <v>1145</v>
      </c>
      <c r="R408" s="137" t="s">
        <v>1145</v>
      </c>
      <c r="S408" s="314" t="s">
        <v>1145</v>
      </c>
    </row>
    <row r="409" spans="1:19" x14ac:dyDescent="0.3">
      <c r="A409" s="137" t="s">
        <v>1146</v>
      </c>
      <c r="B409" s="305" t="str">
        <f t="shared" si="13"/>
        <v>K12 355 60N</v>
      </c>
      <c r="C409" s="137">
        <v>281</v>
      </c>
      <c r="O409" s="137" t="s">
        <v>1147</v>
      </c>
      <c r="P409" s="137" t="s">
        <v>1147</v>
      </c>
      <c r="Q409" s="137" t="s">
        <v>1147</v>
      </c>
      <c r="R409" s="137" t="s">
        <v>1147</v>
      </c>
      <c r="S409" s="314" t="s">
        <v>1147</v>
      </c>
    </row>
    <row r="410" spans="1:19" x14ac:dyDescent="0.3">
      <c r="A410" s="137" t="s">
        <v>1148</v>
      </c>
      <c r="B410" s="305" t="str">
        <f t="shared" si="13"/>
        <v>K12 355 90N</v>
      </c>
      <c r="C410" s="137">
        <v>282</v>
      </c>
      <c r="O410" s="137" t="s">
        <v>1149</v>
      </c>
      <c r="P410" s="137" t="s">
        <v>1149</v>
      </c>
      <c r="Q410" s="137" t="s">
        <v>1149</v>
      </c>
      <c r="R410" s="137" t="s">
        <v>1149</v>
      </c>
      <c r="S410" s="314" t="s">
        <v>1149</v>
      </c>
    </row>
    <row r="411" spans="1:19" x14ac:dyDescent="0.3">
      <c r="A411" s="137" t="s">
        <v>1150</v>
      </c>
      <c r="B411" s="305" t="str">
        <f t="shared" si="13"/>
        <v>K12 355 110N</v>
      </c>
      <c r="C411" s="137">
        <v>283</v>
      </c>
      <c r="O411" s="137" t="s">
        <v>1151</v>
      </c>
      <c r="P411" s="137" t="s">
        <v>1151</v>
      </c>
      <c r="Q411" s="137" t="s">
        <v>1151</v>
      </c>
      <c r="R411" s="137" t="s">
        <v>1151</v>
      </c>
      <c r="S411" s="314" t="s">
        <v>1151</v>
      </c>
    </row>
    <row r="412" spans="1:19" x14ac:dyDescent="0.3">
      <c r="A412" s="137" t="s">
        <v>1152</v>
      </c>
      <c r="B412" s="305" t="str">
        <f t="shared" si="13"/>
        <v>K12 355 130N</v>
      </c>
      <c r="C412" s="137">
        <v>284</v>
      </c>
      <c r="O412" s="137" t="s">
        <v>1153</v>
      </c>
      <c r="P412" s="137" t="s">
        <v>1153</v>
      </c>
      <c r="Q412" s="137" t="s">
        <v>1153</v>
      </c>
      <c r="R412" s="137" t="s">
        <v>1153</v>
      </c>
      <c r="S412" s="314" t="s">
        <v>1153</v>
      </c>
    </row>
    <row r="413" spans="1:19" x14ac:dyDescent="0.3">
      <c r="A413" s="137" t="s">
        <v>1154</v>
      </c>
      <c r="B413" s="305" t="str">
        <f t="shared" si="13"/>
        <v>STRONG spodní bílý</v>
      </c>
      <c r="C413" s="137">
        <v>285</v>
      </c>
      <c r="O413" s="137" t="s">
        <v>1155</v>
      </c>
      <c r="P413" s="137" t="s">
        <v>1350</v>
      </c>
      <c r="Q413" s="137" t="s">
        <v>1351</v>
      </c>
      <c r="R413" s="137" t="s">
        <v>1352</v>
      </c>
      <c r="S413" s="314" t="s">
        <v>2016</v>
      </c>
    </row>
    <row r="414" spans="1:19" x14ac:dyDescent="0.3">
      <c r="A414" s="137" t="s">
        <v>1156</v>
      </c>
      <c r="B414" s="305" t="str">
        <f t="shared" si="13"/>
        <v>STRONG spodní šedý</v>
      </c>
      <c r="C414" s="137">
        <v>286</v>
      </c>
      <c r="O414" s="137" t="s">
        <v>1157</v>
      </c>
      <c r="P414" s="137" t="s">
        <v>1353</v>
      </c>
      <c r="Q414" s="137" t="s">
        <v>1354</v>
      </c>
      <c r="R414" s="137" t="s">
        <v>1355</v>
      </c>
      <c r="S414" s="314" t="s">
        <v>2017</v>
      </c>
    </row>
    <row r="415" spans="1:19" x14ac:dyDescent="0.3">
      <c r="A415" s="137" t="s">
        <v>1158</v>
      </c>
      <c r="B415" s="305" t="str">
        <f t="shared" si="13"/>
        <v xml:space="preserve">HUWIL DUO (90°) </v>
      </c>
      <c r="C415" s="137">
        <v>287</v>
      </c>
      <c r="O415" s="137" t="s">
        <v>1159</v>
      </c>
      <c r="P415" s="137" t="s">
        <v>1159</v>
      </c>
      <c r="Q415" s="137" t="s">
        <v>1159</v>
      </c>
      <c r="R415" s="137" t="s">
        <v>1159</v>
      </c>
      <c r="S415" s="314" t="s">
        <v>2018</v>
      </c>
    </row>
    <row r="416" spans="1:19" x14ac:dyDescent="0.3">
      <c r="A416" s="137" t="s">
        <v>1160</v>
      </c>
      <c r="B416" s="305" t="str">
        <f t="shared" si="13"/>
        <v>HUWIL DUO FORTE</v>
      </c>
      <c r="C416" s="137">
        <v>288</v>
      </c>
      <c r="O416" s="137" t="s">
        <v>1125</v>
      </c>
      <c r="P416" s="137" t="s">
        <v>1125</v>
      </c>
      <c r="Q416" s="137" t="s">
        <v>1125</v>
      </c>
      <c r="R416" s="137" t="s">
        <v>1125</v>
      </c>
      <c r="S416" s="314" t="s">
        <v>1125</v>
      </c>
    </row>
    <row r="417" spans="1:19" x14ac:dyDescent="0.3">
      <c r="A417" s="137" t="s">
        <v>1161</v>
      </c>
      <c r="B417" s="305" t="str">
        <f t="shared" si="13"/>
        <v>KRABY 164 spodní</v>
      </c>
      <c r="C417" s="137">
        <v>289</v>
      </c>
      <c r="O417" s="137" t="s">
        <v>1162</v>
      </c>
      <c r="P417" s="137" t="s">
        <v>1356</v>
      </c>
      <c r="Q417" s="137" t="s">
        <v>1357</v>
      </c>
      <c r="R417" s="137" t="s">
        <v>1358</v>
      </c>
      <c r="S417" s="314" t="s">
        <v>2019</v>
      </c>
    </row>
    <row r="418" spans="1:19" x14ac:dyDescent="0.3">
      <c r="A418" s="137" t="s">
        <v>1163</v>
      </c>
      <c r="B418" s="305" t="str">
        <f t="shared" si="13"/>
        <v>KRABY 244 spodní</v>
      </c>
      <c r="C418" s="137">
        <v>290</v>
      </c>
      <c r="O418" s="137" t="s">
        <v>1164</v>
      </c>
      <c r="P418" s="137" t="s">
        <v>1359</v>
      </c>
      <c r="Q418" s="137" t="s">
        <v>1360</v>
      </c>
      <c r="R418" s="137" t="s">
        <v>1361</v>
      </c>
      <c r="S418" s="314" t="s">
        <v>2020</v>
      </c>
    </row>
    <row r="419" spans="1:19" x14ac:dyDescent="0.3">
      <c r="A419" s="137" t="s">
        <v>1165</v>
      </c>
      <c r="B419" s="305" t="str">
        <f t="shared" si="13"/>
        <v>KRABY 355 spodní</v>
      </c>
      <c r="C419" s="137">
        <v>291</v>
      </c>
      <c r="O419" s="137" t="s">
        <v>1166</v>
      </c>
      <c r="P419" s="137" t="s">
        <v>1362</v>
      </c>
      <c r="Q419" s="137" t="s">
        <v>1363</v>
      </c>
      <c r="R419" s="137" t="s">
        <v>1364</v>
      </c>
      <c r="S419" s="314" t="s">
        <v>2021</v>
      </c>
    </row>
    <row r="420" spans="1:19" x14ac:dyDescent="0.3">
      <c r="A420" s="137">
        <v>248162</v>
      </c>
      <c r="B420" s="305" t="str">
        <f t="shared" si="13"/>
        <v>STRONG 30N bílý Automatický</v>
      </c>
      <c r="C420" s="137">
        <v>292</v>
      </c>
      <c r="O420" s="137" t="s">
        <v>1087</v>
      </c>
      <c r="P420" s="137" t="s">
        <v>1305</v>
      </c>
      <c r="Q420" s="137" t="s">
        <v>1306</v>
      </c>
      <c r="R420" s="137" t="s">
        <v>1307</v>
      </c>
      <c r="S420" s="314" t="s">
        <v>1998</v>
      </c>
    </row>
    <row r="421" spans="1:19" x14ac:dyDescent="0.3">
      <c r="A421" s="137">
        <v>248163</v>
      </c>
      <c r="B421" s="305" t="str">
        <f t="shared" si="13"/>
        <v>STRONG 60N bílý Automatický</v>
      </c>
      <c r="C421" s="137">
        <v>293</v>
      </c>
      <c r="O421" s="137" t="s">
        <v>1089</v>
      </c>
      <c r="P421" s="137" t="s">
        <v>1308</v>
      </c>
      <c r="Q421" s="137" t="s">
        <v>1309</v>
      </c>
      <c r="R421" s="137" t="s">
        <v>1310</v>
      </c>
      <c r="S421" s="314" t="s">
        <v>1999</v>
      </c>
    </row>
    <row r="422" spans="1:19" x14ac:dyDescent="0.3">
      <c r="A422" s="137">
        <v>248164</v>
      </c>
      <c r="B422" s="305" t="str">
        <f t="shared" si="13"/>
        <v>STRONG 80N bílý Automatický</v>
      </c>
      <c r="C422" s="137">
        <v>294</v>
      </c>
      <c r="O422" s="137" t="s">
        <v>1091</v>
      </c>
      <c r="P422" s="137" t="s">
        <v>1311</v>
      </c>
      <c r="Q422" s="137" t="s">
        <v>1312</v>
      </c>
      <c r="R422" s="137" t="s">
        <v>1313</v>
      </c>
      <c r="S422" s="314" t="s">
        <v>2000</v>
      </c>
    </row>
    <row r="423" spans="1:19" x14ac:dyDescent="0.3">
      <c r="A423" s="137">
        <v>248165</v>
      </c>
      <c r="B423" s="305" t="str">
        <f t="shared" si="13"/>
        <v>STRONG 100N bílý Automatický</v>
      </c>
      <c r="C423" s="137">
        <v>295</v>
      </c>
      <c r="O423" s="137" t="s">
        <v>1093</v>
      </c>
      <c r="P423" s="137" t="s">
        <v>1314</v>
      </c>
      <c r="Q423" s="137" t="s">
        <v>1315</v>
      </c>
      <c r="R423" s="137" t="s">
        <v>1316</v>
      </c>
      <c r="S423" s="314" t="s">
        <v>2001</v>
      </c>
    </row>
    <row r="424" spans="1:19" x14ac:dyDescent="0.3">
      <c r="A424" s="137">
        <v>248166</v>
      </c>
      <c r="B424" s="305" t="str">
        <f t="shared" si="13"/>
        <v>STRONG 120N bílý Automatický</v>
      </c>
      <c r="C424" s="137">
        <v>296</v>
      </c>
      <c r="O424" s="137" t="s">
        <v>1095</v>
      </c>
      <c r="P424" s="137" t="s">
        <v>1317</v>
      </c>
      <c r="Q424" s="137" t="s">
        <v>1318</v>
      </c>
      <c r="R424" s="137" t="s">
        <v>1319</v>
      </c>
      <c r="S424" s="314" t="s">
        <v>2002</v>
      </c>
    </row>
    <row r="425" spans="1:19" x14ac:dyDescent="0.3">
      <c r="A425" s="137">
        <v>284254</v>
      </c>
      <c r="B425" s="305" t="str">
        <f t="shared" si="13"/>
        <v>STRONG 60N bílý Polohovací</v>
      </c>
      <c r="C425" s="137">
        <v>297</v>
      </c>
      <c r="O425" s="137" t="s">
        <v>1097</v>
      </c>
      <c r="P425" s="137" t="s">
        <v>1320</v>
      </c>
      <c r="Q425" s="137" t="s">
        <v>1321</v>
      </c>
      <c r="R425" s="137" t="s">
        <v>1322</v>
      </c>
      <c r="S425" s="314" t="s">
        <v>2003</v>
      </c>
    </row>
    <row r="426" spans="1:19" x14ac:dyDescent="0.3">
      <c r="A426" s="137">
        <v>284255</v>
      </c>
      <c r="B426" s="305" t="str">
        <f t="shared" si="13"/>
        <v>STRONG 80N bílý Polohovací</v>
      </c>
      <c r="C426" s="137">
        <v>298</v>
      </c>
      <c r="O426" s="137" t="s">
        <v>1099</v>
      </c>
      <c r="P426" s="137" t="s">
        <v>1323</v>
      </c>
      <c r="Q426" s="137" t="s">
        <v>1324</v>
      </c>
      <c r="R426" s="137" t="s">
        <v>1325</v>
      </c>
      <c r="S426" s="314" t="s">
        <v>2004</v>
      </c>
    </row>
    <row r="427" spans="1:19" x14ac:dyDescent="0.3">
      <c r="A427" s="137">
        <v>284256</v>
      </c>
      <c r="B427" s="305" t="str">
        <f t="shared" si="13"/>
        <v>STRONG 100N bílý Polohovací</v>
      </c>
      <c r="C427" s="137">
        <v>299</v>
      </c>
      <c r="O427" s="137" t="s">
        <v>1101</v>
      </c>
      <c r="P427" s="137" t="s">
        <v>1326</v>
      </c>
      <c r="Q427" s="137" t="s">
        <v>1327</v>
      </c>
      <c r="R427" s="137" t="s">
        <v>1328</v>
      </c>
      <c r="S427" s="314" t="s">
        <v>2005</v>
      </c>
    </row>
    <row r="428" spans="1:19" x14ac:dyDescent="0.3">
      <c r="A428" s="137">
        <v>284257</v>
      </c>
      <c r="B428" s="305" t="str">
        <f t="shared" si="13"/>
        <v>STRONG 120N bílý Polohovací</v>
      </c>
      <c r="C428" s="137">
        <v>300</v>
      </c>
      <c r="O428" s="137" t="s">
        <v>1103</v>
      </c>
      <c r="P428" s="137" t="s">
        <v>1329</v>
      </c>
      <c r="Q428" s="137" t="s">
        <v>1330</v>
      </c>
      <c r="R428" s="137" t="s">
        <v>1331</v>
      </c>
      <c r="S428" s="314" t="s">
        <v>2006</v>
      </c>
    </row>
    <row r="429" spans="1:19" x14ac:dyDescent="0.3">
      <c r="A429" s="137">
        <v>275672</v>
      </c>
      <c r="B429" s="305" t="str">
        <f t="shared" si="13"/>
        <v>STRONG 30N šedý Automatický</v>
      </c>
      <c r="C429" s="137">
        <v>301</v>
      </c>
      <c r="O429" s="137" t="s">
        <v>1105</v>
      </c>
      <c r="P429" s="137" t="s">
        <v>1105</v>
      </c>
      <c r="Q429" s="137" t="s">
        <v>1332</v>
      </c>
      <c r="R429" s="137" t="s">
        <v>1333</v>
      </c>
      <c r="S429" s="314" t="s">
        <v>2007</v>
      </c>
    </row>
    <row r="430" spans="1:19" x14ac:dyDescent="0.3">
      <c r="A430" s="137">
        <v>275673</v>
      </c>
      <c r="B430" s="305" t="str">
        <f t="shared" si="13"/>
        <v>STRONG 60N šedý Automatický</v>
      </c>
      <c r="C430" s="137">
        <v>302</v>
      </c>
      <c r="O430" s="137" t="s">
        <v>1107</v>
      </c>
      <c r="P430" s="137" t="s">
        <v>1107</v>
      </c>
      <c r="Q430" s="137" t="s">
        <v>1334</v>
      </c>
      <c r="R430" s="137" t="s">
        <v>1335</v>
      </c>
      <c r="S430" s="314" t="s">
        <v>2008</v>
      </c>
    </row>
    <row r="431" spans="1:19" x14ac:dyDescent="0.3">
      <c r="A431" s="137">
        <v>275674</v>
      </c>
      <c r="B431" s="305" t="str">
        <f t="shared" si="13"/>
        <v>STRONG 80N šedý Automatický</v>
      </c>
      <c r="C431" s="137">
        <v>303</v>
      </c>
      <c r="O431" s="137" t="s">
        <v>1109</v>
      </c>
      <c r="P431" s="137" t="s">
        <v>1109</v>
      </c>
      <c r="Q431" s="137" t="s">
        <v>1336</v>
      </c>
      <c r="R431" s="137" t="s">
        <v>1337</v>
      </c>
      <c r="S431" s="314" t="s">
        <v>2009</v>
      </c>
    </row>
    <row r="432" spans="1:19" x14ac:dyDescent="0.3">
      <c r="A432" s="137">
        <v>275675</v>
      </c>
      <c r="B432" s="305" t="str">
        <f t="shared" si="13"/>
        <v>STRONG 100N šedý Automatický</v>
      </c>
      <c r="C432" s="137">
        <v>304</v>
      </c>
      <c r="O432" s="137" t="s">
        <v>1111</v>
      </c>
      <c r="P432" s="137" t="s">
        <v>1111</v>
      </c>
      <c r="Q432" s="137" t="s">
        <v>1338</v>
      </c>
      <c r="R432" s="137" t="s">
        <v>1339</v>
      </c>
      <c r="S432" s="314" t="s">
        <v>2010</v>
      </c>
    </row>
    <row r="433" spans="1:19" x14ac:dyDescent="0.3">
      <c r="A433" s="137">
        <v>275676</v>
      </c>
      <c r="B433" s="305" t="str">
        <f t="shared" si="13"/>
        <v>STRONG 120N šedý Automatický</v>
      </c>
      <c r="C433" s="137">
        <v>305</v>
      </c>
      <c r="O433" s="137" t="s">
        <v>1113</v>
      </c>
      <c r="P433" s="137" t="s">
        <v>1113</v>
      </c>
      <c r="Q433" s="137" t="s">
        <v>1340</v>
      </c>
      <c r="R433" s="137" t="s">
        <v>1341</v>
      </c>
      <c r="S433" s="314" t="s">
        <v>2011</v>
      </c>
    </row>
    <row r="434" spans="1:19" x14ac:dyDescent="0.3">
      <c r="A434" s="137">
        <v>284250</v>
      </c>
      <c r="B434" s="305" t="str">
        <f t="shared" si="13"/>
        <v>STRONG 60N šedý Polohovací</v>
      </c>
      <c r="C434" s="137">
        <v>306</v>
      </c>
      <c r="O434" s="137" t="s">
        <v>1115</v>
      </c>
      <c r="P434" s="137" t="s">
        <v>1115</v>
      </c>
      <c r="Q434" s="137" t="s">
        <v>1342</v>
      </c>
      <c r="R434" s="137" t="s">
        <v>1343</v>
      </c>
      <c r="S434" s="314" t="s">
        <v>2012</v>
      </c>
    </row>
    <row r="435" spans="1:19" x14ac:dyDescent="0.3">
      <c r="A435" s="137">
        <v>284251</v>
      </c>
      <c r="B435" s="305" t="str">
        <f t="shared" si="13"/>
        <v>STRONG 80N šedý Polohovací</v>
      </c>
      <c r="C435" s="137">
        <v>307</v>
      </c>
      <c r="O435" s="137" t="s">
        <v>1117</v>
      </c>
      <c r="P435" s="137" t="s">
        <v>1117</v>
      </c>
      <c r="Q435" s="137" t="s">
        <v>1344</v>
      </c>
      <c r="R435" s="137" t="s">
        <v>1345</v>
      </c>
      <c r="S435" s="314" t="s">
        <v>2013</v>
      </c>
    </row>
    <row r="436" spans="1:19" x14ac:dyDescent="0.3">
      <c r="A436" s="137">
        <v>284252</v>
      </c>
      <c r="B436" s="305" t="str">
        <f t="shared" si="13"/>
        <v>STRONG 100N šedý Polohovací</v>
      </c>
      <c r="C436" s="137">
        <v>308</v>
      </c>
      <c r="O436" s="137" t="s">
        <v>1119</v>
      </c>
      <c r="P436" s="137" t="s">
        <v>1119</v>
      </c>
      <c r="Q436" s="137" t="s">
        <v>1346</v>
      </c>
      <c r="R436" s="137" t="s">
        <v>1347</v>
      </c>
      <c r="S436" s="314" t="s">
        <v>2014</v>
      </c>
    </row>
    <row r="437" spans="1:19" x14ac:dyDescent="0.3">
      <c r="A437" s="137">
        <v>284253</v>
      </c>
      <c r="B437" s="305" t="str">
        <f t="shared" si="13"/>
        <v>STRONG 120N šedý Polohovací</v>
      </c>
      <c r="C437" s="137">
        <v>309</v>
      </c>
      <c r="O437" s="137" t="s">
        <v>1121</v>
      </c>
      <c r="P437" s="137" t="s">
        <v>1121</v>
      </c>
      <c r="Q437" s="137" t="s">
        <v>1348</v>
      </c>
      <c r="R437" s="137" t="s">
        <v>1349</v>
      </c>
      <c r="S437" s="314" t="s">
        <v>2015</v>
      </c>
    </row>
    <row r="438" spans="1:19" x14ac:dyDescent="0.3">
      <c r="A438" s="137" t="s">
        <v>1167</v>
      </c>
      <c r="B438" s="305" t="str">
        <f t="shared" si="13"/>
        <v>HUWIL DUO</v>
      </c>
      <c r="C438" s="137">
        <v>310</v>
      </c>
      <c r="O438" s="137" t="s">
        <v>1123</v>
      </c>
      <c r="P438" s="137" t="s">
        <v>1123</v>
      </c>
      <c r="Q438" s="137" t="s">
        <v>1123</v>
      </c>
      <c r="R438" s="137" t="s">
        <v>1123</v>
      </c>
      <c r="S438" s="314" t="s">
        <v>1123</v>
      </c>
    </row>
    <row r="439" spans="1:19" x14ac:dyDescent="0.3">
      <c r="A439" s="137" t="s">
        <v>1168</v>
      </c>
      <c r="B439" s="305" t="str">
        <f t="shared" si="13"/>
        <v>HUWILIFT MAXI</v>
      </c>
      <c r="C439" s="137">
        <v>311</v>
      </c>
      <c r="O439" s="137" t="s">
        <v>1127</v>
      </c>
      <c r="P439" s="137" t="s">
        <v>1127</v>
      </c>
      <c r="Q439" s="137" t="s">
        <v>1127</v>
      </c>
      <c r="R439" s="137" t="s">
        <v>1127</v>
      </c>
      <c r="S439" s="314" t="s">
        <v>1127</v>
      </c>
    </row>
    <row r="440" spans="1:19" x14ac:dyDescent="0.3">
      <c r="A440" s="137">
        <v>135006</v>
      </c>
      <c r="B440" s="305" t="str">
        <f t="shared" si="13"/>
        <v>KRABY 164 45N</v>
      </c>
      <c r="C440" s="137">
        <v>312</v>
      </c>
      <c r="O440" s="137" t="s">
        <v>756</v>
      </c>
      <c r="P440" s="137" t="s">
        <v>756</v>
      </c>
      <c r="Q440" s="137" t="s">
        <v>756</v>
      </c>
      <c r="R440" s="137" t="s">
        <v>756</v>
      </c>
      <c r="S440" s="314" t="s">
        <v>756</v>
      </c>
    </row>
    <row r="441" spans="1:19" x14ac:dyDescent="0.3">
      <c r="A441" s="137">
        <v>135007</v>
      </c>
      <c r="B441" s="305" t="str">
        <f t="shared" si="13"/>
        <v>KRABY 164 60N</v>
      </c>
      <c r="C441" s="137">
        <v>313</v>
      </c>
      <c r="O441" s="137" t="s">
        <v>757</v>
      </c>
      <c r="P441" s="137" t="s">
        <v>757</v>
      </c>
      <c r="Q441" s="137" t="s">
        <v>757</v>
      </c>
      <c r="R441" s="137" t="s">
        <v>757</v>
      </c>
      <c r="S441" s="314" t="s">
        <v>757</v>
      </c>
    </row>
    <row r="442" spans="1:19" x14ac:dyDescent="0.3">
      <c r="A442" s="137">
        <v>15590</v>
      </c>
      <c r="B442" s="305" t="str">
        <f t="shared" si="13"/>
        <v>KRABY 244 45N</v>
      </c>
      <c r="C442" s="137">
        <v>314</v>
      </c>
      <c r="O442" s="137" t="s">
        <v>758</v>
      </c>
      <c r="P442" s="137" t="s">
        <v>758</v>
      </c>
      <c r="Q442" s="137" t="s">
        <v>758</v>
      </c>
      <c r="R442" s="137" t="s">
        <v>758</v>
      </c>
      <c r="S442" s="314" t="s">
        <v>758</v>
      </c>
    </row>
    <row r="443" spans="1:19" x14ac:dyDescent="0.3">
      <c r="A443" s="137">
        <v>15591</v>
      </c>
      <c r="B443" s="305" t="str">
        <f t="shared" si="13"/>
        <v>KRABY 244 60N</v>
      </c>
      <c r="C443" s="137">
        <v>315</v>
      </c>
      <c r="O443" s="137" t="s">
        <v>759</v>
      </c>
      <c r="P443" s="137" t="s">
        <v>759</v>
      </c>
      <c r="Q443" s="137" t="s">
        <v>759</v>
      </c>
      <c r="R443" s="137" t="s">
        <v>759</v>
      </c>
      <c r="S443" s="314" t="s">
        <v>759</v>
      </c>
    </row>
    <row r="444" spans="1:19" x14ac:dyDescent="0.3">
      <c r="A444" s="137">
        <v>15592</v>
      </c>
      <c r="B444" s="305" t="str">
        <f t="shared" si="13"/>
        <v>KRABY 244 90N</v>
      </c>
      <c r="C444" s="137">
        <v>316</v>
      </c>
      <c r="O444" s="137" t="s">
        <v>760</v>
      </c>
      <c r="P444" s="137" t="s">
        <v>760</v>
      </c>
      <c r="Q444" s="137" t="s">
        <v>760</v>
      </c>
      <c r="R444" s="137" t="s">
        <v>760</v>
      </c>
      <c r="S444" s="314" t="s">
        <v>760</v>
      </c>
    </row>
    <row r="445" spans="1:19" x14ac:dyDescent="0.3">
      <c r="A445" s="137">
        <v>15593</v>
      </c>
      <c r="B445" s="305" t="str">
        <f t="shared" si="13"/>
        <v>KRABY 244 120N</v>
      </c>
      <c r="C445" s="137">
        <v>317</v>
      </c>
      <c r="O445" s="137" t="s">
        <v>761</v>
      </c>
      <c r="P445" s="137" t="s">
        <v>761</v>
      </c>
      <c r="Q445" s="137" t="s">
        <v>761</v>
      </c>
      <c r="R445" s="137" t="s">
        <v>761</v>
      </c>
      <c r="S445" s="314" t="s">
        <v>761</v>
      </c>
    </row>
    <row r="446" spans="1:19" x14ac:dyDescent="0.3">
      <c r="A446" s="137">
        <v>135008</v>
      </c>
      <c r="B446" s="305" t="str">
        <f t="shared" si="13"/>
        <v>KRABY 355 45N</v>
      </c>
      <c r="C446" s="137">
        <v>318</v>
      </c>
      <c r="O446" s="137" t="s">
        <v>762</v>
      </c>
      <c r="P446" s="137" t="s">
        <v>762</v>
      </c>
      <c r="Q446" s="137" t="s">
        <v>762</v>
      </c>
      <c r="R446" s="137" t="s">
        <v>762</v>
      </c>
      <c r="S446" s="314" t="s">
        <v>762</v>
      </c>
    </row>
    <row r="447" spans="1:19" x14ac:dyDescent="0.3">
      <c r="A447" s="137">
        <v>135009</v>
      </c>
      <c r="B447" s="305" t="str">
        <f t="shared" si="13"/>
        <v>KRABY 355 60N</v>
      </c>
      <c r="C447" s="137">
        <v>319</v>
      </c>
      <c r="O447" s="137" t="s">
        <v>763</v>
      </c>
      <c r="P447" s="137" t="s">
        <v>763</v>
      </c>
      <c r="Q447" s="137" t="s">
        <v>763</v>
      </c>
      <c r="R447" s="137" t="s">
        <v>763</v>
      </c>
      <c r="S447" s="314" t="s">
        <v>763</v>
      </c>
    </row>
    <row r="448" spans="1:19" x14ac:dyDescent="0.3">
      <c r="A448" s="137">
        <v>135010</v>
      </c>
      <c r="B448" s="305" t="str">
        <f t="shared" si="13"/>
        <v>KRABY 355 90N</v>
      </c>
      <c r="C448" s="137">
        <v>320</v>
      </c>
      <c r="O448" s="137" t="s">
        <v>764</v>
      </c>
      <c r="P448" s="137" t="s">
        <v>764</v>
      </c>
      <c r="Q448" s="137" t="s">
        <v>764</v>
      </c>
      <c r="R448" s="137" t="s">
        <v>764</v>
      </c>
      <c r="S448" s="314" t="s">
        <v>764</v>
      </c>
    </row>
    <row r="449" spans="1:19" x14ac:dyDescent="0.3">
      <c r="A449" s="137">
        <v>135011</v>
      </c>
      <c r="B449" s="305" t="str">
        <f t="shared" ref="B449:B500" si="14">IF($D$1=1,O:O,IF($D$1=2,P:P,IF($D$1=3,Q:Q,IF($D$1=4,R:R,IF($D$1=5,S:S)))))</f>
        <v>KRABY 355 120N</v>
      </c>
      <c r="C449" s="137">
        <v>321</v>
      </c>
      <c r="O449" s="137" t="s">
        <v>765</v>
      </c>
      <c r="P449" s="137" t="s">
        <v>765</v>
      </c>
      <c r="Q449" s="137" t="s">
        <v>765</v>
      </c>
      <c r="R449" s="137" t="s">
        <v>765</v>
      </c>
      <c r="S449" s="314" t="s">
        <v>765</v>
      </c>
    </row>
    <row r="450" spans="1:19" x14ac:dyDescent="0.3">
      <c r="A450" s="137">
        <v>282471</v>
      </c>
      <c r="B450" s="305" t="str">
        <f t="shared" si="14"/>
        <v>K12 244 50N</v>
      </c>
      <c r="C450" s="137">
        <v>322</v>
      </c>
      <c r="O450" s="137" t="s">
        <v>1139</v>
      </c>
      <c r="P450" s="137" t="s">
        <v>1139</v>
      </c>
      <c r="Q450" s="137" t="s">
        <v>1139</v>
      </c>
      <c r="R450" s="137" t="s">
        <v>1139</v>
      </c>
      <c r="S450" s="314" t="s">
        <v>1139</v>
      </c>
    </row>
    <row r="451" spans="1:19" x14ac:dyDescent="0.3">
      <c r="A451" s="137">
        <v>282472</v>
      </c>
      <c r="B451" s="305" t="str">
        <f t="shared" si="14"/>
        <v>K12 244 80N</v>
      </c>
      <c r="C451" s="137">
        <v>323</v>
      </c>
      <c r="O451" s="137" t="s">
        <v>1141</v>
      </c>
      <c r="P451" s="137" t="s">
        <v>1141</v>
      </c>
      <c r="Q451" s="137" t="s">
        <v>1141</v>
      </c>
      <c r="R451" s="137" t="s">
        <v>1141</v>
      </c>
      <c r="S451" s="314" t="s">
        <v>1141</v>
      </c>
    </row>
    <row r="452" spans="1:19" x14ac:dyDescent="0.3">
      <c r="A452" s="137">
        <v>282473</v>
      </c>
      <c r="B452" s="305" t="str">
        <f t="shared" si="14"/>
        <v>K12 244 100N</v>
      </c>
      <c r="C452" s="137">
        <v>324</v>
      </c>
      <c r="O452" s="137" t="s">
        <v>1143</v>
      </c>
      <c r="P452" s="137" t="s">
        <v>1143</v>
      </c>
      <c r="Q452" s="137" t="s">
        <v>1143</v>
      </c>
      <c r="R452" s="137" t="s">
        <v>1143</v>
      </c>
      <c r="S452" s="314" t="s">
        <v>1143</v>
      </c>
    </row>
    <row r="453" spans="1:19" x14ac:dyDescent="0.3">
      <c r="A453" s="137">
        <v>282474</v>
      </c>
      <c r="B453" s="305" t="str">
        <f t="shared" si="14"/>
        <v>K12 244 120N</v>
      </c>
      <c r="C453" s="137">
        <v>325</v>
      </c>
      <c r="O453" s="137" t="s">
        <v>1145</v>
      </c>
      <c r="P453" s="137" t="s">
        <v>1145</v>
      </c>
      <c r="Q453" s="137" t="s">
        <v>1145</v>
      </c>
      <c r="R453" s="137" t="s">
        <v>1145</v>
      </c>
      <c r="S453" s="314" t="s">
        <v>1145</v>
      </c>
    </row>
    <row r="454" spans="1:19" x14ac:dyDescent="0.3">
      <c r="A454" s="137">
        <v>282475</v>
      </c>
      <c r="B454" s="305" t="str">
        <f t="shared" si="14"/>
        <v>K12 355 60N</v>
      </c>
      <c r="C454" s="137">
        <v>326</v>
      </c>
      <c r="O454" s="137" t="s">
        <v>1147</v>
      </c>
      <c r="P454" s="137" t="s">
        <v>1147</v>
      </c>
      <c r="Q454" s="137" t="s">
        <v>1147</v>
      </c>
      <c r="R454" s="137" t="s">
        <v>1147</v>
      </c>
      <c r="S454" s="314" t="s">
        <v>1147</v>
      </c>
    </row>
    <row r="455" spans="1:19" x14ac:dyDescent="0.3">
      <c r="A455" s="137">
        <v>282476</v>
      </c>
      <c r="B455" s="305" t="str">
        <f t="shared" si="14"/>
        <v>K12 355 90N</v>
      </c>
      <c r="C455" s="137">
        <v>327</v>
      </c>
      <c r="O455" s="137" t="s">
        <v>1149</v>
      </c>
      <c r="P455" s="137" t="s">
        <v>1149</v>
      </c>
      <c r="Q455" s="137" t="s">
        <v>1149</v>
      </c>
      <c r="R455" s="137" t="s">
        <v>1149</v>
      </c>
      <c r="S455" s="314" t="s">
        <v>1149</v>
      </c>
    </row>
    <row r="456" spans="1:19" x14ac:dyDescent="0.3">
      <c r="A456" s="137">
        <v>282477</v>
      </c>
      <c r="B456" s="305" t="str">
        <f t="shared" si="14"/>
        <v>K12 355 110N</v>
      </c>
      <c r="C456" s="137">
        <v>328</v>
      </c>
      <c r="O456" s="137" t="s">
        <v>1151</v>
      </c>
      <c r="P456" s="137" t="s">
        <v>1151</v>
      </c>
      <c r="Q456" s="137" t="s">
        <v>1151</v>
      </c>
      <c r="R456" s="137" t="s">
        <v>1151</v>
      </c>
      <c r="S456" s="314" t="s">
        <v>1151</v>
      </c>
    </row>
    <row r="457" spans="1:19" x14ac:dyDescent="0.3">
      <c r="A457" s="137">
        <v>282478</v>
      </c>
      <c r="B457" s="305" t="str">
        <f t="shared" si="14"/>
        <v>K12 355 130N</v>
      </c>
      <c r="C457" s="137">
        <v>329</v>
      </c>
      <c r="O457" s="137" t="s">
        <v>1153</v>
      </c>
      <c r="P457" s="137" t="s">
        <v>1153</v>
      </c>
      <c r="Q457" s="137" t="s">
        <v>1153</v>
      </c>
      <c r="R457" s="137" t="s">
        <v>1153</v>
      </c>
      <c r="S457" s="314" t="s">
        <v>1153</v>
      </c>
    </row>
    <row r="458" spans="1:19" x14ac:dyDescent="0.3">
      <c r="A458" s="137">
        <v>275689</v>
      </c>
      <c r="B458" s="305" t="str">
        <f t="shared" si="14"/>
        <v>STRONG spodní bílý</v>
      </c>
      <c r="C458" s="137">
        <v>330</v>
      </c>
      <c r="O458" s="137" t="s">
        <v>1155</v>
      </c>
      <c r="P458" s="137" t="s">
        <v>1350</v>
      </c>
      <c r="Q458" s="137" t="s">
        <v>1351</v>
      </c>
      <c r="R458" s="137" t="s">
        <v>1352</v>
      </c>
      <c r="S458" s="314" t="s">
        <v>2016</v>
      </c>
    </row>
    <row r="459" spans="1:19" x14ac:dyDescent="0.3">
      <c r="A459" s="137">
        <v>248167</v>
      </c>
      <c r="B459" s="305" t="str">
        <f t="shared" si="14"/>
        <v>STRONG spodní šedý</v>
      </c>
      <c r="C459" s="137">
        <v>331</v>
      </c>
      <c r="O459" s="137" t="s">
        <v>1157</v>
      </c>
      <c r="P459" s="137" t="s">
        <v>1353</v>
      </c>
      <c r="Q459" s="137" t="s">
        <v>1354</v>
      </c>
      <c r="R459" s="137" t="s">
        <v>1355</v>
      </c>
      <c r="S459" s="314" t="s">
        <v>2017</v>
      </c>
    </row>
    <row r="460" spans="1:19" x14ac:dyDescent="0.3">
      <c r="A460" s="137" t="s">
        <v>1158</v>
      </c>
      <c r="B460" s="305" t="str">
        <f t="shared" si="14"/>
        <v xml:space="preserve">HUWIL DUO (90°) </v>
      </c>
      <c r="C460" s="137">
        <v>332</v>
      </c>
      <c r="O460" s="137" t="s">
        <v>1159</v>
      </c>
      <c r="P460" s="137" t="s">
        <v>1159</v>
      </c>
      <c r="Q460" s="137" t="s">
        <v>1159</v>
      </c>
      <c r="R460" s="137" t="s">
        <v>1159</v>
      </c>
      <c r="S460" s="314" t="s">
        <v>2018</v>
      </c>
    </row>
    <row r="461" spans="1:19" x14ac:dyDescent="0.3">
      <c r="A461" s="137" t="s">
        <v>1160</v>
      </c>
      <c r="B461" s="305" t="str">
        <f t="shared" si="14"/>
        <v>HUWIL DUO FORTE</v>
      </c>
      <c r="C461" s="137">
        <v>333</v>
      </c>
      <c r="O461" s="137" t="s">
        <v>1125</v>
      </c>
      <c r="P461" s="137" t="s">
        <v>1125</v>
      </c>
      <c r="Q461" s="137" t="s">
        <v>1125</v>
      </c>
      <c r="R461" s="137" t="s">
        <v>1125</v>
      </c>
      <c r="S461" s="314" t="s">
        <v>1125</v>
      </c>
    </row>
    <row r="462" spans="1:19" x14ac:dyDescent="0.3">
      <c r="A462" s="137">
        <v>15588</v>
      </c>
      <c r="B462" s="305" t="str">
        <f t="shared" si="14"/>
        <v>KRABY 164 spodní</v>
      </c>
      <c r="C462" s="137">
        <v>334</v>
      </c>
      <c r="O462" s="137" t="s">
        <v>1162</v>
      </c>
      <c r="P462" s="137" t="s">
        <v>1356</v>
      </c>
      <c r="Q462" s="137" t="s">
        <v>1357</v>
      </c>
      <c r="R462" s="137" t="s">
        <v>1358</v>
      </c>
      <c r="S462" s="314" t="s">
        <v>2019</v>
      </c>
    </row>
    <row r="463" spans="1:19" x14ac:dyDescent="0.3">
      <c r="A463" s="137">
        <v>15594</v>
      </c>
      <c r="B463" s="305" t="str">
        <f t="shared" si="14"/>
        <v>KRABY 244 spodní</v>
      </c>
      <c r="C463" s="137">
        <v>335</v>
      </c>
      <c r="O463" s="137" t="s">
        <v>1164</v>
      </c>
      <c r="P463" s="137" t="s">
        <v>1359</v>
      </c>
      <c r="Q463" s="137" t="s">
        <v>1360</v>
      </c>
      <c r="R463" s="137" t="s">
        <v>1361</v>
      </c>
      <c r="S463" s="314" t="s">
        <v>2020</v>
      </c>
    </row>
    <row r="464" spans="1:19" x14ac:dyDescent="0.3">
      <c r="A464" s="137">
        <v>15589</v>
      </c>
      <c r="B464" s="305" t="str">
        <f t="shared" si="14"/>
        <v>KRABY 355 spodní</v>
      </c>
      <c r="C464" s="137">
        <v>336</v>
      </c>
      <c r="O464" s="137" t="s">
        <v>1166</v>
      </c>
      <c r="P464" s="137" t="s">
        <v>1362</v>
      </c>
      <c r="Q464" s="137" t="s">
        <v>1363</v>
      </c>
      <c r="R464" s="137" t="s">
        <v>1364</v>
      </c>
      <c r="S464" s="314" t="s">
        <v>2021</v>
      </c>
    </row>
    <row r="465" spans="1:19" x14ac:dyDescent="0.3">
      <c r="A465" s="137">
        <v>92613</v>
      </c>
      <c r="B465" s="305" t="str">
        <f t="shared" si="14"/>
        <v>k nasunutí na vrut H0</v>
      </c>
      <c r="C465" s="137">
        <v>337</v>
      </c>
      <c r="O465" s="137" t="s">
        <v>1186</v>
      </c>
      <c r="P465" s="137" t="s">
        <v>1365</v>
      </c>
      <c r="Q465" s="137" t="s">
        <v>1366</v>
      </c>
      <c r="R465" s="137" t="s">
        <v>1367</v>
      </c>
      <c r="S465" s="314" t="s">
        <v>2022</v>
      </c>
    </row>
    <row r="466" spans="1:19" x14ac:dyDescent="0.3">
      <c r="A466" s="137">
        <v>92614</v>
      </c>
      <c r="B466" s="305" t="str">
        <f t="shared" si="14"/>
        <v>k nasunutí EURO šroub H0</v>
      </c>
      <c r="C466" s="137">
        <v>338</v>
      </c>
      <c r="O466" s="137" t="s">
        <v>1187</v>
      </c>
      <c r="P466" s="137" t="s">
        <v>1368</v>
      </c>
      <c r="Q466" s="137" t="s">
        <v>1369</v>
      </c>
      <c r="R466" s="137" t="s">
        <v>1370</v>
      </c>
      <c r="S466" s="314" t="s">
        <v>2023</v>
      </c>
    </row>
    <row r="467" spans="1:19" x14ac:dyDescent="0.3">
      <c r="A467" s="137">
        <v>92592</v>
      </c>
      <c r="B467" s="305" t="str">
        <f t="shared" si="14"/>
        <v>k nasunutí na vrut H2</v>
      </c>
      <c r="C467" s="137">
        <v>339</v>
      </c>
      <c r="O467" s="137" t="s">
        <v>1188</v>
      </c>
      <c r="P467" s="137" t="s">
        <v>1371</v>
      </c>
      <c r="Q467" s="137" t="s">
        <v>1372</v>
      </c>
      <c r="R467" s="137" t="s">
        <v>1373</v>
      </c>
      <c r="S467" s="314" t="s">
        <v>2024</v>
      </c>
    </row>
    <row r="468" spans="1:19" x14ac:dyDescent="0.3">
      <c r="A468" s="137">
        <v>92593</v>
      </c>
      <c r="B468" s="305" t="str">
        <f t="shared" si="14"/>
        <v>k nasunutí EURO šroub H2</v>
      </c>
      <c r="C468" s="137">
        <v>340</v>
      </c>
      <c r="O468" s="137" t="s">
        <v>1189</v>
      </c>
      <c r="P468" s="137" t="s">
        <v>1374</v>
      </c>
      <c r="Q468" s="137" t="s">
        <v>1375</v>
      </c>
      <c r="R468" s="137" t="s">
        <v>1376</v>
      </c>
      <c r="S468" s="314" t="s">
        <v>2025</v>
      </c>
    </row>
    <row r="469" spans="1:19" x14ac:dyDescent="0.3">
      <c r="A469" s="137" t="s">
        <v>148</v>
      </c>
      <c r="B469" s="305" t="str">
        <f t="shared" si="14"/>
        <v>Clip na vrut H2</v>
      </c>
      <c r="C469" s="137">
        <v>341</v>
      </c>
      <c r="O469" s="137" t="s">
        <v>212</v>
      </c>
      <c r="P469" s="137" t="s">
        <v>433</v>
      </c>
      <c r="Q469" s="137" t="s">
        <v>497</v>
      </c>
      <c r="R469" s="137" t="s">
        <v>573</v>
      </c>
      <c r="S469" s="314" t="s">
        <v>1850</v>
      </c>
    </row>
    <row r="470" spans="1:19" x14ac:dyDescent="0.3">
      <c r="A470" s="137" t="s">
        <v>117</v>
      </c>
      <c r="B470" s="305" t="str">
        <f t="shared" si="14"/>
        <v>Clip vrut s excentrem H0</v>
      </c>
      <c r="C470" s="137">
        <v>342</v>
      </c>
      <c r="O470" s="137" t="s">
        <v>1191</v>
      </c>
      <c r="P470" s="137" t="s">
        <v>1377</v>
      </c>
      <c r="Q470" s="137" t="s">
        <v>1378</v>
      </c>
      <c r="R470" s="137" t="s">
        <v>1597</v>
      </c>
      <c r="S470" s="314" t="s">
        <v>2026</v>
      </c>
    </row>
    <row r="471" spans="1:19" x14ac:dyDescent="0.3">
      <c r="A471" s="137" t="s">
        <v>1190</v>
      </c>
      <c r="B471" s="305" t="str">
        <f t="shared" si="14"/>
        <v>Clip na vrut H0</v>
      </c>
      <c r="C471" s="137">
        <v>343</v>
      </c>
      <c r="O471" s="137" t="s">
        <v>210</v>
      </c>
      <c r="P471" s="137" t="s">
        <v>449</v>
      </c>
      <c r="Q471" s="137" t="s">
        <v>514</v>
      </c>
      <c r="R471" s="137" t="s">
        <v>590</v>
      </c>
      <c r="S471" s="314" t="s">
        <v>1870</v>
      </c>
    </row>
    <row r="472" spans="1:19" x14ac:dyDescent="0.3">
      <c r="B472" s="305" t="str">
        <f t="shared" si="14"/>
        <v>Minimální možný rozměr rámečku je 140x140mm</v>
      </c>
      <c r="O472" s="137" t="s">
        <v>1384</v>
      </c>
      <c r="P472" s="137" t="s">
        <v>1385</v>
      </c>
      <c r="Q472" s="137" t="s">
        <v>1386</v>
      </c>
      <c r="R472" s="137" t="s">
        <v>1387</v>
      </c>
      <c r="S472" s="314" t="s">
        <v>2027</v>
      </c>
    </row>
    <row r="473" spans="1:19" x14ac:dyDescent="0.3">
      <c r="A473" s="137">
        <v>308058</v>
      </c>
      <c r="B473" s="305" t="str">
        <f t="shared" si="14"/>
        <v xml:space="preserve">Sensys SiSy naložený </v>
      </c>
      <c r="O473" s="226" t="s">
        <v>1389</v>
      </c>
      <c r="P473" s="137" t="s">
        <v>1389</v>
      </c>
      <c r="Q473" s="137" t="s">
        <v>1542</v>
      </c>
      <c r="R473" s="137" t="s">
        <v>1543</v>
      </c>
      <c r="S473" s="314" t="s">
        <v>2028</v>
      </c>
    </row>
    <row r="474" spans="1:19" x14ac:dyDescent="0.3">
      <c r="A474" s="137">
        <v>308454</v>
      </c>
      <c r="B474" s="305" t="str">
        <f t="shared" si="14"/>
        <v xml:space="preserve">Sensys SiSy polonaložený </v>
      </c>
      <c r="O474" s="226" t="s">
        <v>1390</v>
      </c>
      <c r="P474" s="137" t="s">
        <v>1390</v>
      </c>
      <c r="Q474" s="137" t="s">
        <v>1550</v>
      </c>
      <c r="R474" s="137" t="s">
        <v>1551</v>
      </c>
      <c r="S474" s="314" t="s">
        <v>2029</v>
      </c>
    </row>
    <row r="475" spans="1:19" x14ac:dyDescent="0.3">
      <c r="A475" s="137">
        <v>308455</v>
      </c>
      <c r="B475" s="305" t="str">
        <f t="shared" si="14"/>
        <v xml:space="preserve">Sensys SiSy vložený </v>
      </c>
      <c r="O475" s="226" t="s">
        <v>1391</v>
      </c>
      <c r="P475" s="140" t="s">
        <v>1581</v>
      </c>
      <c r="Q475" s="140" t="s">
        <v>1582</v>
      </c>
      <c r="R475" s="140" t="s">
        <v>1583</v>
      </c>
      <c r="S475" s="314" t="s">
        <v>2030</v>
      </c>
    </row>
    <row r="476" spans="1:19" x14ac:dyDescent="0.3">
      <c r="A476" s="137">
        <v>336503</v>
      </c>
      <c r="B476" s="305" t="str">
        <f t="shared" si="14"/>
        <v xml:space="preserve">Sensys P2o naložený </v>
      </c>
      <c r="O476" s="226" t="s">
        <v>1392</v>
      </c>
      <c r="P476" s="137" t="s">
        <v>1392</v>
      </c>
      <c r="Q476" s="137" t="s">
        <v>1544</v>
      </c>
      <c r="R476" s="137" t="s">
        <v>1545</v>
      </c>
      <c r="S476" s="314" t="s">
        <v>2031</v>
      </c>
    </row>
    <row r="477" spans="1:19" x14ac:dyDescent="0.3">
      <c r="A477" s="137">
        <v>336506</v>
      </c>
      <c r="B477" s="305" t="str">
        <f t="shared" si="14"/>
        <v xml:space="preserve">Sensys P2o polonaložený </v>
      </c>
      <c r="O477" s="226" t="s">
        <v>1393</v>
      </c>
      <c r="P477" s="137" t="s">
        <v>1393</v>
      </c>
      <c r="Q477" s="137" t="s">
        <v>1552</v>
      </c>
      <c r="R477" s="137" t="s">
        <v>1553</v>
      </c>
      <c r="S477" s="314" t="s">
        <v>2032</v>
      </c>
    </row>
    <row r="478" spans="1:19" x14ac:dyDescent="0.3">
      <c r="A478" s="137">
        <v>346823</v>
      </c>
      <c r="B478" s="305" t="str">
        <f t="shared" si="14"/>
        <v xml:space="preserve">Sensys P2o vložený </v>
      </c>
      <c r="O478" s="226" t="s">
        <v>1394</v>
      </c>
      <c r="P478" s="140" t="s">
        <v>1584</v>
      </c>
      <c r="Q478" s="140" t="s">
        <v>1585</v>
      </c>
      <c r="R478" s="140" t="s">
        <v>1586</v>
      </c>
      <c r="S478" s="314" t="s">
        <v>2033</v>
      </c>
    </row>
    <row r="479" spans="1:19" x14ac:dyDescent="0.3">
      <c r="A479" s="225">
        <v>300285</v>
      </c>
      <c r="B479" s="305" t="str">
        <f t="shared" si="14"/>
        <v>Sensys naložený P2O</v>
      </c>
      <c r="O479" s="226" t="s">
        <v>1395</v>
      </c>
      <c r="P479" s="137" t="s">
        <v>1392</v>
      </c>
      <c r="Q479" s="137" t="s">
        <v>1544</v>
      </c>
      <c r="R479" s="137" t="s">
        <v>1545</v>
      </c>
      <c r="S479" s="314" t="s">
        <v>2034</v>
      </c>
    </row>
    <row r="480" spans="1:19" x14ac:dyDescent="0.3">
      <c r="A480" s="137">
        <v>306317</v>
      </c>
      <c r="B480" s="305" t="str">
        <f t="shared" si="14"/>
        <v>naložený s tlumením clip 110°, ONYX</v>
      </c>
      <c r="O480" s="137" t="s">
        <v>1396</v>
      </c>
      <c r="P480" s="137" t="s">
        <v>1546</v>
      </c>
      <c r="Q480" s="137" t="s">
        <v>1547</v>
      </c>
      <c r="R480" s="137" t="s">
        <v>1578</v>
      </c>
      <c r="S480" s="314" t="s">
        <v>2035</v>
      </c>
    </row>
    <row r="481" spans="1:19" x14ac:dyDescent="0.3">
      <c r="A481" s="137">
        <v>306318</v>
      </c>
      <c r="B481" s="305" t="str">
        <f t="shared" si="14"/>
        <v>polonaložený s tlumením clip 110°, ONYX</v>
      </c>
      <c r="O481" s="137" t="s">
        <v>1397</v>
      </c>
      <c r="P481" s="137" t="s">
        <v>1548</v>
      </c>
      <c r="Q481" s="137" t="s">
        <v>1549</v>
      </c>
      <c r="R481" s="137" t="s">
        <v>1579</v>
      </c>
      <c r="S481" s="314" t="s">
        <v>2036</v>
      </c>
    </row>
    <row r="482" spans="1:19" x14ac:dyDescent="0.3">
      <c r="A482" s="137">
        <v>306319</v>
      </c>
      <c r="B482" s="305" t="str">
        <f t="shared" si="14"/>
        <v>vložený s tlumením clip 110°, ONYX</v>
      </c>
      <c r="O482" s="137" t="s">
        <v>1398</v>
      </c>
      <c r="P482" s="137" t="s">
        <v>1590</v>
      </c>
      <c r="Q482" s="137" t="s">
        <v>1591</v>
      </c>
      <c r="R482" s="137" t="s">
        <v>1592</v>
      </c>
      <c r="S482" s="314" t="s">
        <v>2037</v>
      </c>
    </row>
    <row r="483" spans="1:19" x14ac:dyDescent="0.3">
      <c r="A483" s="137">
        <v>306329</v>
      </c>
      <c r="B483" s="305" t="str">
        <f t="shared" si="14"/>
        <v>naložený 95°, Onyx</v>
      </c>
      <c r="O483" s="137" t="s">
        <v>1399</v>
      </c>
      <c r="P483" s="137" t="s">
        <v>1566</v>
      </c>
      <c r="Q483" s="137" t="s">
        <v>1567</v>
      </c>
      <c r="R483" s="137" t="s">
        <v>1580</v>
      </c>
      <c r="S483" s="314" t="s">
        <v>2038</v>
      </c>
    </row>
    <row r="484" spans="1:19" x14ac:dyDescent="0.3">
      <c r="B484" s="305" t="str">
        <f t="shared" si="14"/>
        <v>STRONG Plus</v>
      </c>
      <c r="O484" s="137" t="s">
        <v>1408</v>
      </c>
      <c r="P484" s="137" t="s">
        <v>1408</v>
      </c>
      <c r="Q484" s="137" t="s">
        <v>1408</v>
      </c>
      <c r="R484" s="137" t="s">
        <v>1408</v>
      </c>
      <c r="S484" s="314" t="s">
        <v>1408</v>
      </c>
    </row>
    <row r="485" spans="1:19" x14ac:dyDescent="0.3">
      <c r="A485" s="137">
        <v>350837</v>
      </c>
      <c r="B485" s="305" t="str">
        <f t="shared" si="14"/>
        <v>Strong Plus naložený clip bez pružiny</v>
      </c>
      <c r="O485" s="137" t="s">
        <v>1694</v>
      </c>
      <c r="P485" s="140" t="s">
        <v>1554</v>
      </c>
      <c r="Q485" s="140" t="s">
        <v>1558</v>
      </c>
      <c r="R485" s="140" t="s">
        <v>1559</v>
      </c>
      <c r="S485" s="314" t="s">
        <v>2039</v>
      </c>
    </row>
    <row r="486" spans="1:19" x14ac:dyDescent="0.3">
      <c r="A486" s="137">
        <v>350838</v>
      </c>
      <c r="B486" s="305" t="str">
        <f t="shared" si="14"/>
        <v>Strong Plus naložený clip bez pružiny</v>
      </c>
      <c r="O486" s="137" t="s">
        <v>1694</v>
      </c>
      <c r="P486" s="140" t="s">
        <v>1555</v>
      </c>
      <c r="Q486" s="140" t="s">
        <v>1561</v>
      </c>
      <c r="R486" s="140" t="s">
        <v>1560</v>
      </c>
      <c r="S486" s="314" t="s">
        <v>2039</v>
      </c>
    </row>
    <row r="487" spans="1:19" x14ac:dyDescent="0.3">
      <c r="A487" s="137">
        <v>350839</v>
      </c>
      <c r="B487" s="305" t="str">
        <f t="shared" si="14"/>
        <v>Storng Plus vložený clip bez pružiny</v>
      </c>
      <c r="O487" s="137" t="s">
        <v>1598</v>
      </c>
      <c r="P487" s="140" t="s">
        <v>1599</v>
      </c>
      <c r="Q487" s="140" t="s">
        <v>1600</v>
      </c>
      <c r="R487" s="140" t="s">
        <v>1601</v>
      </c>
      <c r="S487" s="314" t="s">
        <v>2040</v>
      </c>
    </row>
    <row r="488" spans="1:19" x14ac:dyDescent="0.3">
      <c r="A488" s="137">
        <v>350856</v>
      </c>
      <c r="B488" s="305" t="str">
        <f t="shared" si="14"/>
        <v>Strong Plus 30° clip bez pružiny</v>
      </c>
      <c r="O488" s="137" t="s">
        <v>1602</v>
      </c>
      <c r="P488" s="140" t="s">
        <v>1603</v>
      </c>
      <c r="Q488" s="140" t="s">
        <v>1604</v>
      </c>
      <c r="R488" s="140" t="s">
        <v>1605</v>
      </c>
      <c r="S488" s="314" t="s">
        <v>2041</v>
      </c>
    </row>
    <row r="489" spans="1:19" x14ac:dyDescent="0.3">
      <c r="A489" s="365">
        <v>350827</v>
      </c>
      <c r="B489" s="305" t="str">
        <f t="shared" si="14"/>
        <v>Strong Plus naložený clip</v>
      </c>
      <c r="O489" s="137" t="s">
        <v>1557</v>
      </c>
      <c r="P489" s="137" t="s">
        <v>1557</v>
      </c>
      <c r="Q489" s="137" t="s">
        <v>1562</v>
      </c>
      <c r="R489" s="137" t="s">
        <v>1563</v>
      </c>
      <c r="S489" s="314" t="s">
        <v>2042</v>
      </c>
    </row>
    <row r="490" spans="1:19" x14ac:dyDescent="0.3">
      <c r="A490" s="365">
        <v>350828</v>
      </c>
      <c r="B490" s="305" t="str">
        <f t="shared" si="14"/>
        <v>Strong Plus polonaložený clip</v>
      </c>
      <c r="O490" s="137" t="s">
        <v>1556</v>
      </c>
      <c r="P490" s="137" t="s">
        <v>1556</v>
      </c>
      <c r="Q490" s="137" t="s">
        <v>1564</v>
      </c>
      <c r="R490" s="137" t="s">
        <v>1565</v>
      </c>
      <c r="S490" s="314" t="s">
        <v>2043</v>
      </c>
    </row>
    <row r="491" spans="1:19" x14ac:dyDescent="0.3">
      <c r="A491" s="365">
        <v>350829</v>
      </c>
      <c r="B491" s="305" t="str">
        <f t="shared" si="14"/>
        <v>Strong Plus vložený clip</v>
      </c>
      <c r="O491" s="137" t="s">
        <v>1587</v>
      </c>
      <c r="P491" s="140" t="s">
        <v>1587</v>
      </c>
      <c r="Q491" s="140" t="s">
        <v>1588</v>
      </c>
      <c r="R491" s="140" t="s">
        <v>1589</v>
      </c>
      <c r="S491" s="314" t="s">
        <v>2044</v>
      </c>
    </row>
    <row r="492" spans="1:19" x14ac:dyDescent="0.3">
      <c r="A492" s="365">
        <v>350854</v>
      </c>
      <c r="B492" s="305" t="str">
        <f t="shared" si="14"/>
        <v>Strong Plus 30°clip</v>
      </c>
      <c r="O492" s="137" t="s">
        <v>1606</v>
      </c>
      <c r="P492" s="137" t="s">
        <v>1606</v>
      </c>
      <c r="Q492" s="137" t="s">
        <v>1606</v>
      </c>
      <c r="R492" s="137" t="s">
        <v>1606</v>
      </c>
      <c r="S492" s="314" t="s">
        <v>2045</v>
      </c>
    </row>
    <row r="493" spans="1:19" x14ac:dyDescent="0.3">
      <c r="A493" s="82">
        <v>350863</v>
      </c>
      <c r="B493" s="305" t="str">
        <f t="shared" si="14"/>
        <v>Strong Plus naložený clip</v>
      </c>
      <c r="O493" s="137" t="s">
        <v>1557</v>
      </c>
      <c r="P493" s="137" t="s">
        <v>1557</v>
      </c>
      <c r="Q493" s="137" t="s">
        <v>1562</v>
      </c>
      <c r="R493" s="137" t="s">
        <v>1563</v>
      </c>
      <c r="S493" s="314" t="s">
        <v>2042</v>
      </c>
    </row>
    <row r="494" spans="1:19" x14ac:dyDescent="0.3">
      <c r="A494" s="82">
        <v>350864</v>
      </c>
      <c r="B494" s="305" t="str">
        <f t="shared" si="14"/>
        <v>Strong Plus naložený clip bez pružiny</v>
      </c>
      <c r="O494" s="137" t="s">
        <v>1694</v>
      </c>
      <c r="P494" s="140" t="s">
        <v>1554</v>
      </c>
      <c r="Q494" s="140" t="s">
        <v>1558</v>
      </c>
      <c r="R494" s="140" t="s">
        <v>1559</v>
      </c>
      <c r="S494" s="314" t="s">
        <v>2039</v>
      </c>
    </row>
    <row r="495" spans="1:19" x14ac:dyDescent="0.3">
      <c r="A495" s="82">
        <v>315856</v>
      </c>
      <c r="B495" s="305" t="str">
        <f t="shared" si="14"/>
        <v>Strong Plus Clip vrut s excentrem H0</v>
      </c>
      <c r="O495" s="137" t="s">
        <v>1711</v>
      </c>
      <c r="P495" s="137" t="s">
        <v>1712</v>
      </c>
      <c r="Q495" s="137" t="s">
        <v>1713</v>
      </c>
      <c r="R495" s="137" t="s">
        <v>1714</v>
      </c>
      <c r="S495" s="314" t="s">
        <v>2046</v>
      </c>
    </row>
    <row r="496" spans="1:19" x14ac:dyDescent="0.3">
      <c r="A496" s="82">
        <v>350868</v>
      </c>
      <c r="B496" s="305" t="str">
        <f t="shared" si="14"/>
        <v>Strong Plus Clip vrut s excentrem H2</v>
      </c>
      <c r="O496" s="137" t="s">
        <v>1715</v>
      </c>
      <c r="P496" s="137" t="s">
        <v>1716</v>
      </c>
      <c r="Q496" s="137" t="s">
        <v>1717</v>
      </c>
      <c r="R496" s="137" t="s">
        <v>1718</v>
      </c>
      <c r="S496" s="314" t="s">
        <v>2047</v>
      </c>
    </row>
    <row r="497" spans="2:19" x14ac:dyDescent="0.3">
      <c r="B497" s="305" t="str">
        <f t="shared" si="14"/>
        <v>Úvod</v>
      </c>
      <c r="O497" s="137" t="s">
        <v>1607</v>
      </c>
      <c r="P497" s="137" t="s">
        <v>1607</v>
      </c>
      <c r="Q497" s="137" t="s">
        <v>1608</v>
      </c>
      <c r="R497" s="137" t="s">
        <v>1609</v>
      </c>
      <c r="S497" s="314" t="s">
        <v>2048</v>
      </c>
    </row>
    <row r="498" spans="2:19" x14ac:dyDescent="0.3">
      <c r="B498" s="305" t="str">
        <f t="shared" si="14"/>
        <v>Maximální možný rozměr rámečku Corleone je 1500x600mm</v>
      </c>
      <c r="C498" s="137">
        <v>164</v>
      </c>
      <c r="O498" s="17" t="s">
        <v>1620</v>
      </c>
      <c r="P498" s="137" t="s">
        <v>1621</v>
      </c>
      <c r="Q498" s="137" t="s">
        <v>1622</v>
      </c>
      <c r="R498" s="137" t="s">
        <v>1623</v>
      </c>
      <c r="S498" s="314" t="s">
        <v>2049</v>
      </c>
    </row>
    <row r="499" spans="2:19" x14ac:dyDescent="0.3">
      <c r="B499" s="305" t="str">
        <f t="shared" si="14"/>
        <v>Rámeček</v>
      </c>
      <c r="O499" s="17" t="s">
        <v>1821</v>
      </c>
      <c r="P499" s="224" t="s">
        <v>1822</v>
      </c>
      <c r="Q499" s="224" t="s">
        <v>2058</v>
      </c>
      <c r="R499" s="224" t="s">
        <v>2056</v>
      </c>
      <c r="S499" s="366" t="s">
        <v>2057</v>
      </c>
    </row>
    <row r="500" spans="2:19" x14ac:dyDescent="0.3">
      <c r="B500" s="305" t="str">
        <f t="shared" si="14"/>
        <v>Přejít na:</v>
      </c>
      <c r="O500" s="17" t="s">
        <v>2059</v>
      </c>
      <c r="P500" s="224" t="s">
        <v>2063</v>
      </c>
      <c r="Q500" s="224" t="s">
        <v>2061</v>
      </c>
      <c r="R500" s="224" t="s">
        <v>2062</v>
      </c>
      <c r="S500" s="366" t="s">
        <v>2060</v>
      </c>
    </row>
    <row r="501" spans="2:19" x14ac:dyDescent="0.3">
      <c r="B501" s="349" t="s">
        <v>2050</v>
      </c>
      <c r="O501" s="137" t="s">
        <v>2050</v>
      </c>
      <c r="P501" s="137" t="s">
        <v>2051</v>
      </c>
      <c r="Q501" s="137" t="s">
        <v>2052</v>
      </c>
      <c r="R501" s="137" t="s">
        <v>2053</v>
      </c>
      <c r="S501" s="366" t="s">
        <v>2054</v>
      </c>
    </row>
    <row r="502" spans="2:19" x14ac:dyDescent="0.3">
      <c r="B502" s="349"/>
      <c r="O502" s="137"/>
    </row>
    <row r="503" spans="2:19" x14ac:dyDescent="0.3">
      <c r="B503" s="349"/>
      <c r="O503" s="137"/>
    </row>
    <row r="504" spans="2:19" x14ac:dyDescent="0.3">
      <c r="B504" s="349"/>
      <c r="O504" s="137"/>
    </row>
    <row r="505" spans="2:19" x14ac:dyDescent="0.3">
      <c r="B505" s="349"/>
      <c r="O505" s="137"/>
    </row>
    <row r="506" spans="2:19" x14ac:dyDescent="0.3">
      <c r="B506" s="349"/>
      <c r="O506" s="137"/>
    </row>
    <row r="507" spans="2:19" x14ac:dyDescent="0.3">
      <c r="B507" s="349"/>
      <c r="O507" s="137"/>
    </row>
    <row r="508" spans="2:19" x14ac:dyDescent="0.3">
      <c r="B508" s="349"/>
      <c r="O508" s="137"/>
    </row>
    <row r="509" spans="2:19" x14ac:dyDescent="0.3">
      <c r="B509" s="349"/>
      <c r="O509" s="137"/>
    </row>
    <row r="510" spans="2:19" x14ac:dyDescent="0.3">
      <c r="B510" s="349"/>
      <c r="O510" s="137"/>
    </row>
    <row r="511" spans="2:19" x14ac:dyDescent="0.3">
      <c r="B511" s="349"/>
      <c r="O511" s="137"/>
    </row>
    <row r="512" spans="2:19" x14ac:dyDescent="0.3">
      <c r="B512" s="349"/>
      <c r="O512" s="137"/>
    </row>
    <row r="513" spans="2:15" x14ac:dyDescent="0.3">
      <c r="B513" s="349"/>
      <c r="O513" s="137"/>
    </row>
    <row r="514" spans="2:15" x14ac:dyDescent="0.3">
      <c r="B514" s="349"/>
      <c r="O514" s="137"/>
    </row>
    <row r="515" spans="2:15" x14ac:dyDescent="0.3">
      <c r="B515" s="349"/>
      <c r="O515" s="137"/>
    </row>
    <row r="516" spans="2:15" x14ac:dyDescent="0.3">
      <c r="B516" s="349"/>
      <c r="O516" s="137"/>
    </row>
    <row r="517" spans="2:15" x14ac:dyDescent="0.3">
      <c r="B517" s="349"/>
      <c r="O517" s="137"/>
    </row>
    <row r="518" spans="2:15" x14ac:dyDescent="0.3">
      <c r="B518" s="349"/>
      <c r="O518" s="137"/>
    </row>
    <row r="519" spans="2:15" x14ac:dyDescent="0.3">
      <c r="B519" s="349"/>
      <c r="O519" s="137"/>
    </row>
    <row r="520" spans="2:15" x14ac:dyDescent="0.3">
      <c r="B520" s="349"/>
      <c r="O520" s="137"/>
    </row>
    <row r="521" spans="2:15" x14ac:dyDescent="0.3">
      <c r="B521" s="349"/>
      <c r="O521" s="137"/>
    </row>
    <row r="522" spans="2:15" x14ac:dyDescent="0.3">
      <c r="B522" s="349"/>
      <c r="O522" s="137"/>
    </row>
    <row r="523" spans="2:15" x14ac:dyDescent="0.3">
      <c r="B523" s="349"/>
      <c r="O523" s="137"/>
    </row>
    <row r="524" spans="2:15" x14ac:dyDescent="0.3">
      <c r="B524" s="349"/>
      <c r="O524" s="137"/>
    </row>
    <row r="525" spans="2:15" x14ac:dyDescent="0.3">
      <c r="B525" s="349"/>
      <c r="O525" s="137"/>
    </row>
    <row r="526" spans="2:15" x14ac:dyDescent="0.3">
      <c r="B526" s="349"/>
      <c r="O526" s="137"/>
    </row>
    <row r="527" spans="2:15" x14ac:dyDescent="0.3">
      <c r="B527" s="349"/>
      <c r="O527" s="137"/>
    </row>
    <row r="528" spans="2:15" x14ac:dyDescent="0.3">
      <c r="B528" s="349"/>
      <c r="O528" s="137"/>
    </row>
    <row r="529" spans="2:15" x14ac:dyDescent="0.3">
      <c r="B529" s="349"/>
      <c r="O529" s="137"/>
    </row>
    <row r="530" spans="2:15" x14ac:dyDescent="0.3">
      <c r="B530" s="349"/>
      <c r="O530" s="137"/>
    </row>
    <row r="531" spans="2:15" x14ac:dyDescent="0.3">
      <c r="B531" s="349"/>
      <c r="O531" s="137"/>
    </row>
    <row r="532" spans="2:15" x14ac:dyDescent="0.3">
      <c r="B532" s="349"/>
      <c r="O532" s="137"/>
    </row>
    <row r="533" spans="2:15" x14ac:dyDescent="0.3">
      <c r="B533" s="349"/>
      <c r="O533" s="137"/>
    </row>
    <row r="534" spans="2:15" x14ac:dyDescent="0.3">
      <c r="B534" s="349"/>
      <c r="O534" s="137"/>
    </row>
    <row r="535" spans="2:15" x14ac:dyDescent="0.3">
      <c r="B535" s="349"/>
      <c r="O535" s="137"/>
    </row>
    <row r="536" spans="2:15" x14ac:dyDescent="0.3">
      <c r="B536" s="349"/>
      <c r="O536" s="137"/>
    </row>
    <row r="537" spans="2:15" x14ac:dyDescent="0.3">
      <c r="B537" s="349"/>
      <c r="O537" s="137"/>
    </row>
    <row r="538" spans="2:15" x14ac:dyDescent="0.3">
      <c r="B538" s="349"/>
      <c r="O538" s="137"/>
    </row>
    <row r="539" spans="2:15" x14ac:dyDescent="0.3">
      <c r="B539" s="349"/>
      <c r="O539" s="137"/>
    </row>
    <row r="540" spans="2:15" x14ac:dyDescent="0.3">
      <c r="B540" s="349"/>
      <c r="O540" s="137"/>
    </row>
    <row r="541" spans="2:15" x14ac:dyDescent="0.3">
      <c r="B541" s="349"/>
      <c r="O541" s="137"/>
    </row>
    <row r="542" spans="2:15" x14ac:dyDescent="0.3">
      <c r="B542" s="349"/>
      <c r="O542" s="137"/>
    </row>
    <row r="543" spans="2:15" x14ac:dyDescent="0.3">
      <c r="B543" s="349"/>
      <c r="O543" s="137"/>
    </row>
    <row r="544" spans="2:15" x14ac:dyDescent="0.3">
      <c r="B544" s="349"/>
      <c r="O544" s="137"/>
    </row>
    <row r="545" spans="2:15" x14ac:dyDescent="0.3">
      <c r="B545" s="349"/>
      <c r="O545" s="137"/>
    </row>
    <row r="546" spans="2:15" x14ac:dyDescent="0.3">
      <c r="B546" s="349"/>
      <c r="O546" s="137"/>
    </row>
    <row r="547" spans="2:15" x14ac:dyDescent="0.3">
      <c r="B547" s="349"/>
      <c r="O547" s="137"/>
    </row>
    <row r="548" spans="2:15" x14ac:dyDescent="0.3">
      <c r="B548" s="349"/>
      <c r="O548" s="137"/>
    </row>
    <row r="549" spans="2:15" x14ac:dyDescent="0.3">
      <c r="B549" s="349"/>
      <c r="O549" s="137"/>
    </row>
    <row r="550" spans="2:15" x14ac:dyDescent="0.3">
      <c r="B550" s="349"/>
      <c r="O550" s="137"/>
    </row>
    <row r="551" spans="2:15" x14ac:dyDescent="0.3">
      <c r="B551" s="349"/>
      <c r="O551" s="137"/>
    </row>
    <row r="552" spans="2:15" x14ac:dyDescent="0.3">
      <c r="B552" s="349"/>
      <c r="O552" s="137"/>
    </row>
    <row r="553" spans="2:15" x14ac:dyDescent="0.3">
      <c r="B553" s="349"/>
      <c r="O553" s="137"/>
    </row>
    <row r="554" spans="2:15" x14ac:dyDescent="0.3">
      <c r="B554" s="349"/>
      <c r="O554" s="137"/>
    </row>
    <row r="555" spans="2:15" x14ac:dyDescent="0.3">
      <c r="B555" s="349"/>
      <c r="O555" s="137"/>
    </row>
    <row r="556" spans="2:15" x14ac:dyDescent="0.3">
      <c r="B556" s="349"/>
      <c r="O556" s="137"/>
    </row>
    <row r="557" spans="2:15" x14ac:dyDescent="0.3">
      <c r="B557" s="349"/>
      <c r="O557" s="137"/>
    </row>
    <row r="558" spans="2:15" x14ac:dyDescent="0.3">
      <c r="B558" s="349"/>
      <c r="O558" s="137"/>
    </row>
    <row r="559" spans="2:15" x14ac:dyDescent="0.3">
      <c r="B559" s="349"/>
      <c r="O559" s="137"/>
    </row>
    <row r="560" spans="2:15" x14ac:dyDescent="0.3">
      <c r="B560" s="349"/>
      <c r="O560" s="137"/>
    </row>
    <row r="561" spans="2:15" x14ac:dyDescent="0.3">
      <c r="B561" s="349"/>
      <c r="O561" s="137"/>
    </row>
    <row r="562" spans="2:15" x14ac:dyDescent="0.3">
      <c r="B562" s="349"/>
      <c r="O562" s="137"/>
    </row>
    <row r="563" spans="2:15" x14ac:dyDescent="0.3">
      <c r="B563" s="349"/>
      <c r="O563" s="137"/>
    </row>
    <row r="564" spans="2:15" x14ac:dyDescent="0.3">
      <c r="B564" s="349"/>
      <c r="O564" s="137"/>
    </row>
    <row r="565" spans="2:15" x14ac:dyDescent="0.3">
      <c r="B565" s="349"/>
      <c r="O565" s="137"/>
    </row>
    <row r="566" spans="2:15" x14ac:dyDescent="0.3">
      <c r="B566" s="349"/>
      <c r="O566" s="137"/>
    </row>
    <row r="567" spans="2:15" x14ac:dyDescent="0.3">
      <c r="B567" s="349"/>
      <c r="O567" s="137"/>
    </row>
    <row r="568" spans="2:15" x14ac:dyDescent="0.3">
      <c r="B568" s="349"/>
      <c r="O568" s="137"/>
    </row>
    <row r="569" spans="2:15" x14ac:dyDescent="0.3">
      <c r="B569" s="349"/>
      <c r="O569" s="137"/>
    </row>
    <row r="570" spans="2:15" x14ac:dyDescent="0.3">
      <c r="B570" s="349"/>
      <c r="O570" s="137"/>
    </row>
    <row r="571" spans="2:15" x14ac:dyDescent="0.3">
      <c r="B571" s="349"/>
      <c r="O571" s="137"/>
    </row>
    <row r="572" spans="2:15" x14ac:dyDescent="0.3">
      <c r="B572" s="349"/>
      <c r="O572" s="137"/>
    </row>
    <row r="573" spans="2:15" x14ac:dyDescent="0.3">
      <c r="B573" s="349"/>
      <c r="O573" s="137"/>
    </row>
    <row r="574" spans="2:15" x14ac:dyDescent="0.3">
      <c r="B574" s="349"/>
      <c r="O574" s="137"/>
    </row>
    <row r="575" spans="2:15" x14ac:dyDescent="0.3">
      <c r="B575" s="349"/>
      <c r="O575" s="137"/>
    </row>
    <row r="576" spans="2:15" x14ac:dyDescent="0.3">
      <c r="B576" s="349"/>
      <c r="O576" s="137"/>
    </row>
    <row r="577" spans="2:15" x14ac:dyDescent="0.3">
      <c r="B577" s="349"/>
      <c r="O577" s="137"/>
    </row>
    <row r="578" spans="2:15" x14ac:dyDescent="0.3">
      <c r="B578" s="349"/>
      <c r="O578" s="137"/>
    </row>
    <row r="579" spans="2:15" x14ac:dyDescent="0.3">
      <c r="B579" s="349"/>
      <c r="O579" s="137"/>
    </row>
    <row r="580" spans="2:15" x14ac:dyDescent="0.3">
      <c r="B580" s="349"/>
      <c r="O580" s="137"/>
    </row>
    <row r="581" spans="2:15" x14ac:dyDescent="0.3">
      <c r="B581" s="349"/>
      <c r="O581" s="137"/>
    </row>
    <row r="582" spans="2:15" x14ac:dyDescent="0.3">
      <c r="B582" s="349"/>
      <c r="O582" s="137"/>
    </row>
    <row r="583" spans="2:15" x14ac:dyDescent="0.3">
      <c r="B583" s="349"/>
      <c r="O583" s="137"/>
    </row>
    <row r="584" spans="2:15" x14ac:dyDescent="0.3">
      <c r="B584" s="349"/>
      <c r="O584" s="137"/>
    </row>
    <row r="585" spans="2:15" x14ac:dyDescent="0.3">
      <c r="B585" s="349"/>
      <c r="O585" s="137"/>
    </row>
    <row r="586" spans="2:15" x14ac:dyDescent="0.3">
      <c r="B586" s="349"/>
      <c r="O586" s="137"/>
    </row>
    <row r="587" spans="2:15" x14ac:dyDescent="0.3">
      <c r="B587" s="349"/>
      <c r="O587" s="137"/>
    </row>
    <row r="588" spans="2:15" x14ac:dyDescent="0.3">
      <c r="B588" s="349"/>
      <c r="O588" s="137"/>
    </row>
    <row r="589" spans="2:15" x14ac:dyDescent="0.3">
      <c r="B589" s="349"/>
      <c r="O589" s="137"/>
    </row>
    <row r="590" spans="2:15" x14ac:dyDescent="0.3">
      <c r="B590" s="349"/>
      <c r="O590" s="137"/>
    </row>
    <row r="591" spans="2:15" x14ac:dyDescent="0.3">
      <c r="B591" s="349"/>
      <c r="O591" s="137"/>
    </row>
    <row r="592" spans="2:15" x14ac:dyDescent="0.3">
      <c r="B592" s="349"/>
      <c r="O592" s="137"/>
    </row>
    <row r="593" spans="2:15" x14ac:dyDescent="0.3">
      <c r="B593" s="349"/>
      <c r="O593" s="137"/>
    </row>
    <row r="594" spans="2:15" x14ac:dyDescent="0.3">
      <c r="B594" s="349"/>
      <c r="O594" s="137"/>
    </row>
    <row r="595" spans="2:15" x14ac:dyDescent="0.3">
      <c r="B595" s="349"/>
      <c r="O595" s="137"/>
    </row>
    <row r="596" spans="2:15" x14ac:dyDescent="0.3">
      <c r="B596" s="349"/>
      <c r="O596" s="137"/>
    </row>
    <row r="597" spans="2:15" x14ac:dyDescent="0.3">
      <c r="B597" s="349"/>
      <c r="O597" s="137"/>
    </row>
    <row r="598" spans="2:15" x14ac:dyDescent="0.3">
      <c r="B598" s="349"/>
      <c r="O598" s="137"/>
    </row>
    <row r="599" spans="2:15" x14ac:dyDescent="0.3">
      <c r="B599" s="349"/>
      <c r="O599" s="137"/>
    </row>
    <row r="600" spans="2:15" x14ac:dyDescent="0.3">
      <c r="B600" s="349"/>
      <c r="O600" s="137"/>
    </row>
    <row r="601" spans="2:15" x14ac:dyDescent="0.3">
      <c r="B601" s="349"/>
      <c r="O601" s="137"/>
    </row>
    <row r="602" spans="2:15" x14ac:dyDescent="0.3">
      <c r="B602" s="349"/>
      <c r="O602" s="137"/>
    </row>
    <row r="603" spans="2:15" x14ac:dyDescent="0.3">
      <c r="B603" s="349"/>
      <c r="O603" s="137"/>
    </row>
    <row r="604" spans="2:15" x14ac:dyDescent="0.3">
      <c r="B604" s="349"/>
      <c r="O604" s="137"/>
    </row>
    <row r="605" spans="2:15" x14ac:dyDescent="0.3">
      <c r="B605" s="349"/>
      <c r="O605" s="137"/>
    </row>
    <row r="606" spans="2:15" x14ac:dyDescent="0.3">
      <c r="B606" s="349"/>
      <c r="O606" s="137"/>
    </row>
    <row r="607" spans="2:15" x14ac:dyDescent="0.3">
      <c r="B607" s="349"/>
      <c r="O607" s="137"/>
    </row>
    <row r="608" spans="2:15" x14ac:dyDescent="0.3">
      <c r="B608" s="349"/>
      <c r="O608" s="137"/>
    </row>
    <row r="609" spans="2:15" x14ac:dyDescent="0.3">
      <c r="B609" s="349"/>
      <c r="O609" s="137"/>
    </row>
    <row r="610" spans="2:15" x14ac:dyDescent="0.3">
      <c r="B610" s="349"/>
      <c r="O610" s="137"/>
    </row>
    <row r="611" spans="2:15" x14ac:dyDescent="0.3">
      <c r="B611" s="349"/>
      <c r="O611" s="137"/>
    </row>
    <row r="612" spans="2:15" x14ac:dyDescent="0.3">
      <c r="B612" s="349"/>
      <c r="O612" s="137"/>
    </row>
    <row r="613" spans="2:15" x14ac:dyDescent="0.3">
      <c r="B613" s="349"/>
      <c r="O613" s="137"/>
    </row>
    <row r="614" spans="2:15" x14ac:dyDescent="0.3">
      <c r="B614" s="349"/>
      <c r="O614" s="137"/>
    </row>
    <row r="615" spans="2:15" x14ac:dyDescent="0.3">
      <c r="B615" s="349"/>
      <c r="O615" s="137"/>
    </row>
    <row r="616" spans="2:15" x14ac:dyDescent="0.3">
      <c r="B616" s="349"/>
      <c r="O616" s="137"/>
    </row>
    <row r="617" spans="2:15" x14ac:dyDescent="0.3">
      <c r="B617" s="349"/>
      <c r="O617" s="137"/>
    </row>
    <row r="618" spans="2:15" x14ac:dyDescent="0.3">
      <c r="B618" s="349"/>
      <c r="O618" s="137"/>
    </row>
    <row r="619" spans="2:15" x14ac:dyDescent="0.3">
      <c r="B619" s="349"/>
      <c r="O619" s="137"/>
    </row>
    <row r="620" spans="2:15" x14ac:dyDescent="0.3">
      <c r="B620" s="349"/>
      <c r="O620" s="137"/>
    </row>
    <row r="621" spans="2:15" x14ac:dyDescent="0.3">
      <c r="B621" s="349"/>
      <c r="O621" s="137"/>
    </row>
    <row r="622" spans="2:15" x14ac:dyDescent="0.3">
      <c r="B622" s="349"/>
      <c r="O622" s="137"/>
    </row>
    <row r="623" spans="2:15" x14ac:dyDescent="0.3">
      <c r="B623" s="349"/>
      <c r="O623" s="137"/>
    </row>
    <row r="624" spans="2:15" x14ac:dyDescent="0.3">
      <c r="B624" s="349"/>
      <c r="O624" s="137"/>
    </row>
    <row r="625" spans="2:15" x14ac:dyDescent="0.3">
      <c r="B625" s="349"/>
      <c r="O625" s="137"/>
    </row>
    <row r="626" spans="2:15" x14ac:dyDescent="0.3">
      <c r="B626" s="349"/>
      <c r="O626" s="137"/>
    </row>
    <row r="627" spans="2:15" x14ac:dyDescent="0.3">
      <c r="B627" s="349"/>
      <c r="O627" s="137"/>
    </row>
    <row r="628" spans="2:15" x14ac:dyDescent="0.3">
      <c r="B628" s="349"/>
      <c r="O628" s="137"/>
    </row>
    <row r="629" spans="2:15" x14ac:dyDescent="0.3">
      <c r="B629" s="349"/>
      <c r="O629" s="137"/>
    </row>
    <row r="630" spans="2:15" x14ac:dyDescent="0.3">
      <c r="B630" s="349"/>
      <c r="O630" s="137"/>
    </row>
    <row r="631" spans="2:15" x14ac:dyDescent="0.3">
      <c r="B631" s="349"/>
      <c r="O631" s="137"/>
    </row>
    <row r="632" spans="2:15" x14ac:dyDescent="0.3">
      <c r="B632" s="349"/>
      <c r="O632" s="137"/>
    </row>
    <row r="633" spans="2:15" x14ac:dyDescent="0.3">
      <c r="B633" s="349"/>
      <c r="O633" s="137"/>
    </row>
    <row r="634" spans="2:15" x14ac:dyDescent="0.3">
      <c r="B634" s="349"/>
      <c r="O634" s="137"/>
    </row>
    <row r="635" spans="2:15" x14ac:dyDescent="0.3">
      <c r="B635" s="349"/>
      <c r="O635" s="137"/>
    </row>
    <row r="636" spans="2:15" x14ac:dyDescent="0.3">
      <c r="B636" s="349"/>
      <c r="O636" s="137"/>
    </row>
    <row r="637" spans="2:15" x14ac:dyDescent="0.3">
      <c r="B637" s="349"/>
      <c r="O637" s="137"/>
    </row>
    <row r="638" spans="2:15" x14ac:dyDescent="0.3">
      <c r="B638" s="349"/>
      <c r="O638" s="137"/>
    </row>
    <row r="639" spans="2:15" x14ac:dyDescent="0.3">
      <c r="B639" s="349"/>
      <c r="O639" s="137"/>
    </row>
    <row r="640" spans="2:15" x14ac:dyDescent="0.3">
      <c r="B640" s="349"/>
      <c r="O640" s="137"/>
    </row>
    <row r="641" spans="2:15" x14ac:dyDescent="0.3">
      <c r="B641" s="349"/>
      <c r="O641" s="137"/>
    </row>
    <row r="642" spans="2:15" x14ac:dyDescent="0.3">
      <c r="B642" s="349"/>
      <c r="O642" s="137"/>
    </row>
    <row r="643" spans="2:15" x14ac:dyDescent="0.3">
      <c r="B643" s="349"/>
      <c r="O643" s="137"/>
    </row>
    <row r="644" spans="2:15" x14ac:dyDescent="0.3">
      <c r="B644" s="349"/>
      <c r="O644" s="137"/>
    </row>
    <row r="645" spans="2:15" x14ac:dyDescent="0.3">
      <c r="B645" s="349"/>
      <c r="O645" s="137"/>
    </row>
    <row r="646" spans="2:15" x14ac:dyDescent="0.3">
      <c r="B646" s="349"/>
      <c r="O646" s="137"/>
    </row>
    <row r="647" spans="2:15" x14ac:dyDescent="0.3">
      <c r="B647" s="349"/>
      <c r="O647" s="137"/>
    </row>
    <row r="648" spans="2:15" x14ac:dyDescent="0.3">
      <c r="B648" s="349"/>
      <c r="O648" s="137"/>
    </row>
    <row r="649" spans="2:15" x14ac:dyDescent="0.3">
      <c r="B649" s="349"/>
      <c r="O649" s="137"/>
    </row>
    <row r="650" spans="2:15" x14ac:dyDescent="0.3">
      <c r="B650" s="349"/>
      <c r="O650" s="137"/>
    </row>
    <row r="651" spans="2:15" x14ac:dyDescent="0.3">
      <c r="B651" s="349"/>
      <c r="O651" s="137"/>
    </row>
    <row r="652" spans="2:15" x14ac:dyDescent="0.3">
      <c r="B652" s="349"/>
      <c r="O652" s="137"/>
    </row>
    <row r="653" spans="2:15" x14ac:dyDescent="0.3">
      <c r="B653" s="349"/>
      <c r="O653" s="137"/>
    </row>
    <row r="654" spans="2:15" x14ac:dyDescent="0.3">
      <c r="B654" s="349"/>
      <c r="O654" s="137"/>
    </row>
    <row r="655" spans="2:15" x14ac:dyDescent="0.3">
      <c r="B655" s="349"/>
      <c r="O655" s="137"/>
    </row>
    <row r="656" spans="2:15" x14ac:dyDescent="0.3">
      <c r="B656" s="349"/>
      <c r="O656" s="137"/>
    </row>
    <row r="657" spans="2:15" x14ac:dyDescent="0.3">
      <c r="B657" s="349"/>
      <c r="O657" s="137"/>
    </row>
    <row r="658" spans="2:15" x14ac:dyDescent="0.3">
      <c r="B658" s="349"/>
      <c r="O658" s="137"/>
    </row>
    <row r="659" spans="2:15" x14ac:dyDescent="0.3">
      <c r="B659" s="349"/>
      <c r="O659" s="137"/>
    </row>
    <row r="660" spans="2:15" x14ac:dyDescent="0.3">
      <c r="B660" s="349"/>
      <c r="O660" s="137"/>
    </row>
    <row r="661" spans="2:15" x14ac:dyDescent="0.3">
      <c r="B661" s="349"/>
      <c r="O661" s="137"/>
    </row>
    <row r="662" spans="2:15" x14ac:dyDescent="0.3">
      <c r="B662" s="349"/>
      <c r="O662" s="137"/>
    </row>
    <row r="663" spans="2:15" x14ac:dyDescent="0.3">
      <c r="B663" s="349"/>
      <c r="O663" s="137"/>
    </row>
    <row r="664" spans="2:15" x14ac:dyDescent="0.3">
      <c r="B664" s="349"/>
      <c r="O664" s="137"/>
    </row>
    <row r="665" spans="2:15" x14ac:dyDescent="0.3">
      <c r="B665" s="349"/>
      <c r="O665" s="137"/>
    </row>
    <row r="666" spans="2:15" x14ac:dyDescent="0.3">
      <c r="B666" s="349"/>
      <c r="O666" s="137"/>
    </row>
    <row r="667" spans="2:15" x14ac:dyDescent="0.3">
      <c r="B667" s="349"/>
      <c r="O667" s="137"/>
    </row>
    <row r="668" spans="2:15" x14ac:dyDescent="0.3">
      <c r="B668" s="349"/>
      <c r="O668" s="137"/>
    </row>
    <row r="669" spans="2:15" x14ac:dyDescent="0.3">
      <c r="B669" s="349"/>
      <c r="O669" s="137"/>
    </row>
    <row r="670" spans="2:15" x14ac:dyDescent="0.3">
      <c r="B670" s="349"/>
      <c r="O670" s="137"/>
    </row>
    <row r="671" spans="2:15" x14ac:dyDescent="0.3">
      <c r="B671" s="349"/>
      <c r="O671" s="137"/>
    </row>
    <row r="672" spans="2:15" x14ac:dyDescent="0.3">
      <c r="B672" s="349"/>
      <c r="O672" s="137"/>
    </row>
    <row r="673" spans="2:15" x14ac:dyDescent="0.3">
      <c r="B673" s="349"/>
      <c r="O673" s="137"/>
    </row>
    <row r="674" spans="2:15" x14ac:dyDescent="0.3">
      <c r="B674" s="349"/>
      <c r="O674" s="137"/>
    </row>
    <row r="675" spans="2:15" x14ac:dyDescent="0.3">
      <c r="B675" s="349"/>
      <c r="O675" s="137"/>
    </row>
    <row r="676" spans="2:15" x14ac:dyDescent="0.3">
      <c r="B676" s="349"/>
      <c r="O676" s="137"/>
    </row>
    <row r="677" spans="2:15" x14ac:dyDescent="0.3">
      <c r="B677" s="349"/>
      <c r="O677" s="137"/>
    </row>
    <row r="678" spans="2:15" x14ac:dyDescent="0.3">
      <c r="B678" s="349"/>
      <c r="O678" s="137"/>
    </row>
    <row r="679" spans="2:15" x14ac:dyDescent="0.3">
      <c r="B679" s="349"/>
      <c r="O679" s="137"/>
    </row>
    <row r="680" spans="2:15" x14ac:dyDescent="0.3">
      <c r="B680" s="349"/>
      <c r="O680" s="137"/>
    </row>
    <row r="681" spans="2:15" x14ac:dyDescent="0.3">
      <c r="B681" s="349"/>
      <c r="O681" s="137"/>
    </row>
    <row r="682" spans="2:15" x14ac:dyDescent="0.3">
      <c r="B682" s="349"/>
      <c r="O682" s="137"/>
    </row>
    <row r="683" spans="2:15" x14ac:dyDescent="0.3">
      <c r="B683" s="349"/>
      <c r="O683" s="137"/>
    </row>
    <row r="684" spans="2:15" x14ac:dyDescent="0.3">
      <c r="B684" s="349"/>
      <c r="O684" s="137"/>
    </row>
    <row r="685" spans="2:15" x14ac:dyDescent="0.3">
      <c r="B685" s="349"/>
      <c r="O685" s="137"/>
    </row>
    <row r="686" spans="2:15" x14ac:dyDescent="0.3">
      <c r="B686" s="349"/>
      <c r="O686" s="137"/>
    </row>
    <row r="687" spans="2:15" x14ac:dyDescent="0.3">
      <c r="B687" s="349"/>
      <c r="O687" s="137"/>
    </row>
    <row r="688" spans="2:15" x14ac:dyDescent="0.3">
      <c r="B688" s="349"/>
      <c r="O688" s="137"/>
    </row>
    <row r="689" spans="2:15" x14ac:dyDescent="0.3">
      <c r="B689" s="349"/>
      <c r="O689" s="137"/>
    </row>
    <row r="690" spans="2:15" x14ac:dyDescent="0.3">
      <c r="B690" s="349"/>
      <c r="O690" s="137"/>
    </row>
    <row r="691" spans="2:15" x14ac:dyDescent="0.3">
      <c r="B691" s="349"/>
      <c r="O691" s="137"/>
    </row>
    <row r="692" spans="2:15" x14ac:dyDescent="0.3">
      <c r="B692" s="349"/>
      <c r="O692" s="137"/>
    </row>
    <row r="693" spans="2:15" x14ac:dyDescent="0.3">
      <c r="B693" s="349"/>
      <c r="O693" s="137"/>
    </row>
    <row r="694" spans="2:15" x14ac:dyDescent="0.3">
      <c r="B694" s="349"/>
      <c r="O694" s="137"/>
    </row>
    <row r="695" spans="2:15" x14ac:dyDescent="0.3">
      <c r="B695" s="349"/>
      <c r="O695" s="137"/>
    </row>
    <row r="696" spans="2:15" x14ac:dyDescent="0.3">
      <c r="B696" s="349"/>
      <c r="O696" s="137"/>
    </row>
    <row r="697" spans="2:15" x14ac:dyDescent="0.3">
      <c r="B697" s="349"/>
      <c r="O697" s="137"/>
    </row>
    <row r="698" spans="2:15" x14ac:dyDescent="0.3">
      <c r="B698" s="349"/>
      <c r="O698" s="137"/>
    </row>
    <row r="699" spans="2:15" x14ac:dyDescent="0.3">
      <c r="B699" s="349"/>
      <c r="O699" s="137"/>
    </row>
    <row r="700" spans="2:15" x14ac:dyDescent="0.3">
      <c r="B700" s="349"/>
      <c r="O700" s="137"/>
    </row>
    <row r="701" spans="2:15" x14ac:dyDescent="0.3">
      <c r="B701" s="349"/>
      <c r="O701" s="137"/>
    </row>
    <row r="702" spans="2:15" x14ac:dyDescent="0.3">
      <c r="B702" s="349"/>
      <c r="O702" s="137"/>
    </row>
    <row r="703" spans="2:15" x14ac:dyDescent="0.3">
      <c r="B703" s="349"/>
      <c r="O703" s="137"/>
    </row>
    <row r="704" spans="2:15" x14ac:dyDescent="0.3">
      <c r="B704" s="349"/>
      <c r="O704" s="137"/>
    </row>
    <row r="705" spans="2:15" x14ac:dyDescent="0.3">
      <c r="B705" s="349"/>
      <c r="O705" s="137"/>
    </row>
    <row r="706" spans="2:15" x14ac:dyDescent="0.3">
      <c r="B706" s="349"/>
      <c r="O706" s="137"/>
    </row>
    <row r="707" spans="2:15" x14ac:dyDescent="0.3">
      <c r="B707" s="349"/>
      <c r="O707" s="137"/>
    </row>
    <row r="708" spans="2:15" x14ac:dyDescent="0.3">
      <c r="B708" s="349"/>
      <c r="O708" s="137"/>
    </row>
    <row r="709" spans="2:15" x14ac:dyDescent="0.3">
      <c r="B709" s="349"/>
      <c r="O709" s="137"/>
    </row>
    <row r="710" spans="2:15" x14ac:dyDescent="0.3">
      <c r="B710" s="349"/>
      <c r="O710" s="137"/>
    </row>
    <row r="711" spans="2:15" x14ac:dyDescent="0.3">
      <c r="B711" s="349"/>
      <c r="O711" s="137"/>
    </row>
    <row r="712" spans="2:15" x14ac:dyDescent="0.3">
      <c r="B712" s="349"/>
      <c r="O712" s="137"/>
    </row>
    <row r="713" spans="2:15" x14ac:dyDescent="0.3">
      <c r="B713" s="349"/>
      <c r="O713" s="137"/>
    </row>
    <row r="714" spans="2:15" x14ac:dyDescent="0.3">
      <c r="B714" s="349"/>
      <c r="O714" s="137"/>
    </row>
    <row r="715" spans="2:15" x14ac:dyDescent="0.3">
      <c r="B715" s="349"/>
      <c r="O715" s="137"/>
    </row>
    <row r="716" spans="2:15" x14ac:dyDescent="0.3">
      <c r="B716" s="349"/>
      <c r="O716" s="137"/>
    </row>
    <row r="717" spans="2:15" x14ac:dyDescent="0.3">
      <c r="B717" s="349"/>
      <c r="O717" s="137"/>
    </row>
    <row r="718" spans="2:15" x14ac:dyDescent="0.3">
      <c r="B718" s="349"/>
      <c r="O718" s="137"/>
    </row>
    <row r="719" spans="2:15" x14ac:dyDescent="0.3">
      <c r="B719" s="349"/>
      <c r="O719" s="137"/>
    </row>
    <row r="720" spans="2:15" x14ac:dyDescent="0.3">
      <c r="B720" s="349"/>
      <c r="O720" s="137"/>
    </row>
    <row r="721" spans="2:15" x14ac:dyDescent="0.3">
      <c r="B721" s="349"/>
      <c r="O721" s="137"/>
    </row>
    <row r="722" spans="2:15" x14ac:dyDescent="0.3">
      <c r="B722" s="349"/>
      <c r="O722" s="137"/>
    </row>
    <row r="723" spans="2:15" x14ac:dyDescent="0.3">
      <c r="B723" s="349"/>
      <c r="O723" s="137"/>
    </row>
    <row r="724" spans="2:15" x14ac:dyDescent="0.3">
      <c r="B724" s="349"/>
      <c r="O724" s="137"/>
    </row>
    <row r="725" spans="2:15" x14ac:dyDescent="0.3">
      <c r="B725" s="349"/>
      <c r="O725" s="137"/>
    </row>
    <row r="726" spans="2:15" x14ac:dyDescent="0.3">
      <c r="B726" s="349"/>
      <c r="O726" s="137"/>
    </row>
    <row r="727" spans="2:15" x14ac:dyDescent="0.3">
      <c r="B727" s="349"/>
      <c r="O727" s="137"/>
    </row>
    <row r="728" spans="2:15" x14ac:dyDescent="0.3">
      <c r="B728" s="349"/>
      <c r="O728" s="137"/>
    </row>
    <row r="729" spans="2:15" x14ac:dyDescent="0.3">
      <c r="B729" s="349"/>
      <c r="O729" s="137"/>
    </row>
    <row r="730" spans="2:15" x14ac:dyDescent="0.3">
      <c r="B730" s="349"/>
      <c r="O730" s="137"/>
    </row>
    <row r="731" spans="2:15" x14ac:dyDescent="0.3">
      <c r="B731" s="349"/>
      <c r="O731" s="137"/>
    </row>
    <row r="732" spans="2:15" x14ac:dyDescent="0.3">
      <c r="B732" s="349"/>
      <c r="O732" s="137"/>
    </row>
    <row r="733" spans="2:15" x14ac:dyDescent="0.3">
      <c r="B733" s="349"/>
      <c r="O733" s="137"/>
    </row>
    <row r="734" spans="2:15" x14ac:dyDescent="0.3">
      <c r="B734" s="349"/>
      <c r="O734" s="137"/>
    </row>
    <row r="735" spans="2:15" x14ac:dyDescent="0.3">
      <c r="B735" s="349"/>
      <c r="O735" s="137"/>
    </row>
    <row r="736" spans="2:15" x14ac:dyDescent="0.3">
      <c r="B736" s="349"/>
      <c r="O736" s="137"/>
    </row>
    <row r="737" spans="2:15" x14ac:dyDescent="0.3">
      <c r="B737" s="349"/>
      <c r="O737" s="137"/>
    </row>
    <row r="738" spans="2:15" x14ac:dyDescent="0.3">
      <c r="B738" s="349"/>
      <c r="O738" s="137"/>
    </row>
    <row r="739" spans="2:15" x14ac:dyDescent="0.3">
      <c r="B739" s="349"/>
      <c r="O739" s="137"/>
    </row>
    <row r="740" spans="2:15" x14ac:dyDescent="0.3">
      <c r="B740" s="349"/>
      <c r="O740" s="137"/>
    </row>
    <row r="741" spans="2:15" x14ac:dyDescent="0.3">
      <c r="B741" s="349"/>
      <c r="O741" s="137"/>
    </row>
    <row r="742" spans="2:15" x14ac:dyDescent="0.3">
      <c r="B742" s="349"/>
      <c r="O742" s="137"/>
    </row>
    <row r="743" spans="2:15" x14ac:dyDescent="0.3">
      <c r="B743" s="349"/>
      <c r="O743" s="137"/>
    </row>
    <row r="744" spans="2:15" x14ac:dyDescent="0.3">
      <c r="B744" s="349"/>
      <c r="O744" s="137"/>
    </row>
    <row r="745" spans="2:15" x14ac:dyDescent="0.3">
      <c r="B745" s="349"/>
      <c r="O745" s="137"/>
    </row>
    <row r="746" spans="2:15" x14ac:dyDescent="0.3">
      <c r="B746" s="349"/>
      <c r="O746" s="137"/>
    </row>
    <row r="747" spans="2:15" x14ac:dyDescent="0.3">
      <c r="B747" s="349"/>
      <c r="O747" s="137"/>
    </row>
    <row r="748" spans="2:15" x14ac:dyDescent="0.3">
      <c r="B748" s="349"/>
      <c r="O748" s="137"/>
    </row>
    <row r="749" spans="2:15" x14ac:dyDescent="0.3">
      <c r="B749" s="349"/>
      <c r="O749" s="137"/>
    </row>
    <row r="750" spans="2:15" x14ac:dyDescent="0.3">
      <c r="B750" s="349"/>
      <c r="O750" s="137"/>
    </row>
    <row r="751" spans="2:15" x14ac:dyDescent="0.3">
      <c r="B751" s="349"/>
      <c r="O751" s="137"/>
    </row>
    <row r="752" spans="2:15" x14ac:dyDescent="0.3">
      <c r="B752" s="349"/>
      <c r="O752" s="137"/>
    </row>
    <row r="753" spans="2:15" x14ac:dyDescent="0.3">
      <c r="B753" s="349"/>
      <c r="O753" s="137"/>
    </row>
    <row r="754" spans="2:15" x14ac:dyDescent="0.3">
      <c r="B754" s="349"/>
      <c r="O754" s="137"/>
    </row>
    <row r="755" spans="2:15" x14ac:dyDescent="0.3">
      <c r="B755" s="349"/>
      <c r="O755" s="137"/>
    </row>
    <row r="756" spans="2:15" x14ac:dyDescent="0.3">
      <c r="B756" s="349"/>
      <c r="O756" s="137"/>
    </row>
    <row r="757" spans="2:15" x14ac:dyDescent="0.3">
      <c r="B757" s="349"/>
      <c r="O757" s="137"/>
    </row>
    <row r="758" spans="2:15" x14ac:dyDescent="0.3">
      <c r="B758" s="349"/>
      <c r="O758" s="137"/>
    </row>
    <row r="759" spans="2:15" x14ac:dyDescent="0.3">
      <c r="B759" s="349"/>
      <c r="O759" s="137"/>
    </row>
    <row r="760" spans="2:15" x14ac:dyDescent="0.3">
      <c r="B760" s="349"/>
      <c r="O760" s="137"/>
    </row>
    <row r="761" spans="2:15" x14ac:dyDescent="0.3">
      <c r="B761" s="349"/>
      <c r="O761" s="137"/>
    </row>
    <row r="762" spans="2:15" x14ac:dyDescent="0.3">
      <c r="B762" s="349"/>
      <c r="O762" s="137"/>
    </row>
    <row r="763" spans="2:15" x14ac:dyDescent="0.3">
      <c r="B763" s="349"/>
      <c r="O763" s="137"/>
    </row>
    <row r="764" spans="2:15" x14ac:dyDescent="0.3">
      <c r="B764" s="349"/>
      <c r="O764" s="137"/>
    </row>
    <row r="765" spans="2:15" x14ac:dyDescent="0.3">
      <c r="B765" s="349"/>
      <c r="O765" s="137"/>
    </row>
    <row r="766" spans="2:15" x14ac:dyDescent="0.3">
      <c r="B766" s="349"/>
      <c r="O766" s="137"/>
    </row>
    <row r="767" spans="2:15" x14ac:dyDescent="0.3">
      <c r="B767" s="349"/>
      <c r="O767" s="137"/>
    </row>
    <row r="768" spans="2:15" x14ac:dyDescent="0.3">
      <c r="B768" s="349"/>
      <c r="O768" s="137"/>
    </row>
    <row r="769" spans="2:15" x14ac:dyDescent="0.3">
      <c r="B769" s="349"/>
      <c r="O769" s="137"/>
    </row>
    <row r="770" spans="2:15" x14ac:dyDescent="0.3">
      <c r="B770" s="349"/>
      <c r="O770" s="137"/>
    </row>
    <row r="771" spans="2:15" x14ac:dyDescent="0.3">
      <c r="B771" s="349"/>
      <c r="O771" s="137"/>
    </row>
    <row r="772" spans="2:15" x14ac:dyDescent="0.3">
      <c r="B772" s="349"/>
      <c r="O772" s="137"/>
    </row>
    <row r="773" spans="2:15" x14ac:dyDescent="0.3">
      <c r="B773" s="349"/>
      <c r="O773" s="137"/>
    </row>
    <row r="774" spans="2:15" x14ac:dyDescent="0.3">
      <c r="B774" s="349"/>
      <c r="O774" s="137"/>
    </row>
    <row r="775" spans="2:15" x14ac:dyDescent="0.3">
      <c r="B775" s="349"/>
      <c r="O775" s="137"/>
    </row>
    <row r="776" spans="2:15" x14ac:dyDescent="0.3">
      <c r="B776" s="349"/>
      <c r="O776" s="137"/>
    </row>
    <row r="777" spans="2:15" x14ac:dyDescent="0.3">
      <c r="B777" s="349"/>
      <c r="O777" s="137"/>
    </row>
    <row r="778" spans="2:15" x14ac:dyDescent="0.3">
      <c r="B778" s="349"/>
      <c r="O778" s="137"/>
    </row>
    <row r="779" spans="2:15" x14ac:dyDescent="0.3">
      <c r="B779" s="349"/>
      <c r="O779" s="137"/>
    </row>
    <row r="780" spans="2:15" x14ac:dyDescent="0.3">
      <c r="B780" s="349"/>
      <c r="O780" s="137"/>
    </row>
    <row r="781" spans="2:15" x14ac:dyDescent="0.3">
      <c r="B781" s="349"/>
      <c r="O781" s="137"/>
    </row>
    <row r="782" spans="2:15" x14ac:dyDescent="0.3">
      <c r="B782" s="349"/>
      <c r="O782" s="137"/>
    </row>
    <row r="783" spans="2:15" x14ac:dyDescent="0.3">
      <c r="B783" s="349"/>
      <c r="O783" s="137"/>
    </row>
    <row r="784" spans="2:15" x14ac:dyDescent="0.3">
      <c r="B784" s="349"/>
      <c r="O784" s="137"/>
    </row>
    <row r="785" spans="2:15" x14ac:dyDescent="0.3">
      <c r="B785" s="349"/>
      <c r="O785" s="137"/>
    </row>
    <row r="786" spans="2:15" x14ac:dyDescent="0.3">
      <c r="B786" s="349"/>
      <c r="O786" s="137"/>
    </row>
    <row r="787" spans="2:15" x14ac:dyDescent="0.3">
      <c r="B787" s="349"/>
      <c r="O787" s="137"/>
    </row>
    <row r="788" spans="2:15" x14ac:dyDescent="0.3">
      <c r="B788" s="349"/>
      <c r="O788" s="137"/>
    </row>
    <row r="789" spans="2:15" x14ac:dyDescent="0.3">
      <c r="B789" s="349"/>
      <c r="O789" s="137"/>
    </row>
    <row r="790" spans="2:15" x14ac:dyDescent="0.3">
      <c r="B790" s="349"/>
      <c r="O790" s="137"/>
    </row>
    <row r="791" spans="2:15" x14ac:dyDescent="0.3">
      <c r="B791" s="349"/>
      <c r="O791" s="137"/>
    </row>
    <row r="792" spans="2:15" x14ac:dyDescent="0.3">
      <c r="B792" s="349"/>
      <c r="O792" s="137"/>
    </row>
    <row r="793" spans="2:15" x14ac:dyDescent="0.3">
      <c r="B793" s="349"/>
      <c r="O793" s="137"/>
    </row>
    <row r="794" spans="2:15" x14ac:dyDescent="0.3">
      <c r="B794" s="349"/>
      <c r="O794" s="137"/>
    </row>
    <row r="795" spans="2:15" x14ac:dyDescent="0.3">
      <c r="B795" s="349"/>
      <c r="O795" s="137"/>
    </row>
    <row r="796" spans="2:15" x14ac:dyDescent="0.3">
      <c r="B796" s="349"/>
      <c r="O796" s="137"/>
    </row>
    <row r="797" spans="2:15" x14ac:dyDescent="0.3">
      <c r="B797" s="349"/>
      <c r="O797" s="137"/>
    </row>
    <row r="798" spans="2:15" x14ac:dyDescent="0.3">
      <c r="B798" s="349"/>
      <c r="O798" s="137"/>
    </row>
    <row r="799" spans="2:15" x14ac:dyDescent="0.3">
      <c r="B799" s="349"/>
      <c r="O799" s="137"/>
    </row>
    <row r="800" spans="2:15" x14ac:dyDescent="0.3">
      <c r="B800" s="349"/>
      <c r="O800" s="137"/>
    </row>
    <row r="801" spans="2:15" x14ac:dyDescent="0.3">
      <c r="B801" s="349"/>
      <c r="O801" s="137"/>
    </row>
    <row r="802" spans="2:15" x14ac:dyDescent="0.3">
      <c r="B802" s="349"/>
      <c r="O802" s="137"/>
    </row>
    <row r="803" spans="2:15" x14ac:dyDescent="0.3">
      <c r="B803" s="349"/>
      <c r="O803" s="137"/>
    </row>
    <row r="804" spans="2:15" x14ac:dyDescent="0.3">
      <c r="B804" s="349"/>
      <c r="O804" s="137"/>
    </row>
    <row r="805" spans="2:15" x14ac:dyDescent="0.3">
      <c r="B805" s="349"/>
      <c r="O805" s="137"/>
    </row>
    <row r="806" spans="2:15" x14ac:dyDescent="0.3">
      <c r="B806" s="349"/>
      <c r="O806" s="137"/>
    </row>
    <row r="807" spans="2:15" x14ac:dyDescent="0.3">
      <c r="B807" s="349"/>
      <c r="O807" s="137"/>
    </row>
    <row r="808" spans="2:15" x14ac:dyDescent="0.3">
      <c r="B808" s="349"/>
      <c r="O808" s="137"/>
    </row>
    <row r="809" spans="2:15" x14ac:dyDescent="0.3">
      <c r="B809" s="349"/>
      <c r="O809" s="137"/>
    </row>
    <row r="810" spans="2:15" x14ac:dyDescent="0.3">
      <c r="B810" s="349"/>
      <c r="O810" s="137"/>
    </row>
    <row r="811" spans="2:15" x14ac:dyDescent="0.3">
      <c r="B811" s="349"/>
      <c r="O811" s="137"/>
    </row>
    <row r="812" spans="2:15" x14ac:dyDescent="0.3">
      <c r="B812" s="349"/>
      <c r="O812" s="137"/>
    </row>
    <row r="813" spans="2:15" x14ac:dyDescent="0.3">
      <c r="B813" s="349"/>
      <c r="O813" s="137"/>
    </row>
    <row r="814" spans="2:15" x14ac:dyDescent="0.3">
      <c r="B814" s="349"/>
      <c r="O814" s="137"/>
    </row>
    <row r="815" spans="2:15" x14ac:dyDescent="0.3">
      <c r="B815" s="349"/>
      <c r="O815" s="137"/>
    </row>
    <row r="816" spans="2:15" x14ac:dyDescent="0.3">
      <c r="B816" s="349"/>
      <c r="O816" s="137"/>
    </row>
    <row r="817" spans="2:15" x14ac:dyDescent="0.3">
      <c r="B817" s="349"/>
      <c r="O817" s="137"/>
    </row>
    <row r="818" spans="2:15" x14ac:dyDescent="0.3">
      <c r="B818" s="349"/>
      <c r="O818" s="137"/>
    </row>
    <row r="819" spans="2:15" x14ac:dyDescent="0.3">
      <c r="B819" s="349"/>
      <c r="O819" s="137"/>
    </row>
    <row r="820" spans="2:15" x14ac:dyDescent="0.3">
      <c r="B820" s="349"/>
      <c r="O820" s="137"/>
    </row>
    <row r="821" spans="2:15" x14ac:dyDescent="0.3">
      <c r="B821" s="349"/>
    </row>
    <row r="822" spans="2:15" x14ac:dyDescent="0.3">
      <c r="B822" s="349"/>
    </row>
    <row r="823" spans="2:15" x14ac:dyDescent="0.3">
      <c r="B823" s="349"/>
    </row>
    <row r="824" spans="2:15" x14ac:dyDescent="0.3">
      <c r="B824" s="349"/>
    </row>
    <row r="825" spans="2:15" x14ac:dyDescent="0.3">
      <c r="B825" s="349"/>
    </row>
    <row r="826" spans="2:15" x14ac:dyDescent="0.3">
      <c r="B826" s="349"/>
    </row>
    <row r="827" spans="2:15" x14ac:dyDescent="0.3">
      <c r="B827" s="349"/>
    </row>
    <row r="828" spans="2:15" x14ac:dyDescent="0.3">
      <c r="B828" s="349"/>
    </row>
    <row r="829" spans="2:15" x14ac:dyDescent="0.3">
      <c r="B829" s="349"/>
    </row>
    <row r="830" spans="2:15" x14ac:dyDescent="0.3">
      <c r="B830" s="349"/>
    </row>
    <row r="831" spans="2:15" x14ac:dyDescent="0.3">
      <c r="B831" s="349"/>
    </row>
    <row r="832" spans="2:15" x14ac:dyDescent="0.3">
      <c r="B832" s="349"/>
    </row>
    <row r="833" spans="2:15" x14ac:dyDescent="0.3">
      <c r="B833" s="349"/>
    </row>
    <row r="834" spans="2:15" x14ac:dyDescent="0.3">
      <c r="B834" s="349"/>
    </row>
    <row r="835" spans="2:15" x14ac:dyDescent="0.3">
      <c r="B835" s="349"/>
    </row>
    <row r="836" spans="2:15" x14ac:dyDescent="0.3">
      <c r="B836" s="349"/>
    </row>
    <row r="837" spans="2:15" x14ac:dyDescent="0.3">
      <c r="B837" s="349"/>
    </row>
    <row r="838" spans="2:15" x14ac:dyDescent="0.3">
      <c r="B838" s="349"/>
    </row>
    <row r="839" spans="2:15" x14ac:dyDescent="0.3">
      <c r="B839" s="349"/>
    </row>
    <row r="840" spans="2:15" x14ac:dyDescent="0.3">
      <c r="B840" s="349"/>
    </row>
    <row r="841" spans="2:15" x14ac:dyDescent="0.3">
      <c r="B841" s="349"/>
    </row>
    <row r="842" spans="2:15" x14ac:dyDescent="0.3">
      <c r="B842" s="349"/>
    </row>
    <row r="843" spans="2:15" x14ac:dyDescent="0.3">
      <c r="B843" s="349"/>
    </row>
    <row r="844" spans="2:15" x14ac:dyDescent="0.3">
      <c r="B844" s="349"/>
    </row>
    <row r="845" spans="2:15" x14ac:dyDescent="0.3">
      <c r="B845" s="349"/>
    </row>
    <row r="846" spans="2:15" x14ac:dyDescent="0.3">
      <c r="B846" s="349"/>
    </row>
    <row r="847" spans="2:15" x14ac:dyDescent="0.3">
      <c r="B847" s="349"/>
    </row>
    <row r="848" spans="2:15" ht="15" customHeight="1" x14ac:dyDescent="0.3">
      <c r="B848" s="367" t="s">
        <v>131</v>
      </c>
      <c r="C848" s="367" t="s">
        <v>132</v>
      </c>
      <c r="D848" s="367"/>
      <c r="E848" s="367" t="s">
        <v>133</v>
      </c>
      <c r="F848" s="367" t="s">
        <v>134</v>
      </c>
      <c r="G848" s="367" t="s">
        <v>135</v>
      </c>
      <c r="H848" s="367" t="s">
        <v>136</v>
      </c>
      <c r="I848" s="368" t="s">
        <v>2055</v>
      </c>
      <c r="K848" s="17"/>
      <c r="O848" s="138"/>
    </row>
    <row r="849" spans="2:15" x14ac:dyDescent="0.3">
      <c r="B849" s="369">
        <v>92584</v>
      </c>
      <c r="C849" s="369" t="s">
        <v>137</v>
      </c>
      <c r="D849" s="369">
        <f t="shared" ref="D849:D880" si="15">IF($D$1=1,E:E,IF($D$1=2,F:F,IF($D$1=3,G:G,IF($D$1=4,H:H,IF($D$1=5,I:I)))))</f>
        <v>10</v>
      </c>
      <c r="E849" s="370">
        <v>10</v>
      </c>
      <c r="F849" s="371">
        <v>0.38059999999999999</v>
      </c>
      <c r="G849" s="371">
        <v>1.3332999999999999</v>
      </c>
      <c r="H849" s="371">
        <v>86.956500000000005</v>
      </c>
      <c r="K849" s="17"/>
      <c r="O849" s="138"/>
    </row>
    <row r="850" spans="2:15" x14ac:dyDescent="0.3">
      <c r="B850" s="369">
        <v>92585</v>
      </c>
      <c r="C850" s="369" t="s">
        <v>138</v>
      </c>
      <c r="D850" s="369">
        <f t="shared" si="15"/>
        <v>10</v>
      </c>
      <c r="E850" s="370">
        <v>10</v>
      </c>
      <c r="F850" s="371">
        <v>0.38059999999999999</v>
      </c>
      <c r="G850" s="371">
        <v>1.3332999999999999</v>
      </c>
      <c r="H850" s="371">
        <v>86.956500000000005</v>
      </c>
      <c r="K850" s="17"/>
      <c r="O850" s="138"/>
    </row>
    <row r="851" spans="2:15" x14ac:dyDescent="0.3">
      <c r="B851" s="369">
        <v>92586</v>
      </c>
      <c r="C851" s="369" t="s">
        <v>139</v>
      </c>
      <c r="D851" s="369">
        <f t="shared" si="15"/>
        <v>10</v>
      </c>
      <c r="E851" s="370">
        <v>10</v>
      </c>
      <c r="F851" s="371">
        <v>0.38059999999999999</v>
      </c>
      <c r="G851" s="371">
        <v>1.3332999999999999</v>
      </c>
      <c r="H851" s="371">
        <v>86.956500000000005</v>
      </c>
      <c r="K851" s="17"/>
      <c r="O851" s="138"/>
    </row>
    <row r="852" spans="2:15" x14ac:dyDescent="0.3">
      <c r="B852" s="369">
        <v>92588</v>
      </c>
      <c r="C852" s="369" t="s">
        <v>140</v>
      </c>
      <c r="D852" s="369">
        <f t="shared" si="15"/>
        <v>19.38</v>
      </c>
      <c r="E852" s="370">
        <v>19.38</v>
      </c>
      <c r="F852" s="371">
        <v>0.81950000000000001</v>
      </c>
      <c r="G852" s="371">
        <v>2.5840000000000001</v>
      </c>
      <c r="H852" s="371">
        <v>168.52170000000001</v>
      </c>
      <c r="K852" s="17"/>
      <c r="O852" s="137"/>
    </row>
    <row r="853" spans="2:15" x14ac:dyDescent="0.3">
      <c r="B853" s="369">
        <v>92596</v>
      </c>
      <c r="C853" s="369" t="s">
        <v>141</v>
      </c>
      <c r="D853" s="369">
        <f t="shared" si="15"/>
        <v>1.8</v>
      </c>
      <c r="E853" s="370">
        <v>1.8</v>
      </c>
      <c r="F853" s="371">
        <v>7.6100000000000001E-2</v>
      </c>
      <c r="G853" s="371">
        <v>0.24</v>
      </c>
      <c r="H853" s="371">
        <v>15.652200000000001</v>
      </c>
      <c r="K853" s="17"/>
      <c r="O853" s="137"/>
    </row>
    <row r="854" spans="2:15" x14ac:dyDescent="0.3">
      <c r="B854" s="369">
        <v>92597</v>
      </c>
      <c r="C854" s="369" t="s">
        <v>142</v>
      </c>
      <c r="D854" s="369">
        <f t="shared" si="15"/>
        <v>2.2999999999999998</v>
      </c>
      <c r="E854" s="370">
        <v>2.2999999999999998</v>
      </c>
      <c r="F854" s="371">
        <v>9.7299999999999998E-2</v>
      </c>
      <c r="G854" s="371">
        <v>0.30669999999999997</v>
      </c>
      <c r="H854" s="371">
        <v>20</v>
      </c>
      <c r="K854" s="17"/>
      <c r="O854" s="137"/>
    </row>
    <row r="855" spans="2:15" x14ac:dyDescent="0.3">
      <c r="B855" s="369">
        <v>92598</v>
      </c>
      <c r="C855" s="369" t="s">
        <v>143</v>
      </c>
      <c r="D855" s="369">
        <f t="shared" si="15"/>
        <v>1.8</v>
      </c>
      <c r="E855" s="370">
        <v>1.8</v>
      </c>
      <c r="F855" s="371">
        <v>7.6100000000000001E-2</v>
      </c>
      <c r="G855" s="371">
        <v>0.24</v>
      </c>
      <c r="H855" s="371">
        <v>15.652200000000001</v>
      </c>
      <c r="K855" s="17"/>
      <c r="O855" s="137"/>
    </row>
    <row r="856" spans="2:15" x14ac:dyDescent="0.3">
      <c r="B856" s="369">
        <v>92599</v>
      </c>
      <c r="C856" s="369" t="s">
        <v>144</v>
      </c>
      <c r="D856" s="369">
        <f t="shared" si="15"/>
        <v>2.2999999999999998</v>
      </c>
      <c r="E856" s="370">
        <v>2.2999999999999998</v>
      </c>
      <c r="F856" s="371">
        <v>9.7299999999999998E-2</v>
      </c>
      <c r="G856" s="371">
        <v>0.30669999999999997</v>
      </c>
      <c r="H856" s="371">
        <v>20</v>
      </c>
      <c r="K856" s="17"/>
      <c r="O856" s="137"/>
    </row>
    <row r="857" spans="2:15" x14ac:dyDescent="0.3">
      <c r="B857" s="369" t="s">
        <v>117</v>
      </c>
      <c r="C857" s="369" t="s">
        <v>145</v>
      </c>
      <c r="D857" s="369">
        <f t="shared" si="15"/>
        <v>4.6749999999999998</v>
      </c>
      <c r="E857" s="370">
        <v>4.6749999999999998</v>
      </c>
      <c r="F857" s="371">
        <v>0.19769999999999999</v>
      </c>
      <c r="G857" s="371">
        <v>0.62329999999999997</v>
      </c>
      <c r="H857" s="371">
        <v>40.652200000000001</v>
      </c>
      <c r="K857" s="17"/>
      <c r="O857" s="137"/>
    </row>
    <row r="858" spans="2:15" x14ac:dyDescent="0.3">
      <c r="B858" s="369" t="s">
        <v>146</v>
      </c>
      <c r="C858" s="369" t="s">
        <v>147</v>
      </c>
      <c r="D858" s="369">
        <f t="shared" si="15"/>
        <v>2.3374999999999999</v>
      </c>
      <c r="E858" s="370">
        <v>2.3374999999999999</v>
      </c>
      <c r="F858" s="371">
        <v>9.8799999999999999E-2</v>
      </c>
      <c r="G858" s="371">
        <v>0.31169999999999998</v>
      </c>
      <c r="H858" s="371">
        <v>20.3261</v>
      </c>
      <c r="K858" s="17"/>
      <c r="O858" s="137"/>
    </row>
    <row r="859" spans="2:15" x14ac:dyDescent="0.3">
      <c r="B859" s="369" t="s">
        <v>148</v>
      </c>
      <c r="C859" s="369" t="s">
        <v>149</v>
      </c>
      <c r="D859" s="369">
        <f t="shared" si="15"/>
        <v>1.925</v>
      </c>
      <c r="E859" s="370">
        <v>1.925</v>
      </c>
      <c r="F859" s="371">
        <v>8.14E-2</v>
      </c>
      <c r="G859" s="371">
        <v>0.25669999999999998</v>
      </c>
      <c r="H859" s="371">
        <v>16.739100000000001</v>
      </c>
      <c r="K859" s="17"/>
      <c r="O859" s="137"/>
    </row>
    <row r="860" spans="2:15" ht="15" customHeight="1" x14ac:dyDescent="0.3">
      <c r="B860" s="369" t="s">
        <v>119</v>
      </c>
      <c r="C860" s="369" t="s">
        <v>150</v>
      </c>
      <c r="D860" s="369">
        <f t="shared" si="15"/>
        <v>2.3374999999999999</v>
      </c>
      <c r="E860" s="370">
        <v>2.3374999999999999</v>
      </c>
      <c r="F860" s="371">
        <v>9.8799999999999999E-2</v>
      </c>
      <c r="G860" s="371">
        <v>0.31169999999999998</v>
      </c>
      <c r="H860" s="371">
        <v>20.3261</v>
      </c>
      <c r="K860" s="17"/>
      <c r="O860" s="137"/>
    </row>
    <row r="861" spans="2:15" x14ac:dyDescent="0.3">
      <c r="B861" s="369" t="s">
        <v>113</v>
      </c>
      <c r="C861" s="369" t="s">
        <v>151</v>
      </c>
      <c r="D861" s="369">
        <f t="shared" si="15"/>
        <v>1.925</v>
      </c>
      <c r="E861" s="370">
        <v>1.925</v>
      </c>
      <c r="F861" s="371">
        <v>8.14E-2</v>
      </c>
      <c r="G861" s="371">
        <v>0.25669999999999998</v>
      </c>
      <c r="H861" s="371">
        <v>16.739100000000001</v>
      </c>
      <c r="K861" s="17"/>
      <c r="O861" s="137"/>
    </row>
    <row r="862" spans="2:15" x14ac:dyDescent="0.3">
      <c r="B862" s="369" t="s">
        <v>810</v>
      </c>
      <c r="C862" s="369" t="s">
        <v>152</v>
      </c>
      <c r="D862" s="369">
        <f t="shared" si="15"/>
        <v>0</v>
      </c>
      <c r="E862" s="370">
        <v>0</v>
      </c>
      <c r="F862" s="371">
        <v>0</v>
      </c>
      <c r="G862" s="371">
        <v>0</v>
      </c>
      <c r="H862" s="371">
        <v>0</v>
      </c>
      <c r="K862" s="17"/>
      <c r="O862" s="137"/>
    </row>
    <row r="863" spans="2:15" x14ac:dyDescent="0.3">
      <c r="B863" s="369" t="s">
        <v>118</v>
      </c>
      <c r="C863" s="369" t="s">
        <v>153</v>
      </c>
      <c r="D863" s="369">
        <f t="shared" si="15"/>
        <v>39.049999999999997</v>
      </c>
      <c r="E863" s="370">
        <v>39.049999999999997</v>
      </c>
      <c r="F863" s="371">
        <v>1.6512</v>
      </c>
      <c r="G863" s="371">
        <v>5.2066999999999997</v>
      </c>
      <c r="H863" s="371">
        <v>339.5652</v>
      </c>
      <c r="K863" s="17"/>
      <c r="O863" s="137"/>
    </row>
    <row r="864" spans="2:15" x14ac:dyDescent="0.3">
      <c r="B864" s="369" t="s">
        <v>116</v>
      </c>
      <c r="C864" s="369" t="s">
        <v>154</v>
      </c>
      <c r="D864" s="369">
        <f t="shared" si="15"/>
        <v>34.1</v>
      </c>
      <c r="E864" s="370">
        <v>34.1</v>
      </c>
      <c r="F864" s="371">
        <v>1.4419</v>
      </c>
      <c r="G864" s="371">
        <v>4.5467000000000004</v>
      </c>
      <c r="H864" s="371">
        <v>296.52170000000001</v>
      </c>
      <c r="K864" s="17"/>
      <c r="O864" s="137"/>
    </row>
    <row r="865" spans="2:15" x14ac:dyDescent="0.3">
      <c r="B865" s="369" t="s">
        <v>115</v>
      </c>
      <c r="C865" s="369" t="s">
        <v>155</v>
      </c>
      <c r="D865" s="369">
        <f t="shared" si="15"/>
        <v>30.8</v>
      </c>
      <c r="E865" s="370">
        <v>30.8</v>
      </c>
      <c r="F865" s="371">
        <v>1.3023</v>
      </c>
      <c r="G865" s="371">
        <v>4.1067</v>
      </c>
      <c r="H865" s="371">
        <v>267.8261</v>
      </c>
      <c r="K865" s="17"/>
      <c r="O865" s="137"/>
    </row>
    <row r="866" spans="2:15" x14ac:dyDescent="0.3">
      <c r="B866" s="369" t="s">
        <v>114</v>
      </c>
      <c r="C866" s="369" t="s">
        <v>156</v>
      </c>
      <c r="D866" s="369">
        <f t="shared" si="15"/>
        <v>30.8</v>
      </c>
      <c r="E866" s="370">
        <v>30.8</v>
      </c>
      <c r="F866" s="371">
        <v>1.3023</v>
      </c>
      <c r="G866" s="371">
        <v>4.1067</v>
      </c>
      <c r="H866" s="371">
        <v>267.8261</v>
      </c>
      <c r="K866" s="17"/>
      <c r="O866" s="137"/>
    </row>
    <row r="867" spans="2:15" x14ac:dyDescent="0.3">
      <c r="B867" s="369" t="s">
        <v>120</v>
      </c>
      <c r="C867" s="369"/>
      <c r="D867" s="369">
        <f t="shared" si="15"/>
        <v>0</v>
      </c>
      <c r="E867" s="370"/>
      <c r="F867" s="371"/>
      <c r="G867" s="371"/>
      <c r="H867" s="371"/>
      <c r="K867" s="17"/>
      <c r="O867" s="137"/>
    </row>
    <row r="868" spans="2:15" x14ac:dyDescent="0.3">
      <c r="B868" s="369">
        <v>92950</v>
      </c>
      <c r="C868" s="369" t="s">
        <v>221</v>
      </c>
      <c r="D868" s="369">
        <f t="shared" si="15"/>
        <v>7</v>
      </c>
      <c r="E868" s="370">
        <v>7</v>
      </c>
      <c r="F868" s="371">
        <v>0.26640000000000003</v>
      </c>
      <c r="G868" s="371">
        <v>0.875</v>
      </c>
      <c r="H868" s="371">
        <v>64.673900000000003</v>
      </c>
      <c r="K868" s="17"/>
      <c r="O868" s="137"/>
    </row>
    <row r="869" spans="2:15" x14ac:dyDescent="0.3">
      <c r="B869" s="369">
        <v>0</v>
      </c>
      <c r="C869" s="369"/>
      <c r="D869" s="369">
        <f t="shared" si="15"/>
        <v>0</v>
      </c>
      <c r="E869" s="370"/>
      <c r="F869" s="371"/>
      <c r="G869" s="371"/>
      <c r="H869" s="371"/>
      <c r="K869" s="17"/>
      <c r="O869" s="137"/>
    </row>
    <row r="870" spans="2:15" x14ac:dyDescent="0.3">
      <c r="B870" s="369">
        <v>93000</v>
      </c>
      <c r="C870" s="369" t="s">
        <v>157</v>
      </c>
      <c r="D870" s="369">
        <f t="shared" si="15"/>
        <v>30</v>
      </c>
      <c r="E870" s="370">
        <v>30</v>
      </c>
      <c r="F870" s="371">
        <v>1.1416999999999999</v>
      </c>
      <c r="G870" s="371">
        <v>3.75</v>
      </c>
      <c r="H870" s="371">
        <v>277.1739</v>
      </c>
      <c r="K870" s="17"/>
      <c r="O870" s="137"/>
    </row>
    <row r="871" spans="2:15" x14ac:dyDescent="0.3">
      <c r="B871" s="369">
        <v>92951</v>
      </c>
      <c r="C871" s="369" t="s">
        <v>158</v>
      </c>
      <c r="D871" s="369">
        <f t="shared" si="15"/>
        <v>7.5</v>
      </c>
      <c r="E871" s="370">
        <v>7.5</v>
      </c>
      <c r="F871" s="371">
        <v>0.28539999999999999</v>
      </c>
      <c r="G871" s="371">
        <v>0.9375</v>
      </c>
      <c r="H871" s="371">
        <v>69.293499999999995</v>
      </c>
      <c r="K871" s="17"/>
      <c r="O871" s="137"/>
    </row>
    <row r="872" spans="2:15" x14ac:dyDescent="0.3">
      <c r="B872" s="369">
        <v>92952</v>
      </c>
      <c r="C872" s="369" t="s">
        <v>159</v>
      </c>
      <c r="D872" s="369">
        <f t="shared" si="15"/>
        <v>7.5</v>
      </c>
      <c r="E872" s="370">
        <v>7.5</v>
      </c>
      <c r="F872" s="371">
        <v>0.28539999999999999</v>
      </c>
      <c r="G872" s="371">
        <v>0.9375</v>
      </c>
      <c r="H872" s="371">
        <v>69.293499999999995</v>
      </c>
      <c r="K872" s="17"/>
      <c r="O872" s="137"/>
    </row>
    <row r="873" spans="2:15" ht="15" customHeight="1" x14ac:dyDescent="0.3">
      <c r="B873" s="369">
        <v>93903</v>
      </c>
      <c r="C873" s="369" t="s">
        <v>160</v>
      </c>
      <c r="D873" s="369">
        <f t="shared" si="15"/>
        <v>29.99963</v>
      </c>
      <c r="E873" s="370">
        <v>29.99963</v>
      </c>
      <c r="F873" s="371">
        <v>1.1415999999999999</v>
      </c>
      <c r="G873" s="371">
        <v>3.75</v>
      </c>
      <c r="H873" s="371">
        <v>277.1705</v>
      </c>
      <c r="K873" s="17"/>
      <c r="O873" s="137"/>
    </row>
    <row r="874" spans="2:15" x14ac:dyDescent="0.3">
      <c r="B874" s="369">
        <v>92957</v>
      </c>
      <c r="C874" s="369" t="s">
        <v>161</v>
      </c>
      <c r="D874" s="369">
        <f t="shared" si="15"/>
        <v>25</v>
      </c>
      <c r="E874" s="370">
        <v>25</v>
      </c>
      <c r="F874" s="371">
        <v>0.95140000000000002</v>
      </c>
      <c r="G874" s="371">
        <v>3.125</v>
      </c>
      <c r="H874" s="371">
        <v>230.97829999999999</v>
      </c>
      <c r="K874" s="17"/>
      <c r="O874" s="137"/>
    </row>
    <row r="875" spans="2:15" x14ac:dyDescent="0.3">
      <c r="B875" s="369">
        <v>92960</v>
      </c>
      <c r="C875" s="369" t="s">
        <v>162</v>
      </c>
      <c r="D875" s="369">
        <f t="shared" si="15"/>
        <v>2</v>
      </c>
      <c r="E875" s="370">
        <v>2</v>
      </c>
      <c r="F875" s="371">
        <v>7.6100000000000001E-2</v>
      </c>
      <c r="G875" s="371">
        <v>0.25</v>
      </c>
      <c r="H875" s="371">
        <v>18.478300000000001</v>
      </c>
      <c r="K875" s="17"/>
      <c r="O875" s="137"/>
    </row>
    <row r="876" spans="2:15" x14ac:dyDescent="0.3">
      <c r="B876" s="369">
        <v>92962</v>
      </c>
      <c r="C876" s="369" t="s">
        <v>163</v>
      </c>
      <c r="D876" s="369">
        <f t="shared" si="15"/>
        <v>3</v>
      </c>
      <c r="E876" s="370">
        <v>3</v>
      </c>
      <c r="F876" s="371">
        <v>0.1142</v>
      </c>
      <c r="G876" s="371">
        <v>0.375</v>
      </c>
      <c r="H876" s="371">
        <v>27.717400000000001</v>
      </c>
      <c r="K876" s="17"/>
      <c r="O876" s="137"/>
    </row>
    <row r="877" spans="2:15" x14ac:dyDescent="0.3">
      <c r="B877" s="369">
        <v>92961</v>
      </c>
      <c r="C877" s="369" t="s">
        <v>164</v>
      </c>
      <c r="D877" s="369">
        <f t="shared" si="15"/>
        <v>2.5</v>
      </c>
      <c r="E877" s="370">
        <v>2.5</v>
      </c>
      <c r="F877" s="371">
        <v>9.5100000000000004E-2</v>
      </c>
      <c r="G877" s="371">
        <v>0.3125</v>
      </c>
      <c r="H877" s="371">
        <v>23.097799999999999</v>
      </c>
      <c r="K877" s="17"/>
      <c r="O877" s="137"/>
    </row>
    <row r="878" spans="2:15" x14ac:dyDescent="0.3">
      <c r="B878" s="369">
        <v>92963</v>
      </c>
      <c r="C878" s="369" t="s">
        <v>165</v>
      </c>
      <c r="D878" s="369">
        <f t="shared" si="15"/>
        <v>3</v>
      </c>
      <c r="E878" s="370">
        <v>3</v>
      </c>
      <c r="F878" s="371">
        <v>0.1142</v>
      </c>
      <c r="G878" s="371">
        <v>0.375</v>
      </c>
      <c r="H878" s="371">
        <v>27.717400000000001</v>
      </c>
      <c r="K878" s="17"/>
      <c r="O878" s="137"/>
    </row>
    <row r="879" spans="2:15" x14ac:dyDescent="0.3">
      <c r="B879" s="369">
        <v>92986</v>
      </c>
      <c r="C879" s="369" t="s">
        <v>166</v>
      </c>
      <c r="D879" s="369">
        <f t="shared" si="15"/>
        <v>13</v>
      </c>
      <c r="E879" s="370">
        <v>13</v>
      </c>
      <c r="F879" s="371">
        <v>0.49469999999999997</v>
      </c>
      <c r="G879" s="371">
        <v>1.625</v>
      </c>
      <c r="H879" s="371">
        <v>120.1087</v>
      </c>
      <c r="K879" s="17"/>
      <c r="O879" s="137"/>
    </row>
    <row r="880" spans="2:15" x14ac:dyDescent="0.3">
      <c r="B880" s="369">
        <v>92987</v>
      </c>
      <c r="C880" s="369" t="s">
        <v>167</v>
      </c>
      <c r="D880" s="369">
        <f t="shared" si="15"/>
        <v>13</v>
      </c>
      <c r="E880" s="370">
        <v>13</v>
      </c>
      <c r="F880" s="371">
        <v>0.49469999999999997</v>
      </c>
      <c r="G880" s="371">
        <v>1.625</v>
      </c>
      <c r="H880" s="371">
        <v>120.1087</v>
      </c>
      <c r="K880" s="17"/>
      <c r="O880" s="137"/>
    </row>
    <row r="881" spans="2:15" x14ac:dyDescent="0.3">
      <c r="B881" s="369">
        <v>92988</v>
      </c>
      <c r="C881" s="369" t="s">
        <v>168</v>
      </c>
      <c r="D881" s="369">
        <f t="shared" ref="D881:D912" si="16">IF($D$1=1,E:E,IF($D$1=2,F:F,IF($D$1=3,G:G,IF($D$1=4,H:H,IF($D$1=5,I:I)))))</f>
        <v>13</v>
      </c>
      <c r="E881" s="370">
        <v>13</v>
      </c>
      <c r="F881" s="371">
        <v>0.49469999999999997</v>
      </c>
      <c r="G881" s="371">
        <v>1.625</v>
      </c>
      <c r="H881" s="371">
        <v>120.1087</v>
      </c>
      <c r="K881" s="17"/>
      <c r="O881" s="137"/>
    </row>
    <row r="882" spans="2:15" x14ac:dyDescent="0.3">
      <c r="B882" s="369">
        <v>92972</v>
      </c>
      <c r="C882" s="369" t="s">
        <v>169</v>
      </c>
      <c r="D882" s="369">
        <f t="shared" si="16"/>
        <v>25</v>
      </c>
      <c r="E882" s="370">
        <v>25</v>
      </c>
      <c r="F882" s="371">
        <v>0.95140000000000002</v>
      </c>
      <c r="G882" s="371">
        <v>3.125</v>
      </c>
      <c r="H882" s="371">
        <v>230.97829999999999</v>
      </c>
      <c r="K882" s="17"/>
      <c r="O882" s="137"/>
    </row>
    <row r="883" spans="2:15" x14ac:dyDescent="0.3">
      <c r="B883" s="369">
        <v>92971</v>
      </c>
      <c r="C883" s="369" t="s">
        <v>170</v>
      </c>
      <c r="D883" s="369">
        <f t="shared" si="16"/>
        <v>25</v>
      </c>
      <c r="E883" s="370">
        <v>25</v>
      </c>
      <c r="F883" s="371">
        <v>0.95140000000000002</v>
      </c>
      <c r="G883" s="371">
        <v>3.125</v>
      </c>
      <c r="H883" s="371">
        <v>230.97829999999999</v>
      </c>
      <c r="K883" s="17"/>
      <c r="O883" s="137"/>
    </row>
    <row r="884" spans="2:15" x14ac:dyDescent="0.3">
      <c r="B884" s="369">
        <v>92973</v>
      </c>
      <c r="C884" s="369" t="s">
        <v>171</v>
      </c>
      <c r="D884" s="369">
        <f t="shared" si="16"/>
        <v>25</v>
      </c>
      <c r="E884" s="370">
        <v>25</v>
      </c>
      <c r="F884" s="371">
        <v>0.95140000000000002</v>
      </c>
      <c r="G884" s="371">
        <v>3.125</v>
      </c>
      <c r="H884" s="371">
        <v>230.97829999999999</v>
      </c>
      <c r="K884" s="17"/>
      <c r="O884" s="137"/>
    </row>
    <row r="885" spans="2:15" x14ac:dyDescent="0.3">
      <c r="B885" s="369">
        <v>92991</v>
      </c>
      <c r="C885" s="369" t="s">
        <v>172</v>
      </c>
      <c r="D885" s="369">
        <f t="shared" si="16"/>
        <v>35</v>
      </c>
      <c r="E885" s="370">
        <v>35</v>
      </c>
      <c r="F885" s="371">
        <v>1.3319000000000001</v>
      </c>
      <c r="G885" s="371">
        <v>4.375</v>
      </c>
      <c r="H885" s="371">
        <v>323.36959999999999</v>
      </c>
      <c r="K885" s="17"/>
      <c r="O885" s="137"/>
    </row>
    <row r="886" spans="2:15" x14ac:dyDescent="0.3">
      <c r="B886" s="369">
        <v>92975</v>
      </c>
      <c r="C886" s="369" t="s">
        <v>173</v>
      </c>
      <c r="D886" s="369">
        <f t="shared" si="16"/>
        <v>3</v>
      </c>
      <c r="E886" s="370">
        <v>3</v>
      </c>
      <c r="F886" s="371">
        <v>0.1142</v>
      </c>
      <c r="G886" s="371">
        <v>0.375</v>
      </c>
      <c r="H886" s="371">
        <v>27.717400000000001</v>
      </c>
      <c r="K886" s="17"/>
      <c r="O886" s="137"/>
    </row>
    <row r="887" spans="2:15" x14ac:dyDescent="0.3">
      <c r="B887" s="369">
        <v>92968</v>
      </c>
      <c r="C887" s="369" t="s">
        <v>174</v>
      </c>
      <c r="D887" s="369">
        <f t="shared" si="16"/>
        <v>4</v>
      </c>
      <c r="E887" s="370">
        <v>4</v>
      </c>
      <c r="F887" s="371">
        <v>0.1522</v>
      </c>
      <c r="G887" s="371">
        <v>0.5</v>
      </c>
      <c r="H887" s="371">
        <v>36.956499999999998</v>
      </c>
      <c r="K887" s="17"/>
      <c r="O887" s="137"/>
    </row>
    <row r="888" spans="2:15" x14ac:dyDescent="0.3">
      <c r="B888" s="369">
        <v>92974</v>
      </c>
      <c r="C888" s="369" t="s">
        <v>175</v>
      </c>
      <c r="D888" s="369">
        <f t="shared" si="16"/>
        <v>3.5</v>
      </c>
      <c r="E888" s="370">
        <v>3.5</v>
      </c>
      <c r="F888" s="371">
        <v>0.13320000000000001</v>
      </c>
      <c r="G888" s="371">
        <v>0.4375</v>
      </c>
      <c r="H888" s="371">
        <v>32.337000000000003</v>
      </c>
      <c r="K888" s="17"/>
      <c r="O888" s="137"/>
    </row>
    <row r="889" spans="2:15" x14ac:dyDescent="0.3">
      <c r="B889" s="369">
        <v>92969</v>
      </c>
      <c r="C889" s="369" t="s">
        <v>176</v>
      </c>
      <c r="D889" s="369">
        <f t="shared" si="16"/>
        <v>4</v>
      </c>
      <c r="E889" s="370">
        <v>4</v>
      </c>
      <c r="F889" s="371">
        <v>0.1522</v>
      </c>
      <c r="G889" s="371">
        <v>0.5</v>
      </c>
      <c r="H889" s="371">
        <v>36.956499999999998</v>
      </c>
      <c r="K889" s="17"/>
      <c r="O889" s="137"/>
    </row>
    <row r="890" spans="2:15" x14ac:dyDescent="0.3">
      <c r="B890" s="369">
        <v>93001</v>
      </c>
      <c r="C890" s="369" t="s">
        <v>177</v>
      </c>
      <c r="D890" s="369">
        <f t="shared" si="16"/>
        <v>17</v>
      </c>
      <c r="E890" s="370">
        <v>17</v>
      </c>
      <c r="F890" s="371">
        <v>0.79069999999999996</v>
      </c>
      <c r="G890" s="371">
        <v>2.2667000000000002</v>
      </c>
      <c r="H890" s="371">
        <v>157.0652</v>
      </c>
      <c r="K890" s="17"/>
      <c r="O890" s="137"/>
    </row>
    <row r="891" spans="2:15" x14ac:dyDescent="0.3">
      <c r="B891" s="369">
        <v>93002</v>
      </c>
      <c r="C891" s="369" t="s">
        <v>178</v>
      </c>
      <c r="D891" s="369">
        <f t="shared" si="16"/>
        <v>17</v>
      </c>
      <c r="E891" s="370">
        <v>17</v>
      </c>
      <c r="F891" s="371">
        <v>0.79069999999999996</v>
      </c>
      <c r="G891" s="371">
        <v>2.2667000000000002</v>
      </c>
      <c r="H891" s="371">
        <v>157.0652</v>
      </c>
      <c r="K891" s="17"/>
      <c r="O891" s="137"/>
    </row>
    <row r="892" spans="2:15" x14ac:dyDescent="0.3">
      <c r="B892" s="369">
        <v>93003</v>
      </c>
      <c r="C892" s="369" t="s">
        <v>179</v>
      </c>
      <c r="D892" s="369">
        <f t="shared" si="16"/>
        <v>17</v>
      </c>
      <c r="E892" s="370">
        <v>17</v>
      </c>
      <c r="F892" s="371">
        <v>0.79069999999999996</v>
      </c>
      <c r="G892" s="371">
        <v>2.2667000000000002</v>
      </c>
      <c r="H892" s="371">
        <v>157.0652</v>
      </c>
      <c r="K892" s="17"/>
      <c r="O892" s="137"/>
    </row>
    <row r="893" spans="2:15" x14ac:dyDescent="0.3">
      <c r="B893" s="369">
        <v>93006</v>
      </c>
      <c r="C893" s="369" t="s">
        <v>180</v>
      </c>
      <c r="D893" s="369">
        <f t="shared" si="16"/>
        <v>40</v>
      </c>
      <c r="E893" s="370">
        <v>40</v>
      </c>
      <c r="F893" s="371">
        <v>1.8605</v>
      </c>
      <c r="G893" s="371">
        <v>5.3333000000000004</v>
      </c>
      <c r="H893" s="371">
        <v>369.5652</v>
      </c>
      <c r="K893" s="17"/>
      <c r="O893" s="137"/>
    </row>
    <row r="894" spans="2:15" x14ac:dyDescent="0.3">
      <c r="B894" s="369">
        <v>93010</v>
      </c>
      <c r="C894" s="369" t="s">
        <v>181</v>
      </c>
      <c r="D894" s="369">
        <f t="shared" si="16"/>
        <v>9</v>
      </c>
      <c r="E894" s="370">
        <v>9</v>
      </c>
      <c r="F894" s="371">
        <v>0.41860000000000003</v>
      </c>
      <c r="G894" s="371">
        <v>1.2</v>
      </c>
      <c r="H894" s="371">
        <v>83.152199999999993</v>
      </c>
      <c r="K894" s="17"/>
      <c r="O894" s="137"/>
    </row>
    <row r="895" spans="2:15" x14ac:dyDescent="0.3">
      <c r="B895" s="369">
        <v>93011</v>
      </c>
      <c r="C895" s="369" t="s">
        <v>182</v>
      </c>
      <c r="D895" s="369">
        <f t="shared" si="16"/>
        <v>10</v>
      </c>
      <c r="E895" s="370">
        <v>10</v>
      </c>
      <c r="F895" s="371">
        <v>0.46510000000000001</v>
      </c>
      <c r="G895" s="371">
        <v>1.3332999999999999</v>
      </c>
      <c r="H895" s="371">
        <v>92.391300000000001</v>
      </c>
      <c r="K895" s="17"/>
      <c r="O895" s="137"/>
    </row>
    <row r="896" spans="2:15" x14ac:dyDescent="0.3">
      <c r="B896" s="369">
        <v>93012</v>
      </c>
      <c r="C896" s="369" t="s">
        <v>183</v>
      </c>
      <c r="D896" s="369">
        <f t="shared" si="16"/>
        <v>11</v>
      </c>
      <c r="E896" s="370">
        <v>11</v>
      </c>
      <c r="F896" s="371">
        <v>0.51160000000000005</v>
      </c>
      <c r="G896" s="371">
        <v>1.4666999999999999</v>
      </c>
      <c r="H896" s="371">
        <v>101.63039999999999</v>
      </c>
      <c r="K896" s="17"/>
      <c r="O896" s="137"/>
    </row>
    <row r="897" spans="2:15" x14ac:dyDescent="0.3">
      <c r="B897" s="369">
        <v>93013</v>
      </c>
      <c r="C897" s="369" t="s">
        <v>184</v>
      </c>
      <c r="D897" s="369">
        <f t="shared" si="16"/>
        <v>12</v>
      </c>
      <c r="E897" s="370">
        <v>12</v>
      </c>
      <c r="F897" s="371">
        <v>0.55810000000000004</v>
      </c>
      <c r="G897" s="371">
        <v>1.6</v>
      </c>
      <c r="H897" s="371">
        <v>110.86960000000001</v>
      </c>
      <c r="K897" s="17"/>
      <c r="O897" s="137"/>
    </row>
    <row r="898" spans="2:15" x14ac:dyDescent="0.3">
      <c r="B898" s="306"/>
      <c r="C898" s="371"/>
      <c r="D898" s="369">
        <f t="shared" si="16"/>
        <v>0</v>
      </c>
      <c r="E898" s="371"/>
      <c r="F898" s="371"/>
      <c r="G898" s="371"/>
      <c r="H898" s="371"/>
      <c r="K898" s="17"/>
      <c r="O898" s="137"/>
    </row>
    <row r="899" spans="2:15" x14ac:dyDescent="0.3">
      <c r="B899" s="306">
        <v>12109</v>
      </c>
      <c r="C899" s="371" t="s">
        <v>682</v>
      </c>
      <c r="D899" s="369">
        <f t="shared" si="16"/>
        <v>63.00958</v>
      </c>
      <c r="E899" s="371">
        <v>63.00958</v>
      </c>
      <c r="F899" s="371">
        <v>2.2646000000000002</v>
      </c>
      <c r="G899" s="371">
        <v>8.8739000000000008</v>
      </c>
      <c r="H899" s="371">
        <v>616.3981</v>
      </c>
      <c r="K899" s="17"/>
      <c r="O899" s="137"/>
    </row>
    <row r="900" spans="2:15" x14ac:dyDescent="0.3">
      <c r="B900" s="369">
        <v>12130</v>
      </c>
      <c r="C900" s="369" t="s">
        <v>185</v>
      </c>
      <c r="D900" s="369">
        <f t="shared" si="16"/>
        <v>72.46181</v>
      </c>
      <c r="E900" s="370">
        <v>72.46181</v>
      </c>
      <c r="F900" s="371">
        <v>2.6042999999999998</v>
      </c>
      <c r="G900" s="371">
        <v>10.205</v>
      </c>
      <c r="H900" s="371">
        <v>708.8655</v>
      </c>
      <c r="K900" s="17"/>
      <c r="O900" s="137"/>
    </row>
    <row r="901" spans="2:15" x14ac:dyDescent="0.3">
      <c r="B901" s="369">
        <v>12121</v>
      </c>
      <c r="C901" s="369" t="s">
        <v>186</v>
      </c>
      <c r="D901" s="369">
        <f t="shared" si="16"/>
        <v>72.46181</v>
      </c>
      <c r="E901" s="370">
        <v>72.46181</v>
      </c>
      <c r="F901" s="371">
        <v>2.6042999999999998</v>
      </c>
      <c r="G901" s="371">
        <v>10.205</v>
      </c>
      <c r="H901" s="371">
        <v>708.8655</v>
      </c>
      <c r="K901" s="17"/>
      <c r="O901" s="137"/>
    </row>
    <row r="902" spans="2:15" x14ac:dyDescent="0.3">
      <c r="B902" s="369">
        <v>12124</v>
      </c>
      <c r="C902" s="369" t="s">
        <v>187</v>
      </c>
      <c r="D902" s="369">
        <f t="shared" si="16"/>
        <v>72.46181</v>
      </c>
      <c r="E902" s="370">
        <v>72.46181</v>
      </c>
      <c r="F902" s="371">
        <v>2.6042999999999998</v>
      </c>
      <c r="G902" s="371">
        <v>10.205</v>
      </c>
      <c r="H902" s="371">
        <v>708.8655</v>
      </c>
      <c r="K902" s="17"/>
      <c r="O902" s="137"/>
    </row>
    <row r="903" spans="2:15" x14ac:dyDescent="0.3">
      <c r="B903" s="369">
        <v>12104</v>
      </c>
      <c r="C903" s="369" t="s">
        <v>188</v>
      </c>
      <c r="D903" s="369">
        <f t="shared" si="16"/>
        <v>68.667379999999994</v>
      </c>
      <c r="E903" s="370">
        <v>68.667379999999994</v>
      </c>
      <c r="F903" s="371">
        <v>2.468</v>
      </c>
      <c r="G903" s="371">
        <v>9.6707000000000001</v>
      </c>
      <c r="H903" s="371">
        <v>671.74609999999996</v>
      </c>
      <c r="K903" s="17"/>
      <c r="O903" s="137"/>
    </row>
    <row r="904" spans="2:15" x14ac:dyDescent="0.3">
      <c r="B904" s="369">
        <v>13030</v>
      </c>
      <c r="C904" s="369" t="s">
        <v>189</v>
      </c>
      <c r="D904" s="369">
        <f t="shared" si="16"/>
        <v>34.292349999999999</v>
      </c>
      <c r="E904" s="370">
        <v>34.292349999999999</v>
      </c>
      <c r="F904" s="371">
        <v>1.2324999999999999</v>
      </c>
      <c r="G904" s="371">
        <v>4.8295000000000003</v>
      </c>
      <c r="H904" s="371">
        <v>335.46859999999998</v>
      </c>
      <c r="K904" s="17"/>
      <c r="O904" s="137"/>
    </row>
    <row r="905" spans="2:15" x14ac:dyDescent="0.3">
      <c r="B905" s="369">
        <v>12033</v>
      </c>
      <c r="C905" s="369" t="s">
        <v>190</v>
      </c>
      <c r="D905" s="369">
        <f t="shared" si="16"/>
        <v>37.96275</v>
      </c>
      <c r="E905" s="370">
        <v>37.96275</v>
      </c>
      <c r="F905" s="371">
        <v>1.3644000000000001</v>
      </c>
      <c r="G905" s="371">
        <v>5.3464</v>
      </c>
      <c r="H905" s="371">
        <v>371.37470000000002</v>
      </c>
      <c r="K905" s="17"/>
      <c r="O905" s="137"/>
    </row>
    <row r="906" spans="2:15" x14ac:dyDescent="0.3">
      <c r="B906" s="369">
        <v>12034</v>
      </c>
      <c r="C906" s="369" t="s">
        <v>191</v>
      </c>
      <c r="D906" s="369">
        <f t="shared" si="16"/>
        <v>39.93347</v>
      </c>
      <c r="E906" s="370">
        <v>39.93347</v>
      </c>
      <c r="F906" s="371">
        <v>1.4352</v>
      </c>
      <c r="G906" s="371">
        <v>5.6239999999999997</v>
      </c>
      <c r="H906" s="371">
        <v>390.65350000000001</v>
      </c>
      <c r="K906" s="17"/>
      <c r="O906" s="137"/>
    </row>
    <row r="907" spans="2:15" x14ac:dyDescent="0.3">
      <c r="B907" s="369">
        <v>118033</v>
      </c>
      <c r="C907" s="369" t="s">
        <v>812</v>
      </c>
      <c r="D907" s="369">
        <f t="shared" si="16"/>
        <v>0</v>
      </c>
      <c r="E907" s="370"/>
      <c r="F907" s="371"/>
      <c r="G907" s="371"/>
      <c r="H907" s="371"/>
      <c r="K907" s="17"/>
      <c r="O907" s="137"/>
    </row>
    <row r="908" spans="2:15" x14ac:dyDescent="0.3">
      <c r="B908" s="369">
        <v>12105</v>
      </c>
      <c r="C908" s="369" t="s">
        <v>192</v>
      </c>
      <c r="D908" s="369">
        <f t="shared" si="16"/>
        <v>68.851129999999998</v>
      </c>
      <c r="E908" s="370">
        <v>68.851129999999998</v>
      </c>
      <c r="F908" s="371">
        <v>2.4746000000000001</v>
      </c>
      <c r="G908" s="371">
        <v>9.6965000000000003</v>
      </c>
      <c r="H908" s="371">
        <v>673.54369999999994</v>
      </c>
      <c r="K908" s="17"/>
      <c r="O908" s="137"/>
    </row>
    <row r="909" spans="2:15" x14ac:dyDescent="0.3">
      <c r="B909" s="369">
        <v>12106</v>
      </c>
      <c r="C909" s="369" t="s">
        <v>193</v>
      </c>
      <c r="D909" s="369">
        <f t="shared" si="16"/>
        <v>62.658749999999998</v>
      </c>
      <c r="E909" s="370">
        <v>62.658749999999998</v>
      </c>
      <c r="F909" s="371">
        <v>2.2519999999999998</v>
      </c>
      <c r="G909" s="371">
        <v>8.8244000000000007</v>
      </c>
      <c r="H909" s="371">
        <v>612.96600000000001</v>
      </c>
      <c r="K909" s="17"/>
      <c r="O909" s="137"/>
    </row>
    <row r="910" spans="2:15" x14ac:dyDescent="0.3">
      <c r="B910" s="369">
        <v>12107</v>
      </c>
      <c r="C910" s="369" t="s">
        <v>194</v>
      </c>
      <c r="D910" s="369">
        <f t="shared" si="16"/>
        <v>66.324560000000005</v>
      </c>
      <c r="E910" s="370">
        <v>66.324560000000005</v>
      </c>
      <c r="F910" s="371">
        <v>2.3837999999999999</v>
      </c>
      <c r="G910" s="371">
        <v>9.3407</v>
      </c>
      <c r="H910" s="371">
        <v>648.82719999999995</v>
      </c>
      <c r="K910" s="17"/>
      <c r="O910" s="137"/>
    </row>
    <row r="911" spans="2:15" x14ac:dyDescent="0.3">
      <c r="B911" s="369">
        <v>12108</v>
      </c>
      <c r="C911" s="369" t="s">
        <v>195</v>
      </c>
      <c r="D911" s="369">
        <f t="shared" si="16"/>
        <v>66.517499999999998</v>
      </c>
      <c r="E911" s="370">
        <v>66.517499999999998</v>
      </c>
      <c r="F911" s="371">
        <v>2.3906999999999998</v>
      </c>
      <c r="G911" s="371">
        <v>9.3679000000000006</v>
      </c>
      <c r="H911" s="371">
        <v>650.71469999999999</v>
      </c>
      <c r="K911" s="17"/>
      <c r="O911" s="137"/>
    </row>
    <row r="912" spans="2:15" x14ac:dyDescent="0.3">
      <c r="B912" s="369">
        <v>12002</v>
      </c>
      <c r="C912" s="369" t="s">
        <v>196</v>
      </c>
      <c r="D912" s="369">
        <f t="shared" si="16"/>
        <v>22.573689999999999</v>
      </c>
      <c r="E912" s="370">
        <v>22.573689999999999</v>
      </c>
      <c r="F912" s="371">
        <v>0.81130000000000002</v>
      </c>
      <c r="G912" s="371">
        <v>3.1791</v>
      </c>
      <c r="H912" s="371">
        <v>220.8296</v>
      </c>
      <c r="J912" s="17"/>
      <c r="O912" s="137"/>
    </row>
    <row r="913" spans="2:15" x14ac:dyDescent="0.3">
      <c r="B913" s="369">
        <v>12005</v>
      </c>
      <c r="C913" s="369" t="s">
        <v>197</v>
      </c>
      <c r="D913" s="369">
        <f t="shared" ref="D913:D919" si="17">IF($D$1=1,E:E,IF($D$1=2,F:F,IF($D$1=3,G:G,IF($D$1=4,H:H,IF($D$1=5,I:I)))))</f>
        <v>26.2395</v>
      </c>
      <c r="E913" s="370">
        <v>26.2395</v>
      </c>
      <c r="F913" s="371">
        <v>0.94310000000000005</v>
      </c>
      <c r="G913" s="371">
        <v>3.6953999999999998</v>
      </c>
      <c r="H913" s="371">
        <v>256.69080000000002</v>
      </c>
      <c r="J913" s="17"/>
      <c r="O913" s="137"/>
    </row>
    <row r="914" spans="2:15" x14ac:dyDescent="0.3">
      <c r="B914" s="369">
        <v>12008</v>
      </c>
      <c r="C914" s="369" t="s">
        <v>198</v>
      </c>
      <c r="D914" s="369">
        <f t="shared" si="17"/>
        <v>26.423249999999999</v>
      </c>
      <c r="E914" s="370">
        <v>26.423249999999999</v>
      </c>
      <c r="F914" s="371">
        <v>0.94969999999999999</v>
      </c>
      <c r="G914" s="371">
        <v>3.7212999999999998</v>
      </c>
      <c r="H914" s="371">
        <v>258.48829999999998</v>
      </c>
      <c r="J914" s="17"/>
      <c r="O914" s="137"/>
    </row>
    <row r="915" spans="2:15" x14ac:dyDescent="0.3">
      <c r="B915" s="369">
        <v>12306</v>
      </c>
      <c r="C915" s="369" t="s">
        <v>199</v>
      </c>
      <c r="D915" s="369">
        <f t="shared" si="17"/>
        <v>4.2951600000000001</v>
      </c>
      <c r="E915" s="370">
        <v>4.2951600000000001</v>
      </c>
      <c r="F915" s="371">
        <v>0.15440000000000001</v>
      </c>
      <c r="G915" s="371">
        <v>0.60489999999999999</v>
      </c>
      <c r="H915" s="371">
        <v>42.017899999999997</v>
      </c>
      <c r="J915" s="17"/>
      <c r="O915" s="137"/>
    </row>
    <row r="916" spans="2:15" x14ac:dyDescent="0.3">
      <c r="B916" s="369">
        <v>12318</v>
      </c>
      <c r="C916" s="369" t="s">
        <v>200</v>
      </c>
      <c r="D916" s="369">
        <f t="shared" si="17"/>
        <v>6.2750599999999999</v>
      </c>
      <c r="E916" s="370">
        <v>6.2750599999999999</v>
      </c>
      <c r="F916" s="371">
        <v>0.22550000000000001</v>
      </c>
      <c r="G916" s="371">
        <v>0.88370000000000004</v>
      </c>
      <c r="H916" s="371">
        <v>61.386499999999998</v>
      </c>
      <c r="K916" s="17"/>
      <c r="O916" s="137"/>
    </row>
    <row r="917" spans="2:15" x14ac:dyDescent="0.3">
      <c r="B917" s="369">
        <v>12323</v>
      </c>
      <c r="C917" s="369" t="s">
        <v>201</v>
      </c>
      <c r="D917" s="369">
        <f t="shared" si="17"/>
        <v>16.073540000000001</v>
      </c>
      <c r="E917" s="370">
        <v>16.073540000000001</v>
      </c>
      <c r="F917" s="371">
        <v>0.57769999999999999</v>
      </c>
      <c r="G917" s="371">
        <v>2.2637</v>
      </c>
      <c r="H917" s="371">
        <v>157.24119999999999</v>
      </c>
      <c r="K917" s="17"/>
      <c r="O917" s="137"/>
    </row>
    <row r="918" spans="2:15" x14ac:dyDescent="0.3">
      <c r="B918" s="369">
        <v>12319</v>
      </c>
      <c r="C918" s="369" t="s">
        <v>202</v>
      </c>
      <c r="D918" s="369">
        <f t="shared" si="17"/>
        <v>21.0945</v>
      </c>
      <c r="E918" s="370">
        <v>21.0945</v>
      </c>
      <c r="F918" s="371">
        <v>0.75819999999999999</v>
      </c>
      <c r="G918" s="371">
        <v>2.9708000000000001</v>
      </c>
      <c r="H918" s="371">
        <v>206.35919999999999</v>
      </c>
      <c r="K918" s="17"/>
      <c r="O918" s="137"/>
    </row>
    <row r="919" spans="2:15" ht="14.25" customHeight="1" x14ac:dyDescent="0.3">
      <c r="B919" s="371">
        <v>12023</v>
      </c>
      <c r="C919" s="372" t="s">
        <v>663</v>
      </c>
      <c r="D919" s="369">
        <f t="shared" si="17"/>
        <v>36.267659999999999</v>
      </c>
      <c r="E919" s="371">
        <v>36.267659999999999</v>
      </c>
      <c r="F919" s="371">
        <v>1.3035000000000001</v>
      </c>
      <c r="G919" s="371">
        <v>5.1077000000000004</v>
      </c>
      <c r="H919" s="371">
        <v>354.79230000000001</v>
      </c>
      <c r="K919" s="17"/>
      <c r="O919" s="137"/>
    </row>
    <row r="920" spans="2:15" ht="14.25" customHeight="1" x14ac:dyDescent="0.3">
      <c r="B920" s="280" t="s">
        <v>768</v>
      </c>
      <c r="C920" s="373"/>
      <c r="D920" s="374" t="s">
        <v>767</v>
      </c>
      <c r="E920" s="280" t="s">
        <v>766</v>
      </c>
      <c r="F920" s="374" t="s">
        <v>767</v>
      </c>
      <c r="G920" s="280" t="s">
        <v>766</v>
      </c>
      <c r="H920" s="280"/>
      <c r="K920" s="17"/>
      <c r="O920" s="137"/>
    </row>
    <row r="921" spans="2:15" ht="14.25" customHeight="1" x14ac:dyDescent="0.3">
      <c r="B921" s="280" t="s">
        <v>754</v>
      </c>
      <c r="C921" s="373" t="s">
        <v>253</v>
      </c>
      <c r="D921" s="374" t="s">
        <v>769</v>
      </c>
      <c r="E921" s="280" t="s">
        <v>769</v>
      </c>
      <c r="F921" s="280" t="str">
        <f t="shared" ref="F921:F940" si="18">CONCATENATE(C921,"",D921)</f>
        <v>STRONG 30N(15580+15585)</v>
      </c>
      <c r="G921" s="280" t="str">
        <f t="shared" ref="G921:G940" si="19">CONCATENATE(C921,"",E921)</f>
        <v>STRONG 30N(15580+15585)</v>
      </c>
      <c r="H921" s="280"/>
      <c r="K921" s="17"/>
      <c r="O921" s="137"/>
    </row>
    <row r="922" spans="2:15" ht="14.25" customHeight="1" x14ac:dyDescent="0.3">
      <c r="B922" s="280" t="s">
        <v>754</v>
      </c>
      <c r="C922" s="373" t="s">
        <v>254</v>
      </c>
      <c r="D922" s="374" t="s">
        <v>770</v>
      </c>
      <c r="E922" s="280" t="s">
        <v>770</v>
      </c>
      <c r="F922" s="280" t="str">
        <f t="shared" si="18"/>
        <v>STRONG 60N(15581+15585)</v>
      </c>
      <c r="G922" s="280" t="str">
        <f t="shared" si="19"/>
        <v>STRONG 60N(15581+15585)</v>
      </c>
      <c r="H922" s="280"/>
      <c r="K922" s="17"/>
      <c r="O922" s="137"/>
    </row>
    <row r="923" spans="2:15" ht="14.25" customHeight="1" x14ac:dyDescent="0.3">
      <c r="B923" s="280" t="s">
        <v>754</v>
      </c>
      <c r="C923" s="373" t="s">
        <v>255</v>
      </c>
      <c r="D923" s="374" t="s">
        <v>771</v>
      </c>
      <c r="E923" s="280" t="s">
        <v>771</v>
      </c>
      <c r="F923" s="280" t="str">
        <f t="shared" si="18"/>
        <v>STRONG 80N(15582+15585)</v>
      </c>
      <c r="G923" s="280" t="str">
        <f t="shared" si="19"/>
        <v>STRONG 80N(15582+15585)</v>
      </c>
      <c r="H923" s="280"/>
      <c r="K923" s="17"/>
      <c r="O923" s="137"/>
    </row>
    <row r="924" spans="2:15" ht="14.25" customHeight="1" x14ac:dyDescent="0.3">
      <c r="B924" s="280" t="s">
        <v>754</v>
      </c>
      <c r="C924" s="373" t="s">
        <v>256</v>
      </c>
      <c r="D924" s="374" t="s">
        <v>772</v>
      </c>
      <c r="E924" s="280" t="s">
        <v>772</v>
      </c>
      <c r="F924" s="280" t="str">
        <f t="shared" si="18"/>
        <v>STRONG 100N(15583+15585)</v>
      </c>
      <c r="G924" s="280" t="str">
        <f t="shared" si="19"/>
        <v>STRONG 100N(15583+15585)</v>
      </c>
      <c r="H924" s="280"/>
      <c r="K924" s="17"/>
      <c r="O924" s="137"/>
    </row>
    <row r="925" spans="2:15" ht="14.25" customHeight="1" x14ac:dyDescent="0.3">
      <c r="B925" s="280" t="s">
        <v>754</v>
      </c>
      <c r="C925" s="373" t="s">
        <v>257</v>
      </c>
      <c r="D925" s="374" t="s">
        <v>773</v>
      </c>
      <c r="E925" s="280" t="s">
        <v>773</v>
      </c>
      <c r="F925" s="280" t="str">
        <f t="shared" si="18"/>
        <v>STRONG 120N(15584+15585)</v>
      </c>
      <c r="G925" s="280" t="str">
        <f t="shared" si="19"/>
        <v>STRONG 120N(15584+15585)</v>
      </c>
      <c r="H925" s="280"/>
      <c r="K925" s="17"/>
      <c r="O925" s="137"/>
    </row>
    <row r="926" spans="2:15" ht="14.25" customHeight="1" x14ac:dyDescent="0.3">
      <c r="B926" s="280" t="s">
        <v>754</v>
      </c>
      <c r="C926" s="373" t="s">
        <v>775</v>
      </c>
      <c r="D926" s="374" t="s">
        <v>785</v>
      </c>
      <c r="E926" s="374" t="s">
        <v>781</v>
      </c>
      <c r="F926" s="280" t="str">
        <f t="shared" si="18"/>
        <v>HUWILIFT MAXI (A)(135040+135044+135024)</v>
      </c>
      <c r="G926" s="280" t="str">
        <f t="shared" si="19"/>
        <v>HUWILIFT MAXI (A)(135040+135044+135045)</v>
      </c>
      <c r="H926" s="280"/>
      <c r="K926" s="17"/>
      <c r="O926" s="137"/>
    </row>
    <row r="927" spans="2:15" ht="14.25" customHeight="1" x14ac:dyDescent="0.3">
      <c r="B927" s="280" t="s">
        <v>754</v>
      </c>
      <c r="C927" s="373" t="s">
        <v>776</v>
      </c>
      <c r="D927" s="374" t="s">
        <v>778</v>
      </c>
      <c r="E927" s="374" t="s">
        <v>782</v>
      </c>
      <c r="F927" s="280" t="str">
        <f t="shared" si="18"/>
        <v>HUWILIFT MAXI (B)(135041+135044+135024)</v>
      </c>
      <c r="G927" s="280" t="str">
        <f t="shared" si="19"/>
        <v>HUWILIFT MAXI (B)(135041+135044+135045)</v>
      </c>
      <c r="H927" s="280"/>
      <c r="K927" s="17"/>
      <c r="O927" s="137"/>
    </row>
    <row r="928" spans="2:15" ht="14.25" customHeight="1" x14ac:dyDescent="0.3">
      <c r="B928" s="280" t="s">
        <v>754</v>
      </c>
      <c r="C928" s="373" t="s">
        <v>801</v>
      </c>
      <c r="D928" s="374" t="s">
        <v>779</v>
      </c>
      <c r="E928" s="374" t="s">
        <v>783</v>
      </c>
      <c r="F928" s="280" t="str">
        <f t="shared" si="18"/>
        <v>HUWILIFT MAXI (C )(135042+135044+135024)</v>
      </c>
      <c r="G928" s="280" t="str">
        <f t="shared" si="19"/>
        <v>HUWILIFT MAXI (C )(135042+135044+135045)</v>
      </c>
      <c r="H928" s="280"/>
      <c r="K928" s="17"/>
      <c r="O928" s="137"/>
    </row>
    <row r="929" spans="2:15" ht="14.25" customHeight="1" x14ac:dyDescent="0.3">
      <c r="B929" s="280" t="s">
        <v>754</v>
      </c>
      <c r="C929" s="373" t="s">
        <v>777</v>
      </c>
      <c r="D929" s="374" t="s">
        <v>780</v>
      </c>
      <c r="E929" s="374" t="s">
        <v>784</v>
      </c>
      <c r="F929" s="280" t="str">
        <f t="shared" si="18"/>
        <v>HUWILIFT MAXI (D)(135043+135044+135024)</v>
      </c>
      <c r="G929" s="280" t="str">
        <f t="shared" si="19"/>
        <v>HUWILIFT MAXI (D)(135043+135044+135045)</v>
      </c>
      <c r="H929" s="280"/>
      <c r="K929" s="17"/>
      <c r="O929" s="137"/>
    </row>
    <row r="930" spans="2:15" ht="14.25" customHeight="1" x14ac:dyDescent="0.3">
      <c r="B930" s="280" t="s">
        <v>754</v>
      </c>
      <c r="C930" s="373" t="s">
        <v>756</v>
      </c>
      <c r="D930" s="374" t="s">
        <v>978</v>
      </c>
      <c r="E930" s="374" t="s">
        <v>786</v>
      </c>
      <c r="F930" s="280" t="str">
        <f t="shared" si="18"/>
        <v>KRABY 164 45N(135006+15595-9 +15598)</v>
      </c>
      <c r="G930" s="280" t="str">
        <f t="shared" si="19"/>
        <v>KRABY 164 45N(135006+15595+15596)</v>
      </c>
      <c r="H930" s="280"/>
      <c r="K930" s="17"/>
      <c r="O930" s="137"/>
    </row>
    <row r="931" spans="2:15" ht="14.25" customHeight="1" x14ac:dyDescent="0.3">
      <c r="B931" s="280" t="s">
        <v>754</v>
      </c>
      <c r="C931" s="373" t="s">
        <v>757</v>
      </c>
      <c r="D931" s="374" t="s">
        <v>979</v>
      </c>
      <c r="E931" s="374" t="s">
        <v>787</v>
      </c>
      <c r="F931" s="280" t="str">
        <f t="shared" si="18"/>
        <v>KRABY 164 60N(135007+15595-9 +15598)</v>
      </c>
      <c r="G931" s="280" t="str">
        <f t="shared" si="19"/>
        <v>KRABY 164 60N(135007+15595+15596)</v>
      </c>
      <c r="H931" s="280"/>
      <c r="K931" s="17"/>
      <c r="O931" s="137"/>
    </row>
    <row r="932" spans="2:15" ht="14.25" customHeight="1" x14ac:dyDescent="0.3">
      <c r="B932" s="280" t="s">
        <v>754</v>
      </c>
      <c r="C932" s="373" t="s">
        <v>758</v>
      </c>
      <c r="D932" s="374" t="s">
        <v>980</v>
      </c>
      <c r="E932" s="374" t="s">
        <v>788</v>
      </c>
      <c r="F932" s="280" t="str">
        <f t="shared" si="18"/>
        <v>KRABY 244 45N(15590+15595-9 +15598)</v>
      </c>
      <c r="G932" s="280" t="str">
        <f t="shared" si="19"/>
        <v>KRABY 244 45N(15590+15595+15596)</v>
      </c>
      <c r="H932" s="280"/>
      <c r="K932" s="17"/>
      <c r="O932" s="137"/>
    </row>
    <row r="933" spans="2:15" ht="14.25" customHeight="1" x14ac:dyDescent="0.3">
      <c r="B933" s="280" t="s">
        <v>754</v>
      </c>
      <c r="C933" s="373" t="s">
        <v>759</v>
      </c>
      <c r="D933" s="374" t="s">
        <v>981</v>
      </c>
      <c r="E933" s="374" t="s">
        <v>789</v>
      </c>
      <c r="F933" s="280" t="str">
        <f t="shared" si="18"/>
        <v>KRABY 244 60N(15591+15595-9 +15598)</v>
      </c>
      <c r="G933" s="280" t="str">
        <f t="shared" si="19"/>
        <v>KRABY 244 60N(15591+15595+15596)</v>
      </c>
      <c r="H933" s="280"/>
      <c r="K933" s="17"/>
      <c r="O933" s="137"/>
    </row>
    <row r="934" spans="2:15" ht="14.25" customHeight="1" x14ac:dyDescent="0.3">
      <c r="B934" s="280" t="s">
        <v>754</v>
      </c>
      <c r="C934" s="373" t="s">
        <v>760</v>
      </c>
      <c r="D934" s="374" t="s">
        <v>982</v>
      </c>
      <c r="E934" s="374" t="s">
        <v>790</v>
      </c>
      <c r="F934" s="280" t="str">
        <f t="shared" si="18"/>
        <v>KRABY 244 90N(15592+15595-9 +15598)</v>
      </c>
      <c r="G934" s="280" t="str">
        <f t="shared" si="19"/>
        <v>KRABY 244 90N(15592+15595+15596)</v>
      </c>
      <c r="H934" s="280"/>
      <c r="K934" s="17"/>
      <c r="O934" s="137"/>
    </row>
    <row r="935" spans="2:15" ht="14.25" customHeight="1" x14ac:dyDescent="0.3">
      <c r="B935" s="280" t="s">
        <v>754</v>
      </c>
      <c r="C935" s="373" t="s">
        <v>761</v>
      </c>
      <c r="D935" s="374" t="s">
        <v>983</v>
      </c>
      <c r="E935" s="374" t="s">
        <v>791</v>
      </c>
      <c r="F935" s="280" t="str">
        <f t="shared" si="18"/>
        <v>KRABY 244 120N(15593+15595-9 +15598)</v>
      </c>
      <c r="G935" s="280" t="str">
        <f t="shared" si="19"/>
        <v>KRABY 244 120N(15593+15595+15596)</v>
      </c>
      <c r="H935" s="280"/>
      <c r="K935" s="17"/>
      <c r="O935" s="137"/>
    </row>
    <row r="936" spans="2:15" ht="14.25" customHeight="1" x14ac:dyDescent="0.3">
      <c r="B936" s="280" t="s">
        <v>754</v>
      </c>
      <c r="C936" s="373" t="s">
        <v>762</v>
      </c>
      <c r="D936" s="374" t="s">
        <v>984</v>
      </c>
      <c r="E936" s="374" t="s">
        <v>792</v>
      </c>
      <c r="F936" s="280" t="str">
        <f t="shared" si="18"/>
        <v>KRABY 355 45N(135008+15595-9 +15598)</v>
      </c>
      <c r="G936" s="280" t="str">
        <f t="shared" si="19"/>
        <v>KRABY 355 45N(135008+15595+15596)</v>
      </c>
      <c r="H936" s="280"/>
      <c r="K936" s="17"/>
      <c r="O936" s="137"/>
    </row>
    <row r="937" spans="2:15" ht="14.25" customHeight="1" x14ac:dyDescent="0.3">
      <c r="B937" s="280" t="s">
        <v>754</v>
      </c>
      <c r="C937" s="373" t="s">
        <v>763</v>
      </c>
      <c r="D937" s="374" t="s">
        <v>985</v>
      </c>
      <c r="E937" s="374" t="s">
        <v>793</v>
      </c>
      <c r="F937" s="280" t="str">
        <f t="shared" si="18"/>
        <v>KRABY 355 60N(135009+15595-9 +15598)</v>
      </c>
      <c r="G937" s="280" t="str">
        <f t="shared" si="19"/>
        <v>KRABY 355 60N(135009+15595+15596)</v>
      </c>
      <c r="H937" s="280"/>
      <c r="K937" s="17"/>
      <c r="O937" s="137"/>
    </row>
    <row r="938" spans="2:15" ht="14.25" customHeight="1" x14ac:dyDescent="0.3">
      <c r="B938" s="280" t="s">
        <v>754</v>
      </c>
      <c r="C938" s="373" t="s">
        <v>764</v>
      </c>
      <c r="D938" s="374" t="s">
        <v>986</v>
      </c>
      <c r="E938" s="374" t="s">
        <v>794</v>
      </c>
      <c r="F938" s="280" t="str">
        <f t="shared" si="18"/>
        <v>KRABY 355 90N(135010+15595-9 +15598)</v>
      </c>
      <c r="G938" s="280" t="str">
        <f t="shared" si="19"/>
        <v>KRABY 355 90N(135010+15595+15596)</v>
      </c>
      <c r="H938" s="280"/>
      <c r="K938" s="17"/>
      <c r="O938" s="137"/>
    </row>
    <row r="939" spans="2:15" ht="14.25" customHeight="1" x14ac:dyDescent="0.3">
      <c r="B939" s="280" t="s">
        <v>754</v>
      </c>
      <c r="C939" s="373" t="s">
        <v>765</v>
      </c>
      <c r="D939" s="374" t="s">
        <v>987</v>
      </c>
      <c r="E939" s="374" t="s">
        <v>795</v>
      </c>
      <c r="F939" s="280" t="str">
        <f t="shared" si="18"/>
        <v>KRABY 355 120N(135011+15595-9 +15598)</v>
      </c>
      <c r="G939" s="280" t="str">
        <f t="shared" si="19"/>
        <v>KRABY 355 120N(135011+15595+15596)</v>
      </c>
      <c r="H939" s="280"/>
      <c r="K939" s="17"/>
      <c r="O939" s="137"/>
    </row>
    <row r="940" spans="2:15" ht="14.25" customHeight="1" x14ac:dyDescent="0.3">
      <c r="B940" s="280" t="s">
        <v>805</v>
      </c>
      <c r="C940" s="373" t="s">
        <v>859</v>
      </c>
      <c r="D940" s="374" t="s">
        <v>799</v>
      </c>
      <c r="E940" s="280" t="s">
        <v>800</v>
      </c>
      <c r="F940" s="280" t="str">
        <f t="shared" si="18"/>
        <v>HUWIL DUO (90°)(135017+135019+135024)</v>
      </c>
      <c r="G940" s="280" t="str">
        <f t="shared" si="19"/>
        <v>HUWIL DUO (90°)(135017+135019+135021)</v>
      </c>
      <c r="H940" s="280"/>
      <c r="K940" s="17"/>
      <c r="O940" s="137"/>
    </row>
    <row r="941" spans="2:15" ht="14.25" customHeight="1" x14ac:dyDescent="0.3">
      <c r="B941" s="280" t="s">
        <v>755</v>
      </c>
      <c r="C941" s="373" t="s">
        <v>110</v>
      </c>
      <c r="D941" s="374" t="s">
        <v>774</v>
      </c>
      <c r="E941" s="280" t="s">
        <v>774</v>
      </c>
      <c r="F941" s="280" t="str">
        <f>CONCATENATE(C941,"",$B$250,"",D941)</f>
        <v>STRONGspodní(15490+15490)</v>
      </c>
      <c r="G941" s="280" t="str">
        <f>CONCATENATE(C941,"",$B$250,"",E941)</f>
        <v>STRONGspodní(15490+15490)</v>
      </c>
      <c r="H941" s="280"/>
      <c r="K941" s="17"/>
      <c r="O941" s="137"/>
    </row>
    <row r="942" spans="2:15" ht="14.25" customHeight="1" x14ac:dyDescent="0.3">
      <c r="B942" s="280" t="s">
        <v>755</v>
      </c>
      <c r="C942" s="373" t="s">
        <v>802</v>
      </c>
      <c r="D942" s="374" t="s">
        <v>988</v>
      </c>
      <c r="E942" s="374" t="s">
        <v>796</v>
      </c>
      <c r="F942" s="280" t="str">
        <f>CONCATENATE(C942,"",$B$250,"",D942)</f>
        <v>KRABY 164spodní(15588+15595-9 +15598)</v>
      </c>
      <c r="G942" s="280" t="str">
        <f>CONCATENATE(C942,"",$B$250,"",E942)</f>
        <v>KRABY 164spodní(15588+15595+15596)</v>
      </c>
      <c r="H942" s="280"/>
      <c r="K942" s="17"/>
      <c r="O942" s="137"/>
    </row>
    <row r="943" spans="2:15" ht="14.25" customHeight="1" x14ac:dyDescent="0.3">
      <c r="B943" s="280" t="s">
        <v>755</v>
      </c>
      <c r="C943" s="373" t="s">
        <v>803</v>
      </c>
      <c r="D943" s="374" t="s">
        <v>989</v>
      </c>
      <c r="E943" s="374" t="s">
        <v>797</v>
      </c>
      <c r="F943" s="280" t="str">
        <f>CONCATENATE(C943,"",$B$250,"",D943)</f>
        <v>KRABY 244spodní(15594+15595-9 +15598)</v>
      </c>
      <c r="G943" s="280" t="str">
        <f>CONCATENATE(C943,"",$B$250,"",E943)</f>
        <v>KRABY 244spodní(15594+15595+15596)</v>
      </c>
      <c r="H943" s="280"/>
      <c r="K943" s="17"/>
      <c r="O943" s="137"/>
    </row>
    <row r="944" spans="2:15" ht="14.25" customHeight="1" x14ac:dyDescent="0.3">
      <c r="B944" s="280" t="s">
        <v>755</v>
      </c>
      <c r="C944" s="373" t="s">
        <v>804</v>
      </c>
      <c r="D944" s="374" t="s">
        <v>990</v>
      </c>
      <c r="E944" s="374" t="s">
        <v>798</v>
      </c>
      <c r="F944" s="280" t="str">
        <f>CONCATENATE(C944,"",$B$250,"",D944)</f>
        <v>KRABY 355spodní(15589+15595-9 +15598)</v>
      </c>
      <c r="G944" s="280" t="str">
        <f>CONCATENATE(C944,"",$B$250,"",E944)</f>
        <v>KRABY 355spodní(15589+15595+15596)</v>
      </c>
      <c r="H944" s="280"/>
      <c r="K944" s="17"/>
      <c r="O944" s="137"/>
    </row>
    <row r="945" spans="2:15" ht="14.25" customHeight="1" x14ac:dyDescent="0.3">
      <c r="B945" s="280"/>
      <c r="C945" s="373"/>
      <c r="D945" s="374"/>
      <c r="E945" s="280"/>
      <c r="F945" s="280"/>
      <c r="G945" s="280"/>
      <c r="H945" s="280"/>
      <c r="K945" s="17"/>
      <c r="O945" s="137"/>
    </row>
    <row r="946" spans="2:15" ht="14.25" customHeight="1" x14ac:dyDescent="0.3">
      <c r="B946" s="280"/>
      <c r="C946" s="373"/>
      <c r="D946" s="374"/>
      <c r="E946" s="280"/>
      <c r="F946" s="280"/>
      <c r="G946" s="280"/>
      <c r="H946" s="280"/>
      <c r="K946" s="17" t="s">
        <v>669</v>
      </c>
      <c r="O946" s="137"/>
    </row>
    <row r="947" spans="2:15" ht="14.25" customHeight="1" x14ac:dyDescent="0.3">
      <c r="B947" s="280"/>
      <c r="C947" s="373"/>
      <c r="D947" s="374"/>
      <c r="E947" s="280"/>
      <c r="F947" s="280"/>
      <c r="G947" s="280"/>
      <c r="H947" s="280"/>
      <c r="K947" s="17"/>
      <c r="O947" s="137"/>
    </row>
    <row r="948" spans="2:15" ht="14.25" customHeight="1" x14ac:dyDescent="0.3">
      <c r="B948" s="280"/>
      <c r="C948" s="373"/>
      <c r="D948" s="374"/>
      <c r="E948" s="280"/>
      <c r="F948" s="280"/>
      <c r="G948" s="280"/>
      <c r="H948" s="280"/>
      <c r="K948" s="17"/>
      <c r="O948" s="137"/>
    </row>
    <row r="949" spans="2:15" ht="14.25" customHeight="1" x14ac:dyDescent="0.3">
      <c r="B949" s="280"/>
      <c r="C949" s="373"/>
      <c r="D949" s="374"/>
      <c r="E949" s="280"/>
      <c r="F949" s="280"/>
      <c r="G949" s="280"/>
      <c r="H949" s="280"/>
      <c r="K949" s="17"/>
      <c r="O949" s="137"/>
    </row>
    <row r="950" spans="2:15" x14ac:dyDescent="0.3">
      <c r="B950" s="1">
        <v>15555</v>
      </c>
      <c r="C950" s="1" t="s">
        <v>229</v>
      </c>
      <c r="D950" s="374" t="str">
        <f t="shared" ref="D950:D964" si="20">CONCATENATE(C950," (",(B950),")")</f>
        <v>Gamma 30N (15555)</v>
      </c>
      <c r="E950" s="137">
        <f t="shared" ref="E950:E971" si="21">IF($D$1=1,F:F,IF($D$1=2,G:G,IF($D$1=3,H:H,IF($D$1=4,I:I,IF($D$1=5,J:J)))))</f>
        <v>199</v>
      </c>
      <c r="F950" s="137">
        <f t="shared" ref="F950:F963" si="22">VLOOKUP(B950,$B$975:$H$1073,4)</f>
        <v>199</v>
      </c>
      <c r="G950" s="137">
        <f t="shared" ref="G950:G963" si="23">VLOOKUP(B950,$B$975:$H$1073,5)</f>
        <v>8.4144000000000005</v>
      </c>
      <c r="H950" s="137">
        <f t="shared" ref="H950:H963" si="24">VLOOKUP(B950,$B$975:$H$1073,6)</f>
        <v>24.875</v>
      </c>
      <c r="I950" s="137">
        <f t="shared" ref="I950:I963" si="25">VLOOKUP(B950,$B$975:$H$1073,7)</f>
        <v>1838.587</v>
      </c>
      <c r="O950" s="137"/>
    </row>
    <row r="951" spans="2:15" x14ac:dyDescent="0.3">
      <c r="B951" s="1">
        <v>15556</v>
      </c>
      <c r="C951" s="1" t="s">
        <v>230</v>
      </c>
      <c r="D951" s="374" t="str">
        <f t="shared" si="20"/>
        <v>Gamma 60N (15556)</v>
      </c>
      <c r="E951" s="137">
        <f t="shared" si="21"/>
        <v>199</v>
      </c>
      <c r="F951" s="137">
        <f t="shared" si="22"/>
        <v>199</v>
      </c>
      <c r="G951" s="137">
        <f t="shared" si="23"/>
        <v>8.4144000000000005</v>
      </c>
      <c r="H951" s="137">
        <f t="shared" si="24"/>
        <v>24.875</v>
      </c>
      <c r="I951" s="137">
        <f t="shared" si="25"/>
        <v>1838.587</v>
      </c>
      <c r="O951" s="137"/>
    </row>
    <row r="952" spans="2:15" x14ac:dyDescent="0.3">
      <c r="B952" s="1">
        <v>15557</v>
      </c>
      <c r="C952" s="1" t="s">
        <v>231</v>
      </c>
      <c r="D952" s="374" t="str">
        <f t="shared" si="20"/>
        <v>Gamma 80N (15557)</v>
      </c>
      <c r="E952" s="137">
        <f t="shared" si="21"/>
        <v>199</v>
      </c>
      <c r="F952" s="137">
        <f t="shared" si="22"/>
        <v>199</v>
      </c>
      <c r="G952" s="137">
        <f t="shared" si="23"/>
        <v>8.4144000000000005</v>
      </c>
      <c r="H952" s="137">
        <f t="shared" si="24"/>
        <v>24.875</v>
      </c>
      <c r="I952" s="137">
        <f t="shared" si="25"/>
        <v>1838.587</v>
      </c>
      <c r="O952" s="137"/>
    </row>
    <row r="953" spans="2:15" x14ac:dyDescent="0.3">
      <c r="B953" s="1">
        <v>15558</v>
      </c>
      <c r="C953" s="1" t="s">
        <v>232</v>
      </c>
      <c r="D953" s="374" t="str">
        <f t="shared" si="20"/>
        <v>Gamma 100N (15558)</v>
      </c>
      <c r="E953" s="137">
        <f t="shared" si="21"/>
        <v>199</v>
      </c>
      <c r="F953" s="137">
        <f t="shared" si="22"/>
        <v>199</v>
      </c>
      <c r="G953" s="137">
        <f t="shared" si="23"/>
        <v>8.4144000000000005</v>
      </c>
      <c r="H953" s="137">
        <f t="shared" si="24"/>
        <v>24.875</v>
      </c>
      <c r="I953" s="137">
        <f t="shared" si="25"/>
        <v>1838.587</v>
      </c>
      <c r="O953" s="137"/>
    </row>
    <row r="954" spans="2:15" x14ac:dyDescent="0.3">
      <c r="B954" s="1">
        <v>15559</v>
      </c>
      <c r="C954" s="1" t="s">
        <v>233</v>
      </c>
      <c r="D954" s="374" t="str">
        <f t="shared" si="20"/>
        <v>Gamma 120N (15559)</v>
      </c>
      <c r="E954" s="137">
        <f t="shared" si="21"/>
        <v>199</v>
      </c>
      <c r="F954" s="137">
        <f t="shared" si="22"/>
        <v>199</v>
      </c>
      <c r="G954" s="137">
        <f t="shared" si="23"/>
        <v>8.4144000000000005</v>
      </c>
      <c r="H954" s="137">
        <f t="shared" si="24"/>
        <v>24.875</v>
      </c>
      <c r="I954" s="137">
        <f t="shared" si="25"/>
        <v>1838.587</v>
      </c>
      <c r="O954" s="137"/>
    </row>
    <row r="955" spans="2:15" x14ac:dyDescent="0.3">
      <c r="B955" s="1">
        <v>15580</v>
      </c>
      <c r="C955" s="1" t="s">
        <v>253</v>
      </c>
      <c r="D955" s="374" t="str">
        <f t="shared" si="20"/>
        <v>STRONG 30N (15580)</v>
      </c>
      <c r="E955" s="137">
        <f t="shared" si="21"/>
        <v>50</v>
      </c>
      <c r="F955" s="137">
        <f t="shared" si="22"/>
        <v>50</v>
      </c>
      <c r="G955" s="137">
        <f t="shared" si="23"/>
        <v>2.1141999999999999</v>
      </c>
      <c r="H955" s="137">
        <f t="shared" si="24"/>
        <v>6.25</v>
      </c>
      <c r="I955" s="137">
        <f t="shared" si="25"/>
        <v>461.95650000000001</v>
      </c>
      <c r="O955" s="137"/>
    </row>
    <row r="956" spans="2:15" x14ac:dyDescent="0.3">
      <c r="B956" s="1">
        <v>15581</v>
      </c>
      <c r="C956" s="1" t="s">
        <v>254</v>
      </c>
      <c r="D956" s="374" t="str">
        <f t="shared" si="20"/>
        <v>STRONG 60N (15581)</v>
      </c>
      <c r="E956" s="137">
        <f t="shared" si="21"/>
        <v>50</v>
      </c>
      <c r="F956" s="137">
        <f t="shared" si="22"/>
        <v>50</v>
      </c>
      <c r="G956" s="137">
        <f t="shared" si="23"/>
        <v>2.1141999999999999</v>
      </c>
      <c r="H956" s="137">
        <f t="shared" si="24"/>
        <v>6.25</v>
      </c>
      <c r="I956" s="137">
        <f t="shared" si="25"/>
        <v>461.95650000000001</v>
      </c>
      <c r="O956" s="137"/>
    </row>
    <row r="957" spans="2:15" x14ac:dyDescent="0.3">
      <c r="B957" s="1">
        <v>15582</v>
      </c>
      <c r="C957" s="1" t="s">
        <v>255</v>
      </c>
      <c r="D957" s="374" t="str">
        <f t="shared" si="20"/>
        <v>STRONG 80N (15582)</v>
      </c>
      <c r="E957" s="137">
        <f t="shared" si="21"/>
        <v>50</v>
      </c>
      <c r="F957" s="137">
        <f t="shared" si="22"/>
        <v>50</v>
      </c>
      <c r="G957" s="137">
        <f t="shared" si="23"/>
        <v>2.1141999999999999</v>
      </c>
      <c r="H957" s="137">
        <f t="shared" si="24"/>
        <v>6.25</v>
      </c>
      <c r="I957" s="137">
        <f t="shared" si="25"/>
        <v>461.95650000000001</v>
      </c>
      <c r="O957" s="137"/>
    </row>
    <row r="958" spans="2:15" x14ac:dyDescent="0.3">
      <c r="B958" s="1">
        <v>15583</v>
      </c>
      <c r="C958" s="1" t="s">
        <v>256</v>
      </c>
      <c r="D958" s="374" t="str">
        <f t="shared" si="20"/>
        <v>STRONG 100N (15583)</v>
      </c>
      <c r="E958" s="137">
        <f t="shared" si="21"/>
        <v>50</v>
      </c>
      <c r="F958" s="137">
        <f t="shared" si="22"/>
        <v>50</v>
      </c>
      <c r="G958" s="137">
        <f t="shared" si="23"/>
        <v>2.1141999999999999</v>
      </c>
      <c r="H958" s="137">
        <f t="shared" si="24"/>
        <v>6.25</v>
      </c>
      <c r="I958" s="137">
        <f t="shared" si="25"/>
        <v>461.95650000000001</v>
      </c>
      <c r="O958" s="137"/>
    </row>
    <row r="959" spans="2:15" x14ac:dyDescent="0.3">
      <c r="B959" s="1">
        <v>15584</v>
      </c>
      <c r="C959" s="1" t="s">
        <v>257</v>
      </c>
      <c r="D959" s="374" t="str">
        <f t="shared" si="20"/>
        <v>STRONG 120N (15584)</v>
      </c>
      <c r="E959" s="137">
        <f t="shared" si="21"/>
        <v>50</v>
      </c>
      <c r="F959" s="137">
        <f t="shared" si="22"/>
        <v>50</v>
      </c>
      <c r="G959" s="137">
        <f t="shared" si="23"/>
        <v>2.1141999999999999</v>
      </c>
      <c r="H959" s="137">
        <f t="shared" si="24"/>
        <v>6.25</v>
      </c>
      <c r="I959" s="137">
        <f t="shared" si="25"/>
        <v>461.95650000000001</v>
      </c>
      <c r="O959" s="137"/>
    </row>
    <row r="960" spans="2:15" x14ac:dyDescent="0.3">
      <c r="B960" s="1">
        <v>15590</v>
      </c>
      <c r="C960" s="1" t="s">
        <v>235</v>
      </c>
      <c r="D960" s="374" t="str">
        <f t="shared" si="20"/>
        <v>45N Kraby 244 (15590)</v>
      </c>
      <c r="E960" s="137">
        <f t="shared" si="21"/>
        <v>299.89999999999998</v>
      </c>
      <c r="F960" s="137">
        <f t="shared" si="22"/>
        <v>299.89999999999998</v>
      </c>
      <c r="G960" s="137">
        <f t="shared" si="23"/>
        <v>12.6808</v>
      </c>
      <c r="H960" s="137">
        <f t="shared" si="24"/>
        <v>37.487499999999997</v>
      </c>
      <c r="I960" s="137">
        <f t="shared" si="25"/>
        <v>2770.8152</v>
      </c>
      <c r="O960" s="137"/>
    </row>
    <row r="961" spans="2:15" x14ac:dyDescent="0.3">
      <c r="B961" s="1">
        <v>15591</v>
      </c>
      <c r="C961" s="1" t="s">
        <v>236</v>
      </c>
      <c r="D961" s="374" t="str">
        <f t="shared" si="20"/>
        <v>60N Kraby 244 (15591)</v>
      </c>
      <c r="E961" s="137">
        <f t="shared" si="21"/>
        <v>299.89999999999998</v>
      </c>
      <c r="F961" s="137">
        <f t="shared" si="22"/>
        <v>299.89999999999998</v>
      </c>
      <c r="G961" s="137">
        <f t="shared" si="23"/>
        <v>12.6808</v>
      </c>
      <c r="H961" s="137">
        <f t="shared" si="24"/>
        <v>37.487499999999997</v>
      </c>
      <c r="I961" s="137">
        <f t="shared" si="25"/>
        <v>2770.8152</v>
      </c>
      <c r="O961" s="137"/>
    </row>
    <row r="962" spans="2:15" x14ac:dyDescent="0.3">
      <c r="B962" s="1">
        <v>15592</v>
      </c>
      <c r="C962" s="1" t="s">
        <v>237</v>
      </c>
      <c r="D962" s="374" t="str">
        <f t="shared" si="20"/>
        <v>90N Kraby 244 (15592)</v>
      </c>
      <c r="E962" s="137">
        <f t="shared" si="21"/>
        <v>299.89999999999998</v>
      </c>
      <c r="F962" s="137">
        <f t="shared" si="22"/>
        <v>299.89999999999998</v>
      </c>
      <c r="G962" s="137">
        <f t="shared" si="23"/>
        <v>12.6808</v>
      </c>
      <c r="H962" s="137">
        <f t="shared" si="24"/>
        <v>37.487499999999997</v>
      </c>
      <c r="I962" s="137">
        <f t="shared" si="25"/>
        <v>2770.8152</v>
      </c>
      <c r="O962" s="137"/>
    </row>
    <row r="963" spans="2:15" x14ac:dyDescent="0.3">
      <c r="B963" s="1">
        <v>15593</v>
      </c>
      <c r="C963" s="1" t="s">
        <v>238</v>
      </c>
      <c r="D963" s="374" t="str">
        <f t="shared" si="20"/>
        <v>120N Kraby 244 (15593)</v>
      </c>
      <c r="E963" s="137">
        <f t="shared" si="21"/>
        <v>299.89999999999998</v>
      </c>
      <c r="F963" s="137">
        <f t="shared" si="22"/>
        <v>299.89999999999998</v>
      </c>
      <c r="G963" s="137">
        <f t="shared" si="23"/>
        <v>12.6808</v>
      </c>
      <c r="H963" s="137">
        <f t="shared" si="24"/>
        <v>37.487499999999997</v>
      </c>
      <c r="I963" s="137">
        <f t="shared" si="25"/>
        <v>2770.8152</v>
      </c>
      <c r="O963" s="137"/>
    </row>
    <row r="964" spans="2:15" x14ac:dyDescent="0.3">
      <c r="B964" s="1" t="s">
        <v>631</v>
      </c>
      <c r="C964" s="1" t="s">
        <v>630</v>
      </c>
      <c r="D964" s="374" t="str">
        <f t="shared" si="20"/>
        <v>FGV-Aero Wing (AW007)</v>
      </c>
      <c r="E964" s="137">
        <f t="shared" si="21"/>
        <v>159</v>
      </c>
      <c r="F964" s="137">
        <v>159</v>
      </c>
      <c r="G964" s="137">
        <v>6.7229999999999999</v>
      </c>
      <c r="H964" s="137">
        <v>19.875</v>
      </c>
      <c r="I964" s="137">
        <v>1469.0217</v>
      </c>
      <c r="O964" s="137"/>
    </row>
    <row r="965" spans="2:15" x14ac:dyDescent="0.3">
      <c r="B965" s="1">
        <v>15585</v>
      </c>
      <c r="C965" s="1" t="s">
        <v>365</v>
      </c>
      <c r="E965" s="137">
        <f t="shared" si="21"/>
        <v>3.1249699999999998</v>
      </c>
      <c r="F965" s="137">
        <f t="shared" ref="F965:F971" si="26">VLOOKUP(B965,$B$975:$H$1073,4)</f>
        <v>3.1249699999999998</v>
      </c>
      <c r="G965" s="137">
        <f t="shared" ref="G965:G971" si="27">VLOOKUP(B965,$B$975:$H$1073,5)</f>
        <v>0.1321</v>
      </c>
      <c r="H965" s="137">
        <f t="shared" ref="H965:H971" si="28">VLOOKUP(B965,$B$975:$H$1073,6)</f>
        <v>0.3906</v>
      </c>
      <c r="I965" s="137">
        <f t="shared" ref="I965:I971" si="29">VLOOKUP(B965,$B$975:$H$1073,7)</f>
        <v>28.872</v>
      </c>
      <c r="O965" s="137"/>
    </row>
    <row r="966" spans="2:15" x14ac:dyDescent="0.3">
      <c r="B966" s="1">
        <v>15538</v>
      </c>
      <c r="C966" s="1" t="s">
        <v>234</v>
      </c>
      <c r="E966" s="137">
        <f t="shared" si="21"/>
        <v>10.8</v>
      </c>
      <c r="F966" s="137">
        <f t="shared" si="26"/>
        <v>10.8</v>
      </c>
      <c r="G966" s="137">
        <f t="shared" si="27"/>
        <v>0.45669999999999999</v>
      </c>
      <c r="H966" s="137">
        <f t="shared" si="28"/>
        <v>1.35</v>
      </c>
      <c r="I966" s="137">
        <f t="shared" si="29"/>
        <v>99.782600000000002</v>
      </c>
      <c r="O966" s="137"/>
    </row>
    <row r="967" spans="2:15" x14ac:dyDescent="0.3">
      <c r="B967" s="1">
        <v>15595</v>
      </c>
      <c r="C967" s="1" t="s">
        <v>366</v>
      </c>
      <c r="E967" s="137">
        <f t="shared" si="21"/>
        <v>13.4</v>
      </c>
      <c r="F967" s="137">
        <f t="shared" si="26"/>
        <v>13.4</v>
      </c>
      <c r="G967" s="137">
        <f t="shared" si="27"/>
        <v>0.56659999999999999</v>
      </c>
      <c r="H967" s="137">
        <f t="shared" si="28"/>
        <v>1.675</v>
      </c>
      <c r="I967" s="137">
        <f t="shared" si="29"/>
        <v>123.8044</v>
      </c>
      <c r="O967" s="137"/>
    </row>
    <row r="968" spans="2:15" x14ac:dyDescent="0.3">
      <c r="B968" s="1">
        <v>15596</v>
      </c>
      <c r="C968" s="1" t="s">
        <v>367</v>
      </c>
      <c r="E968" s="137">
        <f t="shared" si="21"/>
        <v>11.9</v>
      </c>
      <c r="F968" s="137">
        <f t="shared" si="26"/>
        <v>11.9</v>
      </c>
      <c r="G968" s="137">
        <f t="shared" si="27"/>
        <v>0.50319999999999998</v>
      </c>
      <c r="H968" s="137">
        <f t="shared" si="28"/>
        <v>1.4875</v>
      </c>
      <c r="I968" s="137">
        <f t="shared" si="29"/>
        <v>109.9457</v>
      </c>
      <c r="O968" s="137"/>
    </row>
    <row r="969" spans="2:15" x14ac:dyDescent="0.3">
      <c r="B969" s="1">
        <v>15597</v>
      </c>
      <c r="C969" s="1" t="s">
        <v>368</v>
      </c>
      <c r="E969" s="137">
        <f t="shared" si="21"/>
        <v>11.423999999999999</v>
      </c>
      <c r="F969" s="137">
        <f t="shared" si="26"/>
        <v>11.423999999999999</v>
      </c>
      <c r="G969" s="137">
        <f t="shared" si="27"/>
        <v>0.48299999999999998</v>
      </c>
      <c r="H969" s="137">
        <f t="shared" si="28"/>
        <v>1.4279999999999999</v>
      </c>
      <c r="I969" s="137">
        <f t="shared" si="29"/>
        <v>105.5478</v>
      </c>
      <c r="O969" s="137"/>
    </row>
    <row r="970" spans="2:15" x14ac:dyDescent="0.3">
      <c r="B970" s="1">
        <v>15598</v>
      </c>
      <c r="C970" s="1" t="s">
        <v>369</v>
      </c>
      <c r="E970" s="137">
        <f t="shared" si="21"/>
        <v>0.52359999999999995</v>
      </c>
      <c r="F970" s="137">
        <f t="shared" si="26"/>
        <v>0.52359999999999995</v>
      </c>
      <c r="G970" s="137">
        <f t="shared" si="27"/>
        <v>2.2100000000000002E-2</v>
      </c>
      <c r="H970" s="137">
        <f t="shared" si="28"/>
        <v>6.5500000000000003E-2</v>
      </c>
      <c r="I970" s="137">
        <f t="shared" si="29"/>
        <v>4.8376000000000001</v>
      </c>
      <c r="O970" s="137"/>
    </row>
    <row r="971" spans="2:15" x14ac:dyDescent="0.3">
      <c r="B971" s="1">
        <v>15599</v>
      </c>
      <c r="C971" s="1" t="s">
        <v>370</v>
      </c>
      <c r="E971" s="137">
        <f t="shared" si="21"/>
        <v>0.80920000000000003</v>
      </c>
      <c r="F971" s="137">
        <f t="shared" si="26"/>
        <v>0.80920000000000003</v>
      </c>
      <c r="G971" s="137">
        <f t="shared" si="27"/>
        <v>3.4200000000000001E-2</v>
      </c>
      <c r="H971" s="137">
        <f t="shared" si="28"/>
        <v>0.1012</v>
      </c>
      <c r="I971" s="137">
        <f t="shared" si="29"/>
        <v>7.4763000000000002</v>
      </c>
      <c r="O971" s="137"/>
    </row>
    <row r="972" spans="2:15" x14ac:dyDescent="0.3">
      <c r="B972" s="1">
        <v>0</v>
      </c>
      <c r="E972" s="137">
        <v>0</v>
      </c>
      <c r="O972" s="137"/>
    </row>
    <row r="974" spans="2:15" x14ac:dyDescent="0.3">
      <c r="B974" s="39" t="s">
        <v>361</v>
      </c>
      <c r="C974" s="39" t="s">
        <v>33</v>
      </c>
      <c r="D974" s="39" t="s">
        <v>362</v>
      </c>
      <c r="E974" s="39" t="s">
        <v>363</v>
      </c>
      <c r="F974" s="39" t="s">
        <v>364</v>
      </c>
      <c r="G974" s="39" t="s">
        <v>135</v>
      </c>
      <c r="H974" s="39" t="s">
        <v>136</v>
      </c>
      <c r="O974" s="137"/>
    </row>
    <row r="975" spans="2:15" x14ac:dyDescent="0.3">
      <c r="B975" s="375">
        <v>15500</v>
      </c>
      <c r="C975" s="38" t="s">
        <v>259</v>
      </c>
      <c r="D975" s="38" t="s">
        <v>260</v>
      </c>
      <c r="E975" s="37">
        <v>97.995000000000005</v>
      </c>
      <c r="F975" s="37">
        <v>4.1436000000000002</v>
      </c>
      <c r="G975" s="37">
        <v>13.066000000000001</v>
      </c>
      <c r="H975" s="37">
        <v>905.3886</v>
      </c>
      <c r="O975" s="137"/>
    </row>
    <row r="976" spans="2:15" x14ac:dyDescent="0.3">
      <c r="B976" s="375">
        <v>15501</v>
      </c>
      <c r="C976" s="38" t="s">
        <v>261</v>
      </c>
      <c r="D976" s="38" t="s">
        <v>260</v>
      </c>
      <c r="E976" s="37">
        <v>31.957999999999998</v>
      </c>
      <c r="F976" s="37">
        <v>1.3512999999999999</v>
      </c>
      <c r="G976" s="37">
        <v>4.2610999999999999</v>
      </c>
      <c r="H976" s="37">
        <v>295.26409999999998</v>
      </c>
      <c r="O976" s="137"/>
    </row>
    <row r="977" spans="2:15" x14ac:dyDescent="0.3">
      <c r="B977" s="375">
        <v>15502</v>
      </c>
      <c r="C977" s="38" t="s">
        <v>262</v>
      </c>
      <c r="D977" s="38" t="s">
        <v>260</v>
      </c>
      <c r="E977" s="37">
        <v>24.8</v>
      </c>
      <c r="F977" s="37">
        <v>1.0486</v>
      </c>
      <c r="G977" s="37">
        <v>3.3067000000000002</v>
      </c>
      <c r="H977" s="37">
        <v>229.13040000000001</v>
      </c>
      <c r="O977" s="137"/>
    </row>
    <row r="978" spans="2:15" x14ac:dyDescent="0.3">
      <c r="B978" s="375">
        <v>15503</v>
      </c>
      <c r="C978" s="38" t="s">
        <v>263</v>
      </c>
      <c r="D978" s="38" t="s">
        <v>260</v>
      </c>
      <c r="E978" s="37">
        <v>36.042000000000002</v>
      </c>
      <c r="F978" s="37">
        <v>1.524</v>
      </c>
      <c r="G978" s="37">
        <v>4.8056000000000001</v>
      </c>
      <c r="H978" s="37">
        <v>332.99669999999998</v>
      </c>
      <c r="O978" s="137"/>
    </row>
    <row r="979" spans="2:15" x14ac:dyDescent="0.3">
      <c r="B979" s="375">
        <v>15504</v>
      </c>
      <c r="C979" s="38" t="s">
        <v>264</v>
      </c>
      <c r="D979" s="38" t="s">
        <v>260</v>
      </c>
      <c r="E979" s="37">
        <v>32.917999999999999</v>
      </c>
      <c r="F979" s="37">
        <v>1.3918999999999999</v>
      </c>
      <c r="G979" s="37">
        <v>4.3891</v>
      </c>
      <c r="H979" s="37">
        <v>304.13369999999998</v>
      </c>
      <c r="O979" s="137"/>
    </row>
    <row r="980" spans="2:15" x14ac:dyDescent="0.3">
      <c r="B980" s="375">
        <v>15505</v>
      </c>
      <c r="C980" s="38" t="s">
        <v>265</v>
      </c>
      <c r="D980" s="38" t="s">
        <v>260</v>
      </c>
      <c r="E980" s="37">
        <v>3.4950000000000001</v>
      </c>
      <c r="F980" s="37">
        <v>0.14779999999999999</v>
      </c>
      <c r="G980" s="37">
        <v>0.46600000000000003</v>
      </c>
      <c r="H980" s="37">
        <v>32.290799999999997</v>
      </c>
      <c r="O980" s="137"/>
    </row>
    <row r="981" spans="2:15" x14ac:dyDescent="0.3">
      <c r="B981" s="375">
        <v>15506</v>
      </c>
      <c r="C981" s="38" t="s">
        <v>266</v>
      </c>
      <c r="D981" s="38" t="s">
        <v>260</v>
      </c>
      <c r="E981" s="37">
        <v>14.977</v>
      </c>
      <c r="F981" s="37">
        <v>0.63329999999999997</v>
      </c>
      <c r="G981" s="37">
        <v>1.9968999999999999</v>
      </c>
      <c r="H981" s="37">
        <v>138.37450000000001</v>
      </c>
      <c r="O981" s="137"/>
    </row>
    <row r="982" spans="2:15" x14ac:dyDescent="0.3">
      <c r="B982" s="375">
        <v>15507</v>
      </c>
      <c r="C982" s="38" t="s">
        <v>267</v>
      </c>
      <c r="D982" s="38" t="s">
        <v>260</v>
      </c>
      <c r="E982" s="37">
        <v>39</v>
      </c>
      <c r="F982" s="37">
        <v>1.6491</v>
      </c>
      <c r="G982" s="37">
        <v>5.2</v>
      </c>
      <c r="H982" s="37">
        <v>360.3261</v>
      </c>
      <c r="O982" s="137"/>
    </row>
    <row r="983" spans="2:15" x14ac:dyDescent="0.3">
      <c r="B983" s="375">
        <v>15508</v>
      </c>
      <c r="C983" s="38" t="s">
        <v>268</v>
      </c>
      <c r="D983" s="38" t="s">
        <v>260</v>
      </c>
      <c r="E983" s="37">
        <v>5</v>
      </c>
      <c r="F983" s="37">
        <v>0.2114</v>
      </c>
      <c r="G983" s="37">
        <v>0.66669999999999996</v>
      </c>
      <c r="H983" s="37">
        <v>46.195700000000002</v>
      </c>
      <c r="O983" s="137"/>
    </row>
    <row r="984" spans="2:15" x14ac:dyDescent="0.3">
      <c r="B984" s="375">
        <v>15509</v>
      </c>
      <c r="C984" s="38" t="s">
        <v>269</v>
      </c>
      <c r="D984" s="38" t="s">
        <v>260</v>
      </c>
      <c r="E984" s="37">
        <v>2</v>
      </c>
      <c r="F984" s="37">
        <v>8.4599999999999995E-2</v>
      </c>
      <c r="G984" s="37">
        <v>0.26669999999999999</v>
      </c>
      <c r="H984" s="37">
        <v>18.478300000000001</v>
      </c>
      <c r="O984" s="137"/>
    </row>
    <row r="985" spans="2:15" x14ac:dyDescent="0.3">
      <c r="B985" s="375">
        <v>15510</v>
      </c>
      <c r="C985" s="38" t="s">
        <v>270</v>
      </c>
      <c r="D985" s="38" t="s">
        <v>260</v>
      </c>
      <c r="E985" s="37">
        <v>4.9960000000000004</v>
      </c>
      <c r="F985" s="37">
        <v>0.21129999999999999</v>
      </c>
      <c r="G985" s="37">
        <v>0.54120000000000001</v>
      </c>
      <c r="H985" s="37">
        <v>40.728299999999997</v>
      </c>
      <c r="O985" s="137"/>
    </row>
    <row r="986" spans="2:15" x14ac:dyDescent="0.3">
      <c r="B986" s="375">
        <v>15511</v>
      </c>
      <c r="C986" s="38" t="s">
        <v>271</v>
      </c>
      <c r="D986" s="38" t="s">
        <v>260</v>
      </c>
      <c r="E986" s="37">
        <v>2</v>
      </c>
      <c r="F986" s="37">
        <v>8.4599999999999995E-2</v>
      </c>
      <c r="G986" s="37">
        <v>0.26669999999999999</v>
      </c>
      <c r="H986" s="37">
        <v>18.478300000000001</v>
      </c>
      <c r="O986" s="137"/>
    </row>
    <row r="987" spans="2:15" x14ac:dyDescent="0.3">
      <c r="B987" s="375">
        <v>15512</v>
      </c>
      <c r="C987" s="38" t="s">
        <v>272</v>
      </c>
      <c r="D987" s="38" t="s">
        <v>260</v>
      </c>
      <c r="E987" s="37">
        <v>121.8</v>
      </c>
      <c r="F987" s="37">
        <v>5.1501000000000001</v>
      </c>
      <c r="G987" s="37">
        <v>16.239999999999998</v>
      </c>
      <c r="H987" s="37">
        <v>1125.3261</v>
      </c>
      <c r="O987" s="137"/>
    </row>
    <row r="988" spans="2:15" x14ac:dyDescent="0.3">
      <c r="B988" s="375">
        <v>15513</v>
      </c>
      <c r="C988" s="38" t="s">
        <v>273</v>
      </c>
      <c r="D988" s="38" t="s">
        <v>260</v>
      </c>
      <c r="E988" s="37">
        <v>117</v>
      </c>
      <c r="F988" s="37">
        <v>4.9471999999999996</v>
      </c>
      <c r="G988" s="37">
        <v>15.6</v>
      </c>
      <c r="H988" s="37">
        <v>1080.9783</v>
      </c>
      <c r="O988" s="137"/>
    </row>
    <row r="989" spans="2:15" x14ac:dyDescent="0.3">
      <c r="B989" s="375">
        <v>15514</v>
      </c>
      <c r="C989" s="38" t="s">
        <v>274</v>
      </c>
      <c r="D989" s="38" t="s">
        <v>260</v>
      </c>
      <c r="E989" s="37">
        <v>4.9000000000000004</v>
      </c>
      <c r="F989" s="37">
        <v>0.2072</v>
      </c>
      <c r="G989" s="37">
        <v>0.65329999999999999</v>
      </c>
      <c r="H989" s="37">
        <v>45.271700000000003</v>
      </c>
      <c r="O989" s="137"/>
    </row>
    <row r="990" spans="2:15" x14ac:dyDescent="0.3">
      <c r="B990" s="375">
        <v>15515</v>
      </c>
      <c r="C990" s="38" t="s">
        <v>275</v>
      </c>
      <c r="D990" s="38" t="s">
        <v>260</v>
      </c>
      <c r="E990" s="37">
        <v>1299</v>
      </c>
      <c r="F990" s="37">
        <v>54.926000000000002</v>
      </c>
      <c r="G990" s="37">
        <v>173.2</v>
      </c>
      <c r="H990" s="37">
        <v>12001.6304</v>
      </c>
      <c r="O990" s="137"/>
    </row>
    <row r="991" spans="2:15" x14ac:dyDescent="0.3">
      <c r="B991" s="375">
        <v>15516</v>
      </c>
      <c r="C991" s="38" t="s">
        <v>276</v>
      </c>
      <c r="D991" s="38" t="s">
        <v>260</v>
      </c>
      <c r="E991" s="37">
        <v>1299</v>
      </c>
      <c r="F991" s="37">
        <v>54.926000000000002</v>
      </c>
      <c r="G991" s="37">
        <v>173.2</v>
      </c>
      <c r="H991" s="37">
        <v>12001.6304</v>
      </c>
      <c r="O991" s="137"/>
    </row>
    <row r="992" spans="2:15" x14ac:dyDescent="0.3">
      <c r="B992" s="375">
        <v>15517</v>
      </c>
      <c r="C992" s="38" t="s">
        <v>277</v>
      </c>
      <c r="D992" s="38" t="s">
        <v>260</v>
      </c>
      <c r="E992" s="37">
        <v>59.4</v>
      </c>
      <c r="F992" s="37">
        <v>2.5116000000000001</v>
      </c>
      <c r="G992" s="37">
        <v>7.92</v>
      </c>
      <c r="H992" s="37">
        <v>548.80439999999999</v>
      </c>
      <c r="O992" s="137"/>
    </row>
    <row r="993" spans="2:15" x14ac:dyDescent="0.3">
      <c r="B993" s="375">
        <v>15518</v>
      </c>
      <c r="C993" s="38" t="s">
        <v>278</v>
      </c>
      <c r="D993" s="38" t="s">
        <v>260</v>
      </c>
      <c r="E993" s="37">
        <v>3.4950000000000001</v>
      </c>
      <c r="F993" s="37">
        <v>0.14779999999999999</v>
      </c>
      <c r="G993" s="37">
        <v>0.46600000000000003</v>
      </c>
      <c r="H993" s="37">
        <v>32.290799999999997</v>
      </c>
      <c r="O993" s="137"/>
    </row>
    <row r="994" spans="2:15" x14ac:dyDescent="0.3">
      <c r="B994" s="375">
        <v>15519</v>
      </c>
      <c r="C994" s="38" t="s">
        <v>279</v>
      </c>
      <c r="D994" s="38" t="s">
        <v>260</v>
      </c>
      <c r="E994" s="37">
        <v>78.245999999999995</v>
      </c>
      <c r="F994" s="37">
        <v>3.3085</v>
      </c>
      <c r="G994" s="37">
        <v>10.4328</v>
      </c>
      <c r="H994" s="37">
        <v>722.92499999999995</v>
      </c>
      <c r="O994" s="137"/>
    </row>
    <row r="995" spans="2:15" x14ac:dyDescent="0.3">
      <c r="B995" s="375">
        <v>15520</v>
      </c>
      <c r="C995" s="38" t="s">
        <v>280</v>
      </c>
      <c r="D995" s="38" t="s">
        <v>260</v>
      </c>
      <c r="E995" s="37">
        <v>0.39900000000000002</v>
      </c>
      <c r="F995" s="37">
        <v>1.6899999999999998E-2</v>
      </c>
      <c r="G995" s="37">
        <v>5.3199999999999997E-2</v>
      </c>
      <c r="H995" s="37">
        <v>3.6863999999999999</v>
      </c>
      <c r="O995" s="137"/>
    </row>
    <row r="996" spans="2:15" x14ac:dyDescent="0.3">
      <c r="B996" s="375">
        <v>15521</v>
      </c>
      <c r="C996" s="38" t="s">
        <v>281</v>
      </c>
      <c r="D996" s="38" t="s">
        <v>260</v>
      </c>
      <c r="E996" s="37">
        <v>153.56479999999999</v>
      </c>
      <c r="F996" s="37">
        <v>6.4931999999999999</v>
      </c>
      <c r="G996" s="37">
        <v>19.195599999999999</v>
      </c>
      <c r="H996" s="37">
        <v>1418.8052</v>
      </c>
      <c r="O996" s="137"/>
    </row>
    <row r="997" spans="2:15" x14ac:dyDescent="0.3">
      <c r="B997" s="375">
        <v>15522</v>
      </c>
      <c r="C997" s="38" t="s">
        <v>282</v>
      </c>
      <c r="D997" s="38" t="s">
        <v>260</v>
      </c>
      <c r="E997" s="37">
        <v>159</v>
      </c>
      <c r="F997" s="37">
        <v>6.7229999999999999</v>
      </c>
      <c r="G997" s="37">
        <v>19.875</v>
      </c>
      <c r="H997" s="37">
        <v>1469.0217</v>
      </c>
      <c r="O997" s="137"/>
    </row>
    <row r="998" spans="2:15" x14ac:dyDescent="0.3">
      <c r="B998" s="375">
        <v>15523</v>
      </c>
      <c r="C998" s="38" t="s">
        <v>283</v>
      </c>
      <c r="D998" s="38" t="s">
        <v>260</v>
      </c>
      <c r="E998" s="37">
        <v>159</v>
      </c>
      <c r="F998" s="37">
        <v>6.7229999999999999</v>
      </c>
      <c r="G998" s="37">
        <v>19.875</v>
      </c>
      <c r="H998" s="37">
        <v>1469.0217</v>
      </c>
      <c r="O998" s="137"/>
    </row>
    <row r="999" spans="2:15" x14ac:dyDescent="0.3">
      <c r="B999" s="375">
        <v>15524</v>
      </c>
      <c r="C999" s="38" t="s">
        <v>284</v>
      </c>
      <c r="D999" s="38" t="s">
        <v>260</v>
      </c>
      <c r="E999" s="37">
        <v>1299</v>
      </c>
      <c r="F999" s="37">
        <v>54.926000000000002</v>
      </c>
      <c r="G999" s="37">
        <v>173.2</v>
      </c>
      <c r="H999" s="37">
        <v>12001.6304</v>
      </c>
      <c r="O999" s="137"/>
    </row>
    <row r="1000" spans="2:15" x14ac:dyDescent="0.3">
      <c r="B1000" s="375">
        <v>15525</v>
      </c>
      <c r="C1000" s="38" t="s">
        <v>285</v>
      </c>
      <c r="D1000" s="38" t="s">
        <v>260</v>
      </c>
      <c r="E1000" s="37">
        <v>1189.92</v>
      </c>
      <c r="F1000" s="37">
        <v>50.313699999999997</v>
      </c>
      <c r="G1000" s="37">
        <v>148.74</v>
      </c>
      <c r="H1000" s="37">
        <v>10993.8261</v>
      </c>
      <c r="O1000" s="137"/>
    </row>
    <row r="1001" spans="2:15" x14ac:dyDescent="0.3">
      <c r="B1001" s="375">
        <v>15526</v>
      </c>
      <c r="C1001" s="38" t="s">
        <v>286</v>
      </c>
      <c r="D1001" s="38" t="s">
        <v>260</v>
      </c>
      <c r="E1001" s="37">
        <v>150</v>
      </c>
      <c r="F1001" s="37">
        <v>6.3425000000000002</v>
      </c>
      <c r="G1001" s="37">
        <v>18.75</v>
      </c>
      <c r="H1001" s="37">
        <v>1385.8696</v>
      </c>
      <c r="O1001" s="137"/>
    </row>
    <row r="1002" spans="2:15" x14ac:dyDescent="0.3">
      <c r="B1002" s="375">
        <v>15527</v>
      </c>
      <c r="C1002" s="38" t="s">
        <v>287</v>
      </c>
      <c r="D1002" s="38" t="s">
        <v>260</v>
      </c>
      <c r="E1002" s="37">
        <v>150</v>
      </c>
      <c r="F1002" s="37">
        <v>6.3425000000000002</v>
      </c>
      <c r="G1002" s="37">
        <v>18.75</v>
      </c>
      <c r="H1002" s="37">
        <v>1385.8696</v>
      </c>
      <c r="O1002" s="137"/>
    </row>
    <row r="1003" spans="2:15" x14ac:dyDescent="0.3">
      <c r="B1003" s="375">
        <v>15528</v>
      </c>
      <c r="C1003" s="38" t="s">
        <v>288</v>
      </c>
      <c r="D1003" s="38" t="s">
        <v>260</v>
      </c>
      <c r="E1003" s="37">
        <v>348</v>
      </c>
      <c r="F1003" s="37">
        <v>14.714600000000001</v>
      </c>
      <c r="G1003" s="37">
        <v>43.5</v>
      </c>
      <c r="H1003" s="37">
        <v>3215.2174</v>
      </c>
      <c r="O1003" s="137"/>
    </row>
    <row r="1004" spans="2:15" x14ac:dyDescent="0.3">
      <c r="B1004" s="375">
        <v>15529</v>
      </c>
      <c r="C1004" s="38" t="s">
        <v>289</v>
      </c>
      <c r="D1004" s="38" t="s">
        <v>260</v>
      </c>
      <c r="E1004" s="37">
        <v>149</v>
      </c>
      <c r="F1004" s="37">
        <v>6.3002000000000002</v>
      </c>
      <c r="G1004" s="37">
        <v>18.625</v>
      </c>
      <c r="H1004" s="37">
        <v>1376.6304</v>
      </c>
      <c r="O1004" s="137"/>
    </row>
    <row r="1005" spans="2:15" x14ac:dyDescent="0.3">
      <c r="B1005" s="375">
        <v>15530</v>
      </c>
      <c r="C1005" s="38" t="s">
        <v>290</v>
      </c>
      <c r="D1005" s="38" t="s">
        <v>260</v>
      </c>
      <c r="E1005" s="37">
        <v>0.61109999999999998</v>
      </c>
      <c r="F1005" s="37">
        <v>2.58E-2</v>
      </c>
      <c r="G1005" s="37">
        <v>7.6399999999999996E-2</v>
      </c>
      <c r="H1005" s="37">
        <v>5.3139000000000003</v>
      </c>
      <c r="O1005" s="137"/>
    </row>
    <row r="1006" spans="2:15" x14ac:dyDescent="0.3">
      <c r="B1006" s="375">
        <v>15531</v>
      </c>
      <c r="C1006" s="38" t="s">
        <v>291</v>
      </c>
      <c r="D1006" s="38" t="s">
        <v>260</v>
      </c>
      <c r="E1006" s="37">
        <v>299</v>
      </c>
      <c r="F1006" s="37">
        <v>12.6427</v>
      </c>
      <c r="G1006" s="37">
        <v>37.375</v>
      </c>
      <c r="H1006" s="37">
        <v>2762.5</v>
      </c>
      <c r="O1006" s="137"/>
    </row>
    <row r="1007" spans="2:15" x14ac:dyDescent="0.3">
      <c r="B1007" s="375">
        <v>15532</v>
      </c>
      <c r="C1007" s="38" t="s">
        <v>292</v>
      </c>
      <c r="D1007" s="38" t="s">
        <v>260</v>
      </c>
      <c r="E1007" s="37">
        <v>299</v>
      </c>
      <c r="F1007" s="37">
        <v>12.6427</v>
      </c>
      <c r="G1007" s="37">
        <v>37.375</v>
      </c>
      <c r="H1007" s="37">
        <v>2762.5</v>
      </c>
      <c r="O1007" s="137"/>
    </row>
    <row r="1008" spans="2:15" x14ac:dyDescent="0.3">
      <c r="B1008" s="375">
        <v>15533</v>
      </c>
      <c r="C1008" s="38" t="s">
        <v>293</v>
      </c>
      <c r="D1008" s="38" t="s">
        <v>260</v>
      </c>
      <c r="E1008" s="37">
        <v>199</v>
      </c>
      <c r="F1008" s="37">
        <v>8.4144000000000005</v>
      </c>
      <c r="G1008" s="37">
        <v>24.875</v>
      </c>
      <c r="H1008" s="37">
        <v>1838.587</v>
      </c>
      <c r="O1008" s="137"/>
    </row>
    <row r="1009" spans="2:15" x14ac:dyDescent="0.3">
      <c r="B1009" s="375">
        <v>15534</v>
      </c>
      <c r="C1009" s="38" t="s">
        <v>294</v>
      </c>
      <c r="D1009" s="38" t="s">
        <v>260</v>
      </c>
      <c r="E1009" s="37">
        <v>199</v>
      </c>
      <c r="F1009" s="37">
        <v>8.4144000000000005</v>
      </c>
      <c r="G1009" s="37">
        <v>24.875</v>
      </c>
      <c r="H1009" s="37">
        <v>1838.587</v>
      </c>
      <c r="O1009" s="137"/>
    </row>
    <row r="1010" spans="2:15" x14ac:dyDescent="0.3">
      <c r="B1010" s="375">
        <v>15535</v>
      </c>
      <c r="C1010" s="38" t="s">
        <v>295</v>
      </c>
      <c r="D1010" s="38" t="s">
        <v>260</v>
      </c>
      <c r="E1010" s="37">
        <v>199</v>
      </c>
      <c r="F1010" s="37">
        <v>8.4144000000000005</v>
      </c>
      <c r="G1010" s="37">
        <v>24.875</v>
      </c>
      <c r="H1010" s="37">
        <v>1838.587</v>
      </c>
      <c r="O1010" s="137"/>
    </row>
    <row r="1011" spans="2:15" x14ac:dyDescent="0.3">
      <c r="B1011" s="375">
        <v>15536</v>
      </c>
      <c r="C1011" s="38" t="s">
        <v>296</v>
      </c>
      <c r="D1011" s="38" t="s">
        <v>260</v>
      </c>
      <c r="E1011" s="37">
        <v>199</v>
      </c>
      <c r="F1011" s="37">
        <v>8.4144000000000005</v>
      </c>
      <c r="G1011" s="37">
        <v>24.875</v>
      </c>
      <c r="H1011" s="37">
        <v>1838.587</v>
      </c>
      <c r="O1011" s="137"/>
    </row>
    <row r="1012" spans="2:15" x14ac:dyDescent="0.3">
      <c r="B1012" s="375">
        <v>15537</v>
      </c>
      <c r="C1012" s="38" t="s">
        <v>297</v>
      </c>
      <c r="D1012" s="38" t="s">
        <v>260</v>
      </c>
      <c r="E1012" s="37">
        <v>199</v>
      </c>
      <c r="F1012" s="37">
        <v>8.4144000000000005</v>
      </c>
      <c r="G1012" s="37">
        <v>24.875</v>
      </c>
      <c r="H1012" s="37">
        <v>1838.587</v>
      </c>
      <c r="O1012" s="137"/>
    </row>
    <row r="1013" spans="2:15" x14ac:dyDescent="0.3">
      <c r="B1013" s="375">
        <v>15538</v>
      </c>
      <c r="C1013" s="38" t="s">
        <v>298</v>
      </c>
      <c r="D1013" s="38" t="s">
        <v>260</v>
      </c>
      <c r="E1013" s="37">
        <v>10.8</v>
      </c>
      <c r="F1013" s="37">
        <v>0.45669999999999999</v>
      </c>
      <c r="G1013" s="37">
        <v>1.35</v>
      </c>
      <c r="H1013" s="37">
        <v>99.782600000000002</v>
      </c>
      <c r="O1013" s="137"/>
    </row>
    <row r="1014" spans="2:15" x14ac:dyDescent="0.3">
      <c r="B1014" s="375">
        <v>15539</v>
      </c>
      <c r="C1014" s="38" t="s">
        <v>299</v>
      </c>
      <c r="D1014" s="38" t="s">
        <v>260</v>
      </c>
      <c r="E1014" s="37">
        <v>180</v>
      </c>
      <c r="F1014" s="37">
        <v>7.6109999999999998</v>
      </c>
      <c r="G1014" s="37">
        <v>22.5</v>
      </c>
      <c r="H1014" s="37">
        <v>1663.0435</v>
      </c>
      <c r="O1014" s="137"/>
    </row>
    <row r="1015" spans="2:15" x14ac:dyDescent="0.3">
      <c r="B1015" s="375">
        <v>15540</v>
      </c>
      <c r="C1015" s="38" t="s">
        <v>300</v>
      </c>
      <c r="D1015" s="38" t="s">
        <v>260</v>
      </c>
      <c r="E1015" s="37">
        <v>180</v>
      </c>
      <c r="F1015" s="37">
        <v>7.6109999999999998</v>
      </c>
      <c r="G1015" s="37">
        <v>22.5</v>
      </c>
      <c r="H1015" s="37">
        <v>1663.0435</v>
      </c>
      <c r="O1015" s="137"/>
    </row>
    <row r="1016" spans="2:15" x14ac:dyDescent="0.3">
      <c r="B1016" s="375">
        <v>15541</v>
      </c>
      <c r="C1016" s="38" t="s">
        <v>301</v>
      </c>
      <c r="D1016" s="38" t="s">
        <v>260</v>
      </c>
      <c r="E1016" s="37">
        <v>13.92</v>
      </c>
      <c r="F1016" s="37">
        <v>0.58860000000000001</v>
      </c>
      <c r="G1016" s="37">
        <v>1.8560000000000001</v>
      </c>
      <c r="H1016" s="37">
        <v>128.6087</v>
      </c>
      <c r="O1016" s="137"/>
    </row>
    <row r="1017" spans="2:15" x14ac:dyDescent="0.3">
      <c r="B1017" s="375">
        <v>15542</v>
      </c>
      <c r="C1017" s="38" t="s">
        <v>302</v>
      </c>
      <c r="D1017" s="38" t="s">
        <v>260</v>
      </c>
      <c r="E1017" s="37">
        <v>4.4080000000000004</v>
      </c>
      <c r="F1017" s="37">
        <v>0.18640000000000001</v>
      </c>
      <c r="G1017" s="37">
        <v>0.5877</v>
      </c>
      <c r="H1017" s="37">
        <v>40.726100000000002</v>
      </c>
      <c r="O1017" s="137"/>
    </row>
    <row r="1018" spans="2:15" x14ac:dyDescent="0.3">
      <c r="B1018" s="375">
        <v>15543</v>
      </c>
      <c r="C1018" s="38" t="s">
        <v>303</v>
      </c>
      <c r="D1018" s="38" t="s">
        <v>260</v>
      </c>
      <c r="E1018" s="37">
        <v>111.41200000000001</v>
      </c>
      <c r="F1018" s="37">
        <v>4.7108999999999996</v>
      </c>
      <c r="G1018" s="37">
        <v>14.854900000000001</v>
      </c>
      <c r="H1018" s="37">
        <v>1029.3499999999999</v>
      </c>
      <c r="O1018" s="137"/>
    </row>
    <row r="1019" spans="2:15" x14ac:dyDescent="0.3">
      <c r="B1019" s="375">
        <v>15544</v>
      </c>
      <c r="C1019" s="38" t="s">
        <v>304</v>
      </c>
      <c r="D1019" s="38" t="s">
        <v>260</v>
      </c>
      <c r="E1019" s="37">
        <v>111.27200000000001</v>
      </c>
      <c r="F1019" s="37">
        <v>4.7050000000000001</v>
      </c>
      <c r="G1019" s="37">
        <v>14.8363</v>
      </c>
      <c r="H1019" s="37">
        <v>1028.0564999999999</v>
      </c>
      <c r="O1019" s="137"/>
    </row>
    <row r="1020" spans="2:15" x14ac:dyDescent="0.3">
      <c r="B1020" s="375">
        <v>15545</v>
      </c>
      <c r="C1020" s="38" t="s">
        <v>305</v>
      </c>
      <c r="D1020" s="38" t="s">
        <v>260</v>
      </c>
      <c r="E1020" s="37">
        <v>1500</v>
      </c>
      <c r="F1020" s="37">
        <v>63.424999999999997</v>
      </c>
      <c r="G1020" s="37">
        <v>200</v>
      </c>
      <c r="H1020" s="37">
        <v>13858.6957</v>
      </c>
      <c r="O1020" s="137"/>
    </row>
    <row r="1021" spans="2:15" x14ac:dyDescent="0.3">
      <c r="B1021" s="375">
        <v>15546</v>
      </c>
      <c r="C1021" s="38" t="s">
        <v>306</v>
      </c>
      <c r="D1021" s="38" t="s">
        <v>260</v>
      </c>
      <c r="E1021" s="37">
        <v>1599</v>
      </c>
      <c r="F1021" s="37">
        <v>67.611000000000004</v>
      </c>
      <c r="G1021" s="37">
        <v>213.2</v>
      </c>
      <c r="H1021" s="37">
        <v>14773.3696</v>
      </c>
      <c r="O1021" s="137"/>
    </row>
    <row r="1022" spans="2:15" x14ac:dyDescent="0.3">
      <c r="B1022" s="375">
        <v>15547</v>
      </c>
      <c r="C1022" s="38" t="s">
        <v>307</v>
      </c>
      <c r="D1022" s="38" t="s">
        <v>260</v>
      </c>
      <c r="E1022" s="37">
        <v>1599</v>
      </c>
      <c r="F1022" s="37">
        <v>67.611000000000004</v>
      </c>
      <c r="G1022" s="37">
        <v>213.2</v>
      </c>
      <c r="H1022" s="37">
        <v>14773.3696</v>
      </c>
      <c r="O1022" s="137"/>
    </row>
    <row r="1023" spans="2:15" x14ac:dyDescent="0.3">
      <c r="B1023" s="375">
        <v>15548</v>
      </c>
      <c r="C1023" s="38" t="s">
        <v>308</v>
      </c>
      <c r="D1023" s="38" t="s">
        <v>260</v>
      </c>
      <c r="E1023" s="37">
        <v>230.86</v>
      </c>
      <c r="F1023" s="37">
        <v>9.7614999999999998</v>
      </c>
      <c r="G1023" s="37">
        <v>30.781300000000002</v>
      </c>
      <c r="H1023" s="37">
        <v>2132.9457000000002</v>
      </c>
      <c r="O1023" s="137"/>
    </row>
    <row r="1024" spans="2:15" x14ac:dyDescent="0.3">
      <c r="B1024" s="375">
        <v>15549</v>
      </c>
      <c r="C1024" s="38" t="s">
        <v>309</v>
      </c>
      <c r="D1024" s="38" t="s">
        <v>260</v>
      </c>
      <c r="E1024" s="37">
        <v>111.09</v>
      </c>
      <c r="F1024" s="37">
        <v>4.6973000000000003</v>
      </c>
      <c r="G1024" s="37">
        <v>14.811999999999999</v>
      </c>
      <c r="H1024" s="37">
        <v>1026.375</v>
      </c>
      <c r="O1024" s="137"/>
    </row>
    <row r="1025" spans="2:15" x14ac:dyDescent="0.3">
      <c r="B1025" s="375">
        <v>15550</v>
      </c>
      <c r="C1025" s="38" t="s">
        <v>310</v>
      </c>
      <c r="D1025" s="38" t="s">
        <v>260</v>
      </c>
      <c r="E1025" s="37">
        <v>64.300319999999999</v>
      </c>
      <c r="F1025" s="37">
        <v>2.7187999999999999</v>
      </c>
      <c r="G1025" s="37">
        <v>8.5733999999999995</v>
      </c>
      <c r="H1025" s="37">
        <v>559.13319999999999</v>
      </c>
      <c r="O1025" s="137"/>
    </row>
    <row r="1026" spans="2:15" x14ac:dyDescent="0.3">
      <c r="B1026" s="375">
        <v>15551</v>
      </c>
      <c r="C1026" s="38" t="s">
        <v>311</v>
      </c>
      <c r="D1026" s="38" t="s">
        <v>260</v>
      </c>
      <c r="E1026" s="37">
        <v>73.426640000000006</v>
      </c>
      <c r="F1026" s="37">
        <v>3.1046999999999998</v>
      </c>
      <c r="G1026" s="37">
        <v>9.7902000000000005</v>
      </c>
      <c r="H1026" s="37">
        <v>638.49249999999995</v>
      </c>
      <c r="O1026" s="137"/>
    </row>
    <row r="1027" spans="2:15" x14ac:dyDescent="0.3">
      <c r="B1027" s="375">
        <v>15552</v>
      </c>
      <c r="C1027" s="38" t="s">
        <v>312</v>
      </c>
      <c r="D1027" s="38" t="s">
        <v>260</v>
      </c>
      <c r="E1027" s="37">
        <v>7</v>
      </c>
      <c r="F1027" s="37">
        <v>0.29599999999999999</v>
      </c>
      <c r="G1027" s="37">
        <v>0.93330000000000002</v>
      </c>
      <c r="H1027" s="37">
        <v>60.869599999999998</v>
      </c>
      <c r="O1027" s="137"/>
    </row>
    <row r="1028" spans="2:15" x14ac:dyDescent="0.3">
      <c r="B1028" s="375">
        <v>15553</v>
      </c>
      <c r="C1028" s="38" t="s">
        <v>313</v>
      </c>
      <c r="D1028" s="38" t="s">
        <v>260</v>
      </c>
      <c r="E1028" s="37">
        <v>6.9160000000000004</v>
      </c>
      <c r="F1028" s="37">
        <v>0.29239999999999999</v>
      </c>
      <c r="G1028" s="37">
        <v>0.92210000000000003</v>
      </c>
      <c r="H1028" s="37">
        <v>63.897799999999997</v>
      </c>
      <c r="O1028" s="137"/>
    </row>
    <row r="1029" spans="2:15" x14ac:dyDescent="0.3">
      <c r="B1029" s="375">
        <v>15554</v>
      </c>
      <c r="C1029" s="38" t="s">
        <v>314</v>
      </c>
      <c r="D1029" s="38" t="s">
        <v>260</v>
      </c>
      <c r="E1029" s="37">
        <v>103.5</v>
      </c>
      <c r="F1029" s="37">
        <v>4.3762999999999996</v>
      </c>
      <c r="G1029" s="37">
        <v>13.8</v>
      </c>
      <c r="H1029" s="37">
        <v>956.25</v>
      </c>
      <c r="O1029" s="137"/>
    </row>
    <row r="1030" spans="2:15" x14ac:dyDescent="0.3">
      <c r="B1030" s="375">
        <v>15555</v>
      </c>
      <c r="C1030" s="38" t="s">
        <v>315</v>
      </c>
      <c r="D1030" s="38" t="s">
        <v>260</v>
      </c>
      <c r="E1030" s="37">
        <v>199</v>
      </c>
      <c r="F1030" s="37">
        <v>8.4144000000000005</v>
      </c>
      <c r="G1030" s="37">
        <v>24.875</v>
      </c>
      <c r="H1030" s="37">
        <v>1838.587</v>
      </c>
      <c r="O1030" s="137"/>
    </row>
    <row r="1031" spans="2:15" x14ac:dyDescent="0.3">
      <c r="B1031" s="375">
        <v>15556</v>
      </c>
      <c r="C1031" s="38" t="s">
        <v>316</v>
      </c>
      <c r="D1031" s="38" t="s">
        <v>260</v>
      </c>
      <c r="E1031" s="37">
        <v>199</v>
      </c>
      <c r="F1031" s="37">
        <v>8.4144000000000005</v>
      </c>
      <c r="G1031" s="37">
        <v>24.875</v>
      </c>
      <c r="H1031" s="37">
        <v>1838.587</v>
      </c>
      <c r="O1031" s="137"/>
    </row>
    <row r="1032" spans="2:15" x14ac:dyDescent="0.3">
      <c r="B1032" s="375">
        <v>15557</v>
      </c>
      <c r="C1032" s="38" t="s">
        <v>317</v>
      </c>
      <c r="D1032" s="38" t="s">
        <v>260</v>
      </c>
      <c r="E1032" s="37">
        <v>199</v>
      </c>
      <c r="F1032" s="37">
        <v>8.4144000000000005</v>
      </c>
      <c r="G1032" s="37">
        <v>24.875</v>
      </c>
      <c r="H1032" s="37">
        <v>1838.587</v>
      </c>
      <c r="O1032" s="137"/>
    </row>
    <row r="1033" spans="2:15" x14ac:dyDescent="0.3">
      <c r="B1033" s="375">
        <v>15558</v>
      </c>
      <c r="C1033" s="38" t="s">
        <v>318</v>
      </c>
      <c r="D1033" s="38" t="s">
        <v>260</v>
      </c>
      <c r="E1033" s="37">
        <v>199</v>
      </c>
      <c r="F1033" s="37">
        <v>8.4144000000000005</v>
      </c>
      <c r="G1033" s="37">
        <v>24.875</v>
      </c>
      <c r="H1033" s="37">
        <v>1838.587</v>
      </c>
      <c r="O1033" s="137"/>
    </row>
    <row r="1034" spans="2:15" x14ac:dyDescent="0.3">
      <c r="B1034" s="375">
        <v>15559</v>
      </c>
      <c r="C1034" s="38" t="s">
        <v>319</v>
      </c>
      <c r="D1034" s="38" t="s">
        <v>260</v>
      </c>
      <c r="E1034" s="37">
        <v>199</v>
      </c>
      <c r="F1034" s="37">
        <v>8.4144000000000005</v>
      </c>
      <c r="G1034" s="37">
        <v>24.875</v>
      </c>
      <c r="H1034" s="37">
        <v>1838.587</v>
      </c>
      <c r="O1034" s="137"/>
    </row>
    <row r="1035" spans="2:15" x14ac:dyDescent="0.3">
      <c r="B1035" s="375">
        <v>15560</v>
      </c>
      <c r="C1035" s="38" t="s">
        <v>320</v>
      </c>
      <c r="D1035" s="38" t="s">
        <v>260</v>
      </c>
      <c r="E1035" s="37">
        <v>299</v>
      </c>
      <c r="F1035" s="37">
        <v>12.6427</v>
      </c>
      <c r="G1035" s="37">
        <v>37.375</v>
      </c>
      <c r="H1035" s="37">
        <v>2762.5</v>
      </c>
      <c r="O1035" s="137"/>
    </row>
    <row r="1036" spans="2:15" x14ac:dyDescent="0.3">
      <c r="B1036" s="375">
        <v>15561</v>
      </c>
      <c r="C1036" s="38" t="s">
        <v>321</v>
      </c>
      <c r="D1036" s="38" t="s">
        <v>260</v>
      </c>
      <c r="E1036" s="37">
        <v>1599.33</v>
      </c>
      <c r="F1036" s="37">
        <v>67.625</v>
      </c>
      <c r="G1036" s="37">
        <v>213.244</v>
      </c>
      <c r="H1036" s="37">
        <v>14776.4185</v>
      </c>
      <c r="O1036" s="137"/>
    </row>
    <row r="1037" spans="2:15" x14ac:dyDescent="0.3">
      <c r="B1037" s="375">
        <v>15562</v>
      </c>
      <c r="C1037" s="38" t="s">
        <v>322</v>
      </c>
      <c r="D1037" s="38" t="s">
        <v>260</v>
      </c>
      <c r="E1037" s="37">
        <v>82.08</v>
      </c>
      <c r="F1037" s="37">
        <v>3.4706000000000001</v>
      </c>
      <c r="G1037" s="37">
        <v>10.944000000000001</v>
      </c>
      <c r="H1037" s="37">
        <v>758.34780000000001</v>
      </c>
      <c r="O1037" s="137"/>
    </row>
    <row r="1038" spans="2:15" x14ac:dyDescent="0.3">
      <c r="B1038" s="375">
        <v>15563</v>
      </c>
      <c r="C1038" s="38" t="s">
        <v>323</v>
      </c>
      <c r="D1038" s="38" t="s">
        <v>260</v>
      </c>
      <c r="E1038" s="37">
        <v>82.08</v>
      </c>
      <c r="F1038" s="37">
        <v>3.4706000000000001</v>
      </c>
      <c r="G1038" s="37">
        <v>10.944000000000001</v>
      </c>
      <c r="H1038" s="37">
        <v>758.34780000000001</v>
      </c>
      <c r="O1038" s="137"/>
    </row>
    <row r="1039" spans="2:15" x14ac:dyDescent="0.3">
      <c r="B1039" s="375">
        <v>15564</v>
      </c>
      <c r="C1039" s="38" t="s">
        <v>324</v>
      </c>
      <c r="D1039" s="38" t="s">
        <v>260</v>
      </c>
      <c r="E1039" s="37">
        <v>28</v>
      </c>
      <c r="F1039" s="37">
        <v>1.1247</v>
      </c>
      <c r="G1039" s="37">
        <v>4.2</v>
      </c>
      <c r="H1039" s="37">
        <v>273.91300000000001</v>
      </c>
      <c r="O1039" s="137"/>
    </row>
    <row r="1040" spans="2:15" x14ac:dyDescent="0.3">
      <c r="B1040" s="375">
        <v>15565</v>
      </c>
      <c r="C1040" s="38" t="s">
        <v>325</v>
      </c>
      <c r="D1040" s="38" t="s">
        <v>260</v>
      </c>
      <c r="E1040" s="37">
        <v>24</v>
      </c>
      <c r="F1040" s="37">
        <v>0.96409999999999996</v>
      </c>
      <c r="G1040" s="37">
        <v>3.6</v>
      </c>
      <c r="H1040" s="37">
        <v>234.7826</v>
      </c>
      <c r="O1040" s="137"/>
    </row>
    <row r="1041" spans="2:15" x14ac:dyDescent="0.3">
      <c r="B1041" s="375">
        <v>15566</v>
      </c>
      <c r="C1041" s="38" t="s">
        <v>326</v>
      </c>
      <c r="D1041" s="38" t="s">
        <v>260</v>
      </c>
      <c r="E1041" s="37">
        <v>24</v>
      </c>
      <c r="F1041" s="37">
        <v>0.96409999999999996</v>
      </c>
      <c r="G1041" s="37">
        <v>3.6</v>
      </c>
      <c r="H1041" s="37">
        <v>234.7826</v>
      </c>
      <c r="O1041" s="137"/>
    </row>
    <row r="1042" spans="2:15" x14ac:dyDescent="0.3">
      <c r="B1042" s="375">
        <v>15567</v>
      </c>
      <c r="C1042" s="38" t="s">
        <v>327</v>
      </c>
      <c r="D1042" s="38" t="s">
        <v>260</v>
      </c>
      <c r="E1042" s="37">
        <v>37</v>
      </c>
      <c r="F1042" s="37">
        <v>1.4863</v>
      </c>
      <c r="G1042" s="37">
        <v>5.55</v>
      </c>
      <c r="H1042" s="37">
        <v>361.95650000000001</v>
      </c>
      <c r="O1042" s="137"/>
    </row>
    <row r="1043" spans="2:15" x14ac:dyDescent="0.3">
      <c r="B1043" s="375">
        <v>15568</v>
      </c>
      <c r="C1043" s="38" t="s">
        <v>328</v>
      </c>
      <c r="D1043" s="38" t="s">
        <v>260</v>
      </c>
      <c r="E1043" s="37">
        <v>168</v>
      </c>
      <c r="F1043" s="37">
        <v>6.7484000000000002</v>
      </c>
      <c r="G1043" s="37">
        <v>25.2</v>
      </c>
      <c r="H1043" s="37">
        <v>1643.4783</v>
      </c>
      <c r="O1043" s="137"/>
    </row>
    <row r="1044" spans="2:15" x14ac:dyDescent="0.3">
      <c r="B1044" s="375">
        <v>15569</v>
      </c>
      <c r="C1044" s="38" t="s">
        <v>329</v>
      </c>
      <c r="D1044" s="38" t="s">
        <v>260</v>
      </c>
      <c r="E1044" s="37">
        <v>78</v>
      </c>
      <c r="F1044" s="37">
        <v>3.1332</v>
      </c>
      <c r="G1044" s="37">
        <v>11.7</v>
      </c>
      <c r="H1044" s="37">
        <v>763.04349999999999</v>
      </c>
      <c r="O1044" s="137"/>
    </row>
    <row r="1045" spans="2:15" x14ac:dyDescent="0.3">
      <c r="B1045" s="375">
        <v>15570</v>
      </c>
      <c r="C1045" s="38" t="s">
        <v>330</v>
      </c>
      <c r="D1045" s="38" t="s">
        <v>260</v>
      </c>
      <c r="E1045" s="37">
        <v>58</v>
      </c>
      <c r="F1045" s="37">
        <v>2.3298000000000001</v>
      </c>
      <c r="G1045" s="37">
        <v>8.6999999999999993</v>
      </c>
      <c r="H1045" s="37">
        <v>567.3913</v>
      </c>
      <c r="O1045" s="137"/>
    </row>
    <row r="1046" spans="2:15" x14ac:dyDescent="0.3">
      <c r="B1046" s="375">
        <v>15571</v>
      </c>
      <c r="C1046" s="38" t="s">
        <v>331</v>
      </c>
      <c r="D1046" s="38" t="s">
        <v>260</v>
      </c>
      <c r="E1046" s="37">
        <v>95</v>
      </c>
      <c r="F1046" s="37">
        <v>3.8161</v>
      </c>
      <c r="G1046" s="37">
        <v>14.25</v>
      </c>
      <c r="H1046" s="37">
        <v>929.34780000000001</v>
      </c>
      <c r="O1046" s="137"/>
    </row>
    <row r="1047" spans="2:15" x14ac:dyDescent="0.3">
      <c r="B1047" s="375">
        <v>15572</v>
      </c>
      <c r="C1047" s="38" t="s">
        <v>332</v>
      </c>
      <c r="D1047" s="38" t="s">
        <v>260</v>
      </c>
      <c r="E1047" s="37">
        <v>138</v>
      </c>
      <c r="F1047" s="37">
        <v>5.5433000000000003</v>
      </c>
      <c r="G1047" s="37">
        <v>20.7</v>
      </c>
      <c r="H1047" s="37">
        <v>1350</v>
      </c>
      <c r="O1047" s="137"/>
    </row>
    <row r="1048" spans="2:15" x14ac:dyDescent="0.3">
      <c r="B1048" s="375">
        <v>15573</v>
      </c>
      <c r="C1048" s="38" t="s">
        <v>333</v>
      </c>
      <c r="D1048" s="38" t="s">
        <v>260</v>
      </c>
      <c r="E1048" s="37">
        <v>113</v>
      </c>
      <c r="F1048" s="37">
        <v>4.5391000000000004</v>
      </c>
      <c r="G1048" s="37">
        <v>16.95</v>
      </c>
      <c r="H1048" s="37">
        <v>1105.4348</v>
      </c>
      <c r="O1048" s="137"/>
    </row>
    <row r="1049" spans="2:15" x14ac:dyDescent="0.3">
      <c r="B1049" s="375">
        <v>15574</v>
      </c>
      <c r="C1049" s="38" t="s">
        <v>334</v>
      </c>
      <c r="D1049" s="38" t="s">
        <v>260</v>
      </c>
      <c r="E1049" s="37">
        <v>104</v>
      </c>
      <c r="F1049" s="37">
        <v>4.1776</v>
      </c>
      <c r="G1049" s="37">
        <v>15.6</v>
      </c>
      <c r="H1049" s="37">
        <v>1017.3913</v>
      </c>
      <c r="O1049" s="137"/>
    </row>
    <row r="1050" spans="2:15" x14ac:dyDescent="0.3">
      <c r="B1050" s="375">
        <v>15575</v>
      </c>
      <c r="C1050" s="38" t="s">
        <v>335</v>
      </c>
      <c r="D1050" s="38" t="s">
        <v>260</v>
      </c>
      <c r="E1050" s="37">
        <v>87</v>
      </c>
      <c r="F1050" s="37">
        <v>3.4946999999999999</v>
      </c>
      <c r="G1050" s="37">
        <v>13.05</v>
      </c>
      <c r="H1050" s="37">
        <v>851.08699999999999</v>
      </c>
      <c r="O1050" s="137"/>
    </row>
    <row r="1051" spans="2:15" x14ac:dyDescent="0.3">
      <c r="B1051" s="375">
        <v>15576</v>
      </c>
      <c r="C1051" s="38" t="s">
        <v>336</v>
      </c>
      <c r="D1051" s="38" t="s">
        <v>260</v>
      </c>
      <c r="E1051" s="37">
        <v>87</v>
      </c>
      <c r="F1051" s="37">
        <v>3.4946999999999999</v>
      </c>
      <c r="G1051" s="37">
        <v>13.05</v>
      </c>
      <c r="H1051" s="37">
        <v>851.08699999999999</v>
      </c>
      <c r="O1051" s="137"/>
    </row>
    <row r="1052" spans="2:15" x14ac:dyDescent="0.3">
      <c r="B1052" s="375">
        <v>15577</v>
      </c>
      <c r="C1052" s="38" t="s">
        <v>337</v>
      </c>
      <c r="D1052" s="38" t="s">
        <v>338</v>
      </c>
      <c r="E1052" s="37">
        <v>386</v>
      </c>
      <c r="F1052" s="37">
        <v>15.5053</v>
      </c>
      <c r="G1052" s="37">
        <v>57.9</v>
      </c>
      <c r="H1052" s="37">
        <v>3776.087</v>
      </c>
      <c r="O1052" s="137"/>
    </row>
    <row r="1053" spans="2:15" x14ac:dyDescent="0.3">
      <c r="B1053" s="375">
        <v>15578</v>
      </c>
      <c r="C1053" s="38" t="s">
        <v>339</v>
      </c>
      <c r="D1053" s="38" t="s">
        <v>260</v>
      </c>
      <c r="E1053" s="37">
        <v>4.1173999999999999</v>
      </c>
      <c r="F1053" s="37">
        <v>0.16539999999999999</v>
      </c>
      <c r="G1053" s="37">
        <v>0.61760000000000004</v>
      </c>
      <c r="H1053" s="37">
        <v>40.2789</v>
      </c>
      <c r="O1053" s="137"/>
    </row>
    <row r="1054" spans="2:15" x14ac:dyDescent="0.3">
      <c r="B1054" s="375">
        <v>15579</v>
      </c>
      <c r="C1054" s="38" t="s">
        <v>340</v>
      </c>
      <c r="D1054" s="38" t="s">
        <v>260</v>
      </c>
      <c r="E1054" s="37">
        <v>47.6</v>
      </c>
      <c r="F1054" s="37">
        <v>1.9120999999999999</v>
      </c>
      <c r="G1054" s="37">
        <v>7.14</v>
      </c>
      <c r="H1054" s="37">
        <v>465.65219999999999</v>
      </c>
      <c r="O1054" s="137"/>
    </row>
    <row r="1055" spans="2:15" x14ac:dyDescent="0.3">
      <c r="B1055" s="375">
        <v>15580</v>
      </c>
      <c r="C1055" s="38" t="s">
        <v>341</v>
      </c>
      <c r="D1055" s="38" t="s">
        <v>260</v>
      </c>
      <c r="E1055" s="37">
        <v>50</v>
      </c>
      <c r="F1055" s="37">
        <v>2.1141999999999999</v>
      </c>
      <c r="G1055" s="37">
        <v>6.25</v>
      </c>
      <c r="H1055" s="37">
        <v>461.95650000000001</v>
      </c>
      <c r="O1055" s="137"/>
    </row>
    <row r="1056" spans="2:15" x14ac:dyDescent="0.3">
      <c r="B1056" s="375">
        <v>15581</v>
      </c>
      <c r="C1056" s="38" t="s">
        <v>342</v>
      </c>
      <c r="D1056" s="38" t="s">
        <v>260</v>
      </c>
      <c r="E1056" s="37">
        <v>50</v>
      </c>
      <c r="F1056" s="37">
        <v>2.1141999999999999</v>
      </c>
      <c r="G1056" s="37">
        <v>6.25</v>
      </c>
      <c r="H1056" s="37">
        <v>461.95650000000001</v>
      </c>
      <c r="O1056" s="137"/>
    </row>
    <row r="1057" spans="2:15" x14ac:dyDescent="0.3">
      <c r="B1057" s="375">
        <v>15582</v>
      </c>
      <c r="C1057" s="38" t="s">
        <v>343</v>
      </c>
      <c r="D1057" s="38" t="s">
        <v>260</v>
      </c>
      <c r="E1057" s="37">
        <v>50</v>
      </c>
      <c r="F1057" s="37">
        <v>2.1141999999999999</v>
      </c>
      <c r="G1057" s="37">
        <v>6.25</v>
      </c>
      <c r="H1057" s="37">
        <v>461.95650000000001</v>
      </c>
      <c r="O1057" s="137"/>
    </row>
    <row r="1058" spans="2:15" x14ac:dyDescent="0.3">
      <c r="B1058" s="375">
        <v>15583</v>
      </c>
      <c r="C1058" s="38" t="s">
        <v>344</v>
      </c>
      <c r="D1058" s="38" t="s">
        <v>260</v>
      </c>
      <c r="E1058" s="37">
        <v>50</v>
      </c>
      <c r="F1058" s="37">
        <v>2.1141999999999999</v>
      </c>
      <c r="G1058" s="37">
        <v>6.25</v>
      </c>
      <c r="H1058" s="37">
        <v>461.95650000000001</v>
      </c>
      <c r="O1058" s="137"/>
    </row>
    <row r="1059" spans="2:15" x14ac:dyDescent="0.3">
      <c r="B1059" s="375">
        <v>15584</v>
      </c>
      <c r="C1059" s="38" t="s">
        <v>345</v>
      </c>
      <c r="D1059" s="38" t="s">
        <v>260</v>
      </c>
      <c r="E1059" s="37">
        <v>50</v>
      </c>
      <c r="F1059" s="37">
        <v>2.1141999999999999</v>
      </c>
      <c r="G1059" s="37">
        <v>6.25</v>
      </c>
      <c r="H1059" s="37">
        <v>461.95650000000001</v>
      </c>
      <c r="O1059" s="137"/>
    </row>
    <row r="1060" spans="2:15" x14ac:dyDescent="0.3">
      <c r="B1060" s="375">
        <v>15585</v>
      </c>
      <c r="C1060" s="38" t="s">
        <v>346</v>
      </c>
      <c r="D1060" s="38" t="s">
        <v>347</v>
      </c>
      <c r="E1060" s="37">
        <v>3.1249699999999998</v>
      </c>
      <c r="F1060" s="37">
        <v>0.1321</v>
      </c>
      <c r="G1060" s="37">
        <v>0.3906</v>
      </c>
      <c r="H1060" s="37">
        <v>28.872</v>
      </c>
      <c r="O1060" s="137"/>
    </row>
    <row r="1061" spans="2:15" x14ac:dyDescent="0.3">
      <c r="B1061" s="375">
        <v>15586</v>
      </c>
      <c r="C1061" s="38" t="s">
        <v>348</v>
      </c>
      <c r="D1061" s="38" t="s">
        <v>260</v>
      </c>
      <c r="E1061" s="37">
        <v>3.4</v>
      </c>
      <c r="F1061" s="37">
        <v>0.14380000000000001</v>
      </c>
      <c r="G1061" s="37">
        <v>0.42499999999999999</v>
      </c>
      <c r="H1061" s="37">
        <v>31.413</v>
      </c>
      <c r="O1061" s="137"/>
    </row>
    <row r="1062" spans="2:15" x14ac:dyDescent="0.3">
      <c r="B1062" s="375">
        <v>15588</v>
      </c>
      <c r="C1062" s="38" t="s">
        <v>349</v>
      </c>
      <c r="D1062" s="38" t="s">
        <v>260</v>
      </c>
      <c r="E1062" s="37">
        <v>259.11144000000002</v>
      </c>
      <c r="F1062" s="37">
        <v>10.956099999999999</v>
      </c>
      <c r="G1062" s="37">
        <v>32.3889</v>
      </c>
      <c r="H1062" s="37">
        <v>2393.9643999999998</v>
      </c>
      <c r="O1062" s="137"/>
    </row>
    <row r="1063" spans="2:15" x14ac:dyDescent="0.3">
      <c r="B1063" s="375">
        <v>15589</v>
      </c>
      <c r="C1063" s="38" t="s">
        <v>350</v>
      </c>
      <c r="D1063" s="38" t="s">
        <v>260</v>
      </c>
      <c r="E1063" s="37">
        <v>314.29257999999999</v>
      </c>
      <c r="F1063" s="37">
        <v>13.289300000000001</v>
      </c>
      <c r="G1063" s="37">
        <v>39.2866</v>
      </c>
      <c r="H1063" s="37">
        <v>2903.7901000000002</v>
      </c>
      <c r="O1063" s="137"/>
    </row>
    <row r="1064" spans="2:15" x14ac:dyDescent="0.3">
      <c r="B1064" s="375">
        <v>15590</v>
      </c>
      <c r="C1064" s="38" t="s">
        <v>351</v>
      </c>
      <c r="D1064" s="38" t="s">
        <v>260</v>
      </c>
      <c r="E1064" s="37">
        <v>299.89999999999998</v>
      </c>
      <c r="F1064" s="37">
        <v>12.6808</v>
      </c>
      <c r="G1064" s="37">
        <v>37.487499999999997</v>
      </c>
      <c r="H1064" s="37">
        <v>2770.8152</v>
      </c>
      <c r="O1064" s="137"/>
    </row>
    <row r="1065" spans="2:15" x14ac:dyDescent="0.3">
      <c r="B1065" s="375">
        <v>15591</v>
      </c>
      <c r="C1065" s="38" t="s">
        <v>352</v>
      </c>
      <c r="D1065" s="38" t="s">
        <v>260</v>
      </c>
      <c r="E1065" s="37">
        <v>299.89999999999998</v>
      </c>
      <c r="F1065" s="37">
        <v>12.6808</v>
      </c>
      <c r="G1065" s="37">
        <v>37.487499999999997</v>
      </c>
      <c r="H1065" s="37">
        <v>2770.8152</v>
      </c>
      <c r="O1065" s="137"/>
    </row>
    <row r="1066" spans="2:15" x14ac:dyDescent="0.3">
      <c r="B1066" s="375">
        <v>15592</v>
      </c>
      <c r="C1066" s="38" t="s">
        <v>353</v>
      </c>
      <c r="D1066" s="38" t="s">
        <v>260</v>
      </c>
      <c r="E1066" s="37">
        <v>299.89999999999998</v>
      </c>
      <c r="F1066" s="37">
        <v>12.6808</v>
      </c>
      <c r="G1066" s="37">
        <v>37.487499999999997</v>
      </c>
      <c r="H1066" s="37">
        <v>2770.8152</v>
      </c>
      <c r="O1066" s="137"/>
    </row>
    <row r="1067" spans="2:15" x14ac:dyDescent="0.3">
      <c r="B1067" s="375">
        <v>15593</v>
      </c>
      <c r="C1067" s="38" t="s">
        <v>354</v>
      </c>
      <c r="D1067" s="38" t="s">
        <v>260</v>
      </c>
      <c r="E1067" s="37">
        <v>299.89999999999998</v>
      </c>
      <c r="F1067" s="37">
        <v>12.6808</v>
      </c>
      <c r="G1067" s="37">
        <v>37.487499999999997</v>
      </c>
      <c r="H1067" s="37">
        <v>2770.8152</v>
      </c>
      <c r="O1067" s="137"/>
    </row>
    <row r="1068" spans="2:15" x14ac:dyDescent="0.3">
      <c r="B1068" s="375">
        <v>15594</v>
      </c>
      <c r="C1068" s="38" t="s">
        <v>355</v>
      </c>
      <c r="D1068" s="38" t="s">
        <v>260</v>
      </c>
      <c r="E1068" s="37">
        <v>299.89999999999998</v>
      </c>
      <c r="F1068" s="37">
        <v>12.6808</v>
      </c>
      <c r="G1068" s="37">
        <v>37.487499999999997</v>
      </c>
      <c r="H1068" s="37">
        <v>2770.8152</v>
      </c>
      <c r="O1068" s="137"/>
    </row>
    <row r="1069" spans="2:15" x14ac:dyDescent="0.3">
      <c r="B1069" s="375">
        <v>15595</v>
      </c>
      <c r="C1069" s="38" t="s">
        <v>356</v>
      </c>
      <c r="D1069" s="38" t="s">
        <v>260</v>
      </c>
      <c r="E1069" s="37">
        <v>13.4</v>
      </c>
      <c r="F1069" s="37">
        <v>0.56659999999999999</v>
      </c>
      <c r="G1069" s="37">
        <v>1.675</v>
      </c>
      <c r="H1069" s="37">
        <v>123.8044</v>
      </c>
      <c r="O1069" s="137"/>
    </row>
    <row r="1070" spans="2:15" x14ac:dyDescent="0.3">
      <c r="B1070" s="375">
        <v>15596</v>
      </c>
      <c r="C1070" s="38" t="s">
        <v>357</v>
      </c>
      <c r="D1070" s="38" t="s">
        <v>260</v>
      </c>
      <c r="E1070" s="37">
        <v>11.9</v>
      </c>
      <c r="F1070" s="37">
        <v>0.50319999999999998</v>
      </c>
      <c r="G1070" s="37">
        <v>1.4875</v>
      </c>
      <c r="H1070" s="37">
        <v>109.9457</v>
      </c>
      <c r="O1070" s="137"/>
    </row>
    <row r="1071" spans="2:15" x14ac:dyDescent="0.3">
      <c r="B1071" s="375">
        <v>15597</v>
      </c>
      <c r="C1071" s="38" t="s">
        <v>358</v>
      </c>
      <c r="D1071" s="38" t="s">
        <v>260</v>
      </c>
      <c r="E1071" s="37">
        <v>11.423999999999999</v>
      </c>
      <c r="F1071" s="37">
        <v>0.48299999999999998</v>
      </c>
      <c r="G1071" s="37">
        <v>1.4279999999999999</v>
      </c>
      <c r="H1071" s="37">
        <v>105.5478</v>
      </c>
      <c r="O1071" s="137"/>
    </row>
    <row r="1072" spans="2:15" x14ac:dyDescent="0.3">
      <c r="B1072" s="375">
        <v>15598</v>
      </c>
      <c r="C1072" s="38" t="s">
        <v>359</v>
      </c>
      <c r="D1072" s="38" t="s">
        <v>260</v>
      </c>
      <c r="E1072" s="37">
        <v>0.52359999999999995</v>
      </c>
      <c r="F1072" s="37">
        <v>2.2100000000000002E-2</v>
      </c>
      <c r="G1072" s="37">
        <v>6.5500000000000003E-2</v>
      </c>
      <c r="H1072" s="37">
        <v>4.8376000000000001</v>
      </c>
      <c r="O1072" s="137"/>
    </row>
    <row r="1073" spans="2:15" x14ac:dyDescent="0.3">
      <c r="B1073" s="375">
        <v>15599</v>
      </c>
      <c r="C1073" s="38" t="s">
        <v>360</v>
      </c>
      <c r="D1073" s="38" t="s">
        <v>260</v>
      </c>
      <c r="E1073" s="37">
        <v>0.80920000000000003</v>
      </c>
      <c r="F1073" s="37">
        <v>3.4200000000000001E-2</v>
      </c>
      <c r="G1073" s="37">
        <v>0.1012</v>
      </c>
      <c r="H1073" s="37">
        <v>7.4763000000000002</v>
      </c>
      <c r="O1073" s="137"/>
    </row>
  </sheetData>
  <autoFilter ref="A128:IZ497" xr:uid="{1D19A15E-1545-465F-95F5-B2DDD0F40DE6}"/>
  <mergeCells count="340">
    <mergeCell ref="C123:D123"/>
    <mergeCell ref="E123:F123"/>
    <mergeCell ref="G123:H123"/>
    <mergeCell ref="I123:J123"/>
    <mergeCell ref="K123:L123"/>
    <mergeCell ref="C124:D124"/>
    <mergeCell ref="E124:F124"/>
    <mergeCell ref="G124:H124"/>
    <mergeCell ref="I124:J124"/>
    <mergeCell ref="K124:L124"/>
    <mergeCell ref="C121:D121"/>
    <mergeCell ref="E121:F121"/>
    <mergeCell ref="G121:H121"/>
    <mergeCell ref="I121:J121"/>
    <mergeCell ref="K121:L121"/>
    <mergeCell ref="C122:D122"/>
    <mergeCell ref="E122:F122"/>
    <mergeCell ref="G122:H122"/>
    <mergeCell ref="I122:J122"/>
    <mergeCell ref="K122:L122"/>
    <mergeCell ref="C112:D112"/>
    <mergeCell ref="E112:F112"/>
    <mergeCell ref="G112:H112"/>
    <mergeCell ref="I112:J112"/>
    <mergeCell ref="K112:L112"/>
    <mergeCell ref="C118:D118"/>
    <mergeCell ref="E118:F118"/>
    <mergeCell ref="G118:H118"/>
    <mergeCell ref="I118:J118"/>
    <mergeCell ref="K118:L118"/>
    <mergeCell ref="C110:D110"/>
    <mergeCell ref="E110:F110"/>
    <mergeCell ref="G110:H110"/>
    <mergeCell ref="I110:J110"/>
    <mergeCell ref="K110:L110"/>
    <mergeCell ref="C111:D111"/>
    <mergeCell ref="E111:F111"/>
    <mergeCell ref="G111:H111"/>
    <mergeCell ref="I111:J111"/>
    <mergeCell ref="K111:L111"/>
    <mergeCell ref="C108:D108"/>
    <mergeCell ref="E108:F108"/>
    <mergeCell ref="G108:H108"/>
    <mergeCell ref="I108:J108"/>
    <mergeCell ref="K108:L108"/>
    <mergeCell ref="C109:D109"/>
    <mergeCell ref="E109:F109"/>
    <mergeCell ref="G109:H109"/>
    <mergeCell ref="I109:J109"/>
    <mergeCell ref="K109:L109"/>
    <mergeCell ref="C106:D106"/>
    <mergeCell ref="E106:F106"/>
    <mergeCell ref="G106:H106"/>
    <mergeCell ref="I106:J106"/>
    <mergeCell ref="K106:L106"/>
    <mergeCell ref="C107:D107"/>
    <mergeCell ref="E107:F107"/>
    <mergeCell ref="G107:H107"/>
    <mergeCell ref="I107:J107"/>
    <mergeCell ref="K107:L107"/>
    <mergeCell ref="C104:D104"/>
    <mergeCell ref="E104:F104"/>
    <mergeCell ref="G104:H104"/>
    <mergeCell ref="I104:J104"/>
    <mergeCell ref="K104:L104"/>
    <mergeCell ref="C105:D105"/>
    <mergeCell ref="E105:F105"/>
    <mergeCell ref="G105:H105"/>
    <mergeCell ref="I105:J105"/>
    <mergeCell ref="K105:L105"/>
    <mergeCell ref="C102:D102"/>
    <mergeCell ref="E102:F102"/>
    <mergeCell ref="G102:H102"/>
    <mergeCell ref="I102:J102"/>
    <mergeCell ref="K102:L102"/>
    <mergeCell ref="C103:D103"/>
    <mergeCell ref="E103:F103"/>
    <mergeCell ref="G103:H103"/>
    <mergeCell ref="I103:J103"/>
    <mergeCell ref="K103:L103"/>
    <mergeCell ref="C100:D100"/>
    <mergeCell ref="E100:F100"/>
    <mergeCell ref="G100:H100"/>
    <mergeCell ref="I100:J100"/>
    <mergeCell ref="K100:L100"/>
    <mergeCell ref="C101:D101"/>
    <mergeCell ref="E101:F101"/>
    <mergeCell ref="G101:H101"/>
    <mergeCell ref="I101:J101"/>
    <mergeCell ref="K101:L101"/>
    <mergeCell ref="C98:D98"/>
    <mergeCell ref="E98:F98"/>
    <mergeCell ref="G98:H98"/>
    <mergeCell ref="I98:J98"/>
    <mergeCell ref="K98:L98"/>
    <mergeCell ref="C99:D99"/>
    <mergeCell ref="E99:F99"/>
    <mergeCell ref="G99:H99"/>
    <mergeCell ref="I99:J99"/>
    <mergeCell ref="K99:L99"/>
    <mergeCell ref="C96:D96"/>
    <mergeCell ref="E96:F96"/>
    <mergeCell ref="G96:H96"/>
    <mergeCell ref="I96:J96"/>
    <mergeCell ref="K96:L96"/>
    <mergeCell ref="C97:D97"/>
    <mergeCell ref="E97:F97"/>
    <mergeCell ref="G97:H97"/>
    <mergeCell ref="I97:J97"/>
    <mergeCell ref="K97:L97"/>
    <mergeCell ref="C94:D94"/>
    <mergeCell ref="E94:F94"/>
    <mergeCell ref="G94:H94"/>
    <mergeCell ref="I94:J94"/>
    <mergeCell ref="K94:L94"/>
    <mergeCell ref="C95:D95"/>
    <mergeCell ref="E95:F95"/>
    <mergeCell ref="G95:H95"/>
    <mergeCell ref="I95:J95"/>
    <mergeCell ref="K95:L95"/>
    <mergeCell ref="C92:D92"/>
    <mergeCell ref="E92:F92"/>
    <mergeCell ref="G92:H92"/>
    <mergeCell ref="I92:J92"/>
    <mergeCell ref="K92:L92"/>
    <mergeCell ref="C93:D93"/>
    <mergeCell ref="E93:F93"/>
    <mergeCell ref="G93:H93"/>
    <mergeCell ref="I93:J93"/>
    <mergeCell ref="K93:L93"/>
    <mergeCell ref="C90:D90"/>
    <mergeCell ref="E90:F90"/>
    <mergeCell ref="G90:H90"/>
    <mergeCell ref="I90:J90"/>
    <mergeCell ref="K90:L90"/>
    <mergeCell ref="C91:D91"/>
    <mergeCell ref="E91:F91"/>
    <mergeCell ref="G91:H91"/>
    <mergeCell ref="I91:J91"/>
    <mergeCell ref="K91:L91"/>
    <mergeCell ref="C88:D88"/>
    <mergeCell ref="E88:F88"/>
    <mergeCell ref="G88:H88"/>
    <mergeCell ref="I88:J88"/>
    <mergeCell ref="K88:L88"/>
    <mergeCell ref="C89:D89"/>
    <mergeCell ref="E89:F89"/>
    <mergeCell ref="G89:H89"/>
    <mergeCell ref="I89:J89"/>
    <mergeCell ref="K89:L89"/>
    <mergeCell ref="C86:D86"/>
    <mergeCell ref="E86:F86"/>
    <mergeCell ref="G86:H86"/>
    <mergeCell ref="I86:J86"/>
    <mergeCell ref="K86:L86"/>
    <mergeCell ref="C87:D87"/>
    <mergeCell ref="E87:F87"/>
    <mergeCell ref="G87:H87"/>
    <mergeCell ref="I87:J87"/>
    <mergeCell ref="K87:L87"/>
    <mergeCell ref="C84:D84"/>
    <mergeCell ref="E84:F84"/>
    <mergeCell ref="G84:H84"/>
    <mergeCell ref="I84:J84"/>
    <mergeCell ref="K84:L84"/>
    <mergeCell ref="C85:D85"/>
    <mergeCell ref="E85:F85"/>
    <mergeCell ref="G85:H85"/>
    <mergeCell ref="I85:J85"/>
    <mergeCell ref="K85:L85"/>
    <mergeCell ref="C82:D82"/>
    <mergeCell ref="E82:F82"/>
    <mergeCell ref="G82:H82"/>
    <mergeCell ref="I82:J82"/>
    <mergeCell ref="K82:L82"/>
    <mergeCell ref="C83:D83"/>
    <mergeCell ref="E83:F83"/>
    <mergeCell ref="G83:H83"/>
    <mergeCell ref="I83:J83"/>
    <mergeCell ref="K83:L83"/>
    <mergeCell ref="C80:D80"/>
    <mergeCell ref="E80:F80"/>
    <mergeCell ref="G80:H80"/>
    <mergeCell ref="I80:J80"/>
    <mergeCell ref="K80:L80"/>
    <mergeCell ref="C81:D81"/>
    <mergeCell ref="E81:F81"/>
    <mergeCell ref="G81:H81"/>
    <mergeCell ref="I81:J81"/>
    <mergeCell ref="K81:L81"/>
    <mergeCell ref="C78:D78"/>
    <mergeCell ref="E78:F78"/>
    <mergeCell ref="G78:H78"/>
    <mergeCell ref="I78:J78"/>
    <mergeCell ref="K78:L78"/>
    <mergeCell ref="C79:D79"/>
    <mergeCell ref="E79:F79"/>
    <mergeCell ref="G79:H79"/>
    <mergeCell ref="I79:J79"/>
    <mergeCell ref="K79:L79"/>
    <mergeCell ref="C76:D76"/>
    <mergeCell ref="E76:F76"/>
    <mergeCell ref="G76:H76"/>
    <mergeCell ref="I76:J76"/>
    <mergeCell ref="K76:L76"/>
    <mergeCell ref="C77:D77"/>
    <mergeCell ref="E77:F77"/>
    <mergeCell ref="G77:H77"/>
    <mergeCell ref="I77:J77"/>
    <mergeCell ref="K77:L77"/>
    <mergeCell ref="C74:D74"/>
    <mergeCell ref="E74:F74"/>
    <mergeCell ref="G74:H74"/>
    <mergeCell ref="I74:J74"/>
    <mergeCell ref="K74:L74"/>
    <mergeCell ref="C75:D75"/>
    <mergeCell ref="E75:F75"/>
    <mergeCell ref="G75:H75"/>
    <mergeCell ref="I75:J75"/>
    <mergeCell ref="K75:L75"/>
    <mergeCell ref="C72:D72"/>
    <mergeCell ref="E72:F72"/>
    <mergeCell ref="G72:H72"/>
    <mergeCell ref="I72:J72"/>
    <mergeCell ref="K72:L72"/>
    <mergeCell ref="C73:D73"/>
    <mergeCell ref="E73:F73"/>
    <mergeCell ref="G73:H73"/>
    <mergeCell ref="I73:J73"/>
    <mergeCell ref="K73:L73"/>
    <mergeCell ref="C70:D70"/>
    <mergeCell ref="E70:F70"/>
    <mergeCell ref="G70:H70"/>
    <mergeCell ref="I70:J70"/>
    <mergeCell ref="K70:L70"/>
    <mergeCell ref="C71:D71"/>
    <mergeCell ref="E71:F71"/>
    <mergeCell ref="G71:H71"/>
    <mergeCell ref="I71:J71"/>
    <mergeCell ref="K71:L71"/>
    <mergeCell ref="C68:D68"/>
    <mergeCell ref="E68:F68"/>
    <mergeCell ref="G68:H68"/>
    <mergeCell ref="I68:J68"/>
    <mergeCell ref="K68:L68"/>
    <mergeCell ref="C69:D69"/>
    <mergeCell ref="E69:F69"/>
    <mergeCell ref="G69:H69"/>
    <mergeCell ref="I69:J69"/>
    <mergeCell ref="K69:L69"/>
    <mergeCell ref="C66:D66"/>
    <mergeCell ref="E66:F66"/>
    <mergeCell ref="G66:H66"/>
    <mergeCell ref="I66:J66"/>
    <mergeCell ref="K66:L66"/>
    <mergeCell ref="C67:D67"/>
    <mergeCell ref="E67:F67"/>
    <mergeCell ref="G67:H67"/>
    <mergeCell ref="I67:J67"/>
    <mergeCell ref="K67:L67"/>
    <mergeCell ref="C64:D64"/>
    <mergeCell ref="E64:F64"/>
    <mergeCell ref="G64:H64"/>
    <mergeCell ref="I64:J64"/>
    <mergeCell ref="K64:L64"/>
    <mergeCell ref="C65:D65"/>
    <mergeCell ref="E65:F65"/>
    <mergeCell ref="G65:H65"/>
    <mergeCell ref="I65:J65"/>
    <mergeCell ref="K65:L65"/>
    <mergeCell ref="C62:D62"/>
    <mergeCell ref="E62:F62"/>
    <mergeCell ref="G62:H62"/>
    <mergeCell ref="I62:J62"/>
    <mergeCell ref="K62:L62"/>
    <mergeCell ref="C63:D63"/>
    <mergeCell ref="E63:F63"/>
    <mergeCell ref="G63:H63"/>
    <mergeCell ref="I63:J63"/>
    <mergeCell ref="K63:L63"/>
    <mergeCell ref="C60:D60"/>
    <mergeCell ref="E60:F60"/>
    <mergeCell ref="G60:H60"/>
    <mergeCell ref="I60:J60"/>
    <mergeCell ref="K60:L60"/>
    <mergeCell ref="C61:D61"/>
    <mergeCell ref="E61:F61"/>
    <mergeCell ref="G61:H61"/>
    <mergeCell ref="I61:J61"/>
    <mergeCell ref="K61:L61"/>
    <mergeCell ref="C58:D58"/>
    <mergeCell ref="E58:F58"/>
    <mergeCell ref="G58:H58"/>
    <mergeCell ref="I58:J58"/>
    <mergeCell ref="K58:L58"/>
    <mergeCell ref="C59:D59"/>
    <mergeCell ref="E59:F59"/>
    <mergeCell ref="G59:H59"/>
    <mergeCell ref="I59:J59"/>
    <mergeCell ref="K59:L59"/>
    <mergeCell ref="C56:D56"/>
    <mergeCell ref="E56:F56"/>
    <mergeCell ref="G56:H56"/>
    <mergeCell ref="I56:J56"/>
    <mergeCell ref="K56:L56"/>
    <mergeCell ref="C57:D57"/>
    <mergeCell ref="E57:F57"/>
    <mergeCell ref="G57:H57"/>
    <mergeCell ref="I57:J57"/>
    <mergeCell ref="K57:L57"/>
    <mergeCell ref="C54:D54"/>
    <mergeCell ref="E54:F54"/>
    <mergeCell ref="G54:H54"/>
    <mergeCell ref="I54:J54"/>
    <mergeCell ref="K54:L54"/>
    <mergeCell ref="C55:D55"/>
    <mergeCell ref="E55:F55"/>
    <mergeCell ref="G55:H55"/>
    <mergeCell ref="I55:J55"/>
    <mergeCell ref="K55:L55"/>
    <mergeCell ref="C52:D52"/>
    <mergeCell ref="E52:F52"/>
    <mergeCell ref="G52:H52"/>
    <mergeCell ref="I52:J52"/>
    <mergeCell ref="K52:L52"/>
    <mergeCell ref="C53:D53"/>
    <mergeCell ref="E53:F53"/>
    <mergeCell ref="G53:H53"/>
    <mergeCell ref="I53:J53"/>
    <mergeCell ref="K53:L53"/>
    <mergeCell ref="C4:D4"/>
    <mergeCell ref="E4:F4"/>
    <mergeCell ref="G4:H4"/>
    <mergeCell ref="I4:J4"/>
    <mergeCell ref="K4:L4"/>
    <mergeCell ref="C51:D51"/>
    <mergeCell ref="E51:F51"/>
    <mergeCell ref="G51:H51"/>
    <mergeCell ref="I51:J51"/>
    <mergeCell ref="K51:L51"/>
  </mergeCells>
  <dataValidations disablePrompts="1" count="1">
    <dataValidation type="list" allowBlank="1" showInputMessage="1" showErrorMessage="1" sqref="C1" xr:uid="{DF2CFD18-B0BA-433B-8221-9661D8B3E62D}">
      <formula1>$E$1:$L$1</formula1>
    </dataValidation>
  </dataValidations>
  <hyperlinks>
    <hyperlink ref="R272" r:id="rId1" xr:uid="{0EC88237-AA22-4AB5-8575-441379E51BB0}"/>
    <hyperlink ref="Q272" r:id="rId2" xr:uid="{1D7FCF35-3A7B-4D8F-997C-CBA355AFF2C0}"/>
    <hyperlink ref="P272" r:id="rId3" xr:uid="{5282F80E-F6F5-4E7C-ABF3-4685E20C65FB}"/>
    <hyperlink ref="O272" r:id="rId4" xr:uid="{D3B64203-C9AC-40CB-B436-8B7DAD47957E}"/>
  </hyperlinks>
  <pageMargins left="0.7" right="0.7" top="0.78740157499999996" bottom="0.78740157499999996" header="0.3" footer="0.3"/>
  <pageSetup paperSize="9" orientation="portrait"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5FCDD-0FEF-4858-9079-D8A9992D4F33}">
  <sheetPr codeName="List26"/>
  <dimension ref="A1:S381"/>
  <sheetViews>
    <sheetView topLeftCell="F1" zoomScale="120" zoomScaleNormal="120" workbookViewId="0">
      <pane ySplit="1" topLeftCell="A2" activePane="bottomLeft" state="frozen"/>
      <selection pane="bottomLeft" activeCell="G2" sqref="G2:H9"/>
    </sheetView>
  </sheetViews>
  <sheetFormatPr defaultColWidth="15.77734375" defaultRowHeight="16.05" customHeight="1" x14ac:dyDescent="0.3"/>
  <cols>
    <col min="1" max="2" width="31.6640625" style="433" bestFit="1" customWidth="1"/>
    <col min="3" max="3" width="14" style="433" bestFit="1" customWidth="1"/>
    <col min="4" max="4" width="43.33203125" style="433" customWidth="1"/>
    <col min="5" max="5" width="29.88671875" style="433" bestFit="1" customWidth="1"/>
    <col min="6" max="6" width="11.88671875" style="433" bestFit="1" customWidth="1"/>
    <col min="7" max="7" width="54.44140625" style="433" bestFit="1" customWidth="1"/>
    <col min="8" max="16" width="22.77734375" style="434" customWidth="1"/>
    <col min="17" max="19" width="15.77734375" style="137"/>
    <col min="20" max="16384" width="15.77734375" style="433"/>
  </cols>
  <sheetData>
    <row r="1" spans="1:19" s="431" customFormat="1" ht="16.05" customHeight="1" x14ac:dyDescent="0.3">
      <c r="A1" s="431" t="s">
        <v>2239</v>
      </c>
      <c r="B1" s="431" t="s">
        <v>2240</v>
      </c>
      <c r="C1" s="431" t="s">
        <v>2241</v>
      </c>
      <c r="E1" s="431" t="s">
        <v>2242</v>
      </c>
      <c r="F1" s="431" t="s">
        <v>385</v>
      </c>
      <c r="G1" s="431" t="s">
        <v>2267</v>
      </c>
      <c r="H1" s="432" t="s">
        <v>2243</v>
      </c>
      <c r="I1" s="432" t="s">
        <v>2244</v>
      </c>
      <c r="J1" s="432" t="s">
        <v>2245</v>
      </c>
      <c r="K1" s="432" t="s">
        <v>2246</v>
      </c>
      <c r="L1" s="432" t="s">
        <v>2247</v>
      </c>
      <c r="M1" s="432" t="s">
        <v>2248</v>
      </c>
      <c r="N1" s="432" t="s">
        <v>2249</v>
      </c>
      <c r="O1" s="432" t="s">
        <v>2250</v>
      </c>
      <c r="P1" s="432" t="s">
        <v>2251</v>
      </c>
    </row>
    <row r="2" spans="1:19" ht="16.05" customHeight="1" x14ac:dyDescent="0.3">
      <c r="A2" s="438" t="s">
        <v>2252</v>
      </c>
      <c r="B2" s="438" t="s">
        <v>14</v>
      </c>
      <c r="C2" s="438" t="str">
        <f>'Translate &amp; Prices'!B533</f>
        <v>Naložený</v>
      </c>
      <c r="D2" s="431" t="str">
        <f>VLOOKUP(CONCATENATE(A2,"_",B2,"_",C2),$A$67:$B$381,2,0)</f>
        <v>úzký_BLUM_Naložený</v>
      </c>
      <c r="E2" s="438" t="str">
        <f>'Translate &amp; Prices'!$B$562</f>
        <v>závěs s pružinou a tlumením</v>
      </c>
      <c r="F2" s="433" t="str">
        <f>'Translate &amp; Prices'!$B$565</f>
        <v>stříbrná</v>
      </c>
      <c r="G2" s="433" t="str">
        <f>CONCATENATE(H2," ","-"," ",E2," - ",F2)</f>
        <v>118033 - závěs s pružinou a tlumením - stříbrná</v>
      </c>
      <c r="H2" s="434">
        <v>118033</v>
      </c>
      <c r="I2" s="434" t="s">
        <v>2255</v>
      </c>
      <c r="J2" s="434" t="s">
        <v>2255</v>
      </c>
      <c r="K2" s="434">
        <v>12306</v>
      </c>
      <c r="L2" s="434">
        <v>12318</v>
      </c>
      <c r="M2" s="434">
        <v>12302</v>
      </c>
      <c r="N2" s="434">
        <v>203387</v>
      </c>
      <c r="O2" s="434">
        <v>346624</v>
      </c>
      <c r="P2" s="434">
        <v>211476</v>
      </c>
      <c r="Q2" s="433"/>
      <c r="R2" s="433"/>
      <c r="S2" s="433"/>
    </row>
    <row r="3" spans="1:19" ht="16.05" customHeight="1" x14ac:dyDescent="0.3">
      <c r="A3" s="438" t="s">
        <v>2252</v>
      </c>
      <c r="B3" s="438" t="s">
        <v>14</v>
      </c>
      <c r="C3" s="438" t="str">
        <f>'Translate &amp; Prices'!B533</f>
        <v>Naložený</v>
      </c>
      <c r="D3" s="431" t="str">
        <f t="shared" ref="D3:D64" si="0">VLOOKUP(CONCATENATE(A3,"_",B3,"_",C3),$A$67:$B$381,2,0)</f>
        <v>úzký_BLUM_Naložený</v>
      </c>
      <c r="E3" s="438" t="str">
        <f>'Translate &amp; Prices'!$B$563</f>
        <v>závěs s pružinou bez tlumení</v>
      </c>
      <c r="F3" s="433" t="str">
        <f>'Translate &amp; Prices'!$B$565</f>
        <v>stříbrná</v>
      </c>
      <c r="G3" s="433" t="str">
        <f t="shared" ref="G3:G19" si="1">CONCATENATE(H3," ","-"," ",E3," - ",F3)</f>
        <v>12106 - závěs s pružinou bez tlumení - stříbrná</v>
      </c>
      <c r="H3" s="434">
        <v>12106</v>
      </c>
      <c r="I3" s="434" t="s">
        <v>2255</v>
      </c>
      <c r="J3" s="434" t="s">
        <v>2255</v>
      </c>
      <c r="K3" s="434">
        <v>12306</v>
      </c>
      <c r="L3" s="434">
        <v>12318</v>
      </c>
      <c r="M3" s="434">
        <v>12302</v>
      </c>
      <c r="N3" s="434">
        <v>203387</v>
      </c>
      <c r="O3" s="434">
        <v>346624</v>
      </c>
      <c r="P3" s="434">
        <v>211476</v>
      </c>
      <c r="Q3" s="433"/>
      <c r="R3" s="433"/>
      <c r="S3" s="433"/>
    </row>
    <row r="4" spans="1:19" ht="16.05" customHeight="1" x14ac:dyDescent="0.3">
      <c r="A4" s="438" t="s">
        <v>2252</v>
      </c>
      <c r="B4" s="438" t="s">
        <v>14</v>
      </c>
      <c r="C4" s="438" t="str">
        <f>'Translate &amp; Prices'!B533</f>
        <v>Naložený</v>
      </c>
      <c r="D4" s="431" t="str">
        <f t="shared" si="0"/>
        <v>úzký_BLUM_Naložený</v>
      </c>
      <c r="E4" s="438" t="str">
        <f>'Translate &amp; Prices'!$B$563</f>
        <v>závěs s pružinou bez tlumení</v>
      </c>
      <c r="F4" s="433" t="str">
        <f>'Translate &amp; Prices'!$B$566</f>
        <v>černá</v>
      </c>
      <c r="G4" s="433" t="str">
        <f t="shared" si="1"/>
        <v>306329 - závěs s pružinou bez tlumení - černá</v>
      </c>
      <c r="H4" s="434">
        <v>306329</v>
      </c>
      <c r="I4" s="434" t="s">
        <v>2255</v>
      </c>
      <c r="J4" s="434" t="s">
        <v>2255</v>
      </c>
      <c r="K4" s="434" t="s">
        <v>2258</v>
      </c>
      <c r="L4" s="434" t="s">
        <v>2255</v>
      </c>
      <c r="M4" s="434">
        <v>347124</v>
      </c>
      <c r="N4" s="434">
        <v>306320</v>
      </c>
      <c r="O4" s="434" t="s">
        <v>2255</v>
      </c>
      <c r="P4" s="434" t="s">
        <v>2259</v>
      </c>
      <c r="Q4" s="433"/>
      <c r="R4" s="433"/>
      <c r="S4" s="433"/>
    </row>
    <row r="5" spans="1:19" ht="16.05" customHeight="1" x14ac:dyDescent="0.3">
      <c r="A5" s="438" t="s">
        <v>2252</v>
      </c>
      <c r="B5" s="438" t="s">
        <v>14</v>
      </c>
      <c r="C5" s="438" t="str">
        <f>'Translate &amp; Prices'!B533</f>
        <v>Naložený</v>
      </c>
      <c r="D5" s="431" t="str">
        <f t="shared" si="0"/>
        <v>úzký_BLUM_Naložený</v>
      </c>
      <c r="E5" s="438" t="str">
        <f>'Translate &amp; Prices'!$B$564</f>
        <v>tip-on závěs bez pružiny/tlumení</v>
      </c>
      <c r="F5" s="433" t="str">
        <f>'Translate &amp; Prices'!$B$565</f>
        <v>stříbrná</v>
      </c>
      <c r="G5" s="433" t="str">
        <f t="shared" si="1"/>
        <v>12109 - tip-on závěs bez pružiny/tlumení - stříbrná</v>
      </c>
      <c r="H5" s="434">
        <v>12109</v>
      </c>
      <c r="I5" s="434" t="s">
        <v>2255</v>
      </c>
      <c r="J5" s="434">
        <v>13764</v>
      </c>
      <c r="K5" s="434">
        <v>12306</v>
      </c>
      <c r="L5" s="434">
        <v>12318</v>
      </c>
      <c r="M5" s="434">
        <v>12302</v>
      </c>
      <c r="N5" s="434">
        <v>203387</v>
      </c>
      <c r="O5" s="434">
        <v>346624</v>
      </c>
      <c r="P5" s="434">
        <v>211476</v>
      </c>
      <c r="Q5" s="433"/>
      <c r="R5" s="433"/>
      <c r="S5" s="433"/>
    </row>
    <row r="6" spans="1:19" ht="16.05" customHeight="1" x14ac:dyDescent="0.3">
      <c r="A6" s="433" t="s">
        <v>2252</v>
      </c>
      <c r="B6" s="433" t="s">
        <v>14</v>
      </c>
      <c r="C6" s="433" t="str">
        <f>'Translate &amp; Prices'!B534</f>
        <v>Polonaložený</v>
      </c>
      <c r="D6" s="431" t="str">
        <f t="shared" si="0"/>
        <v>úzký_BLUM_Polonaložený</v>
      </c>
      <c r="E6" s="433" t="str">
        <f>'Translate &amp; Prices'!$B$562</f>
        <v>závěs s pružinou a tlumením</v>
      </c>
      <c r="F6" s="433" t="str">
        <f>'Translate &amp; Prices'!$B$565</f>
        <v>stříbrná</v>
      </c>
      <c r="G6" s="433" t="str">
        <f t="shared" si="1"/>
        <v>118120 - závěs s pružinou a tlumením - stříbrná</v>
      </c>
      <c r="H6" s="434">
        <v>118120</v>
      </c>
      <c r="I6" s="434" t="s">
        <v>2255</v>
      </c>
      <c r="J6" s="434" t="s">
        <v>2255</v>
      </c>
      <c r="K6" s="434">
        <v>12306</v>
      </c>
      <c r="L6" s="434">
        <v>12318</v>
      </c>
      <c r="M6" s="434">
        <v>12302</v>
      </c>
      <c r="N6" s="434">
        <v>203387</v>
      </c>
      <c r="O6" s="434">
        <v>346624</v>
      </c>
      <c r="P6" s="434">
        <v>211476</v>
      </c>
      <c r="Q6" s="433"/>
      <c r="R6" s="433"/>
      <c r="S6" s="433"/>
    </row>
    <row r="7" spans="1:19" ht="16.05" customHeight="1" x14ac:dyDescent="0.3">
      <c r="A7" s="433" t="s">
        <v>2252</v>
      </c>
      <c r="B7" s="433" t="s">
        <v>14</v>
      </c>
      <c r="C7" s="433" t="str">
        <f>'Translate &amp; Prices'!B534</f>
        <v>Polonaložený</v>
      </c>
      <c r="D7" s="431" t="str">
        <f t="shared" si="0"/>
        <v>úzký_BLUM_Polonaložený</v>
      </c>
      <c r="E7" s="433" t="str">
        <f>'Translate &amp; Prices'!$B$563</f>
        <v>závěs s pružinou bez tlumení</v>
      </c>
      <c r="F7" s="433" t="str">
        <f>'Translate &amp; Prices'!$B$565</f>
        <v>stříbrná</v>
      </c>
      <c r="G7" s="433" t="str">
        <f t="shared" si="1"/>
        <v>12107 - závěs s pružinou bez tlumení - stříbrná</v>
      </c>
      <c r="H7" s="434">
        <v>12107</v>
      </c>
      <c r="I7" s="434" t="s">
        <v>2255</v>
      </c>
      <c r="J7" s="434" t="s">
        <v>2255</v>
      </c>
      <c r="K7" s="434">
        <v>12306</v>
      </c>
      <c r="L7" s="434">
        <v>12318</v>
      </c>
      <c r="M7" s="434">
        <v>12302</v>
      </c>
      <c r="N7" s="434">
        <v>203387</v>
      </c>
      <c r="O7" s="434">
        <v>346624</v>
      </c>
      <c r="P7" s="434">
        <v>211476</v>
      </c>
      <c r="Q7" s="433"/>
      <c r="R7" s="433"/>
      <c r="S7" s="433"/>
    </row>
    <row r="8" spans="1:19" ht="16.05" customHeight="1" x14ac:dyDescent="0.3">
      <c r="A8" s="438" t="s">
        <v>2252</v>
      </c>
      <c r="B8" s="438" t="s">
        <v>14</v>
      </c>
      <c r="C8" s="438" t="str">
        <f>'Translate &amp; Prices'!B535</f>
        <v>Vložený</v>
      </c>
      <c r="D8" s="431" t="str">
        <f t="shared" si="0"/>
        <v>úzký_BLUM_Vložený</v>
      </c>
      <c r="E8" s="438" t="str">
        <f>'Translate &amp; Prices'!$B$562</f>
        <v>závěs s pružinou a tlumením</v>
      </c>
      <c r="F8" s="433" t="str">
        <f>'Translate &amp; Prices'!$B$565</f>
        <v>stříbrná</v>
      </c>
      <c r="G8" s="433" t="str">
        <f t="shared" si="1"/>
        <v>118121 - závěs s pružinou a tlumením - stříbrná</v>
      </c>
      <c r="H8" s="434">
        <v>118121</v>
      </c>
      <c r="I8" s="434" t="s">
        <v>2255</v>
      </c>
      <c r="J8" s="434" t="s">
        <v>2255</v>
      </c>
      <c r="K8" s="434">
        <v>12306</v>
      </c>
      <c r="L8" s="434">
        <v>12318</v>
      </c>
      <c r="M8" s="434">
        <v>12302</v>
      </c>
      <c r="N8" s="434">
        <v>203387</v>
      </c>
      <c r="O8" s="434">
        <v>346624</v>
      </c>
      <c r="P8" s="434">
        <v>211476</v>
      </c>
      <c r="Q8" s="433"/>
      <c r="R8" s="433"/>
      <c r="S8" s="433"/>
    </row>
    <row r="9" spans="1:19" ht="16.05" customHeight="1" x14ac:dyDescent="0.3">
      <c r="A9" s="438" t="s">
        <v>2252</v>
      </c>
      <c r="B9" s="438" t="s">
        <v>14</v>
      </c>
      <c r="C9" s="438" t="str">
        <f>'Translate &amp; Prices'!B535</f>
        <v>Vložený</v>
      </c>
      <c r="D9" s="431" t="str">
        <f t="shared" si="0"/>
        <v>úzký_BLUM_Vložený</v>
      </c>
      <c r="E9" s="438" t="str">
        <f>'Translate &amp; Prices'!$B$563</f>
        <v>závěs s pružinou bez tlumení</v>
      </c>
      <c r="F9" s="433" t="str">
        <f>'Translate &amp; Prices'!$B$565</f>
        <v>stříbrná</v>
      </c>
      <c r="G9" s="433" t="str">
        <f t="shared" si="1"/>
        <v>12108 - závěs s pružinou bez tlumení - stříbrná</v>
      </c>
      <c r="H9" s="434">
        <v>12108</v>
      </c>
      <c r="I9" s="434" t="s">
        <v>2255</v>
      </c>
      <c r="J9" s="434" t="s">
        <v>2255</v>
      </c>
      <c r="K9" s="434">
        <v>12306</v>
      </c>
      <c r="L9" s="434">
        <v>12318</v>
      </c>
      <c r="M9" s="434">
        <v>12302</v>
      </c>
      <c r="N9" s="434">
        <v>203387</v>
      </c>
      <c r="O9" s="434">
        <v>346624</v>
      </c>
      <c r="P9" s="434">
        <v>211476</v>
      </c>
      <c r="Q9" s="433"/>
      <c r="R9" s="433"/>
      <c r="S9" s="433"/>
    </row>
    <row r="10" spans="1:19" ht="16.05" customHeight="1" x14ac:dyDescent="0.3">
      <c r="A10" s="433" t="s">
        <v>2252</v>
      </c>
      <c r="B10" s="433" t="s">
        <v>1033</v>
      </c>
      <c r="C10" s="433" t="str">
        <f>'Translate &amp; Prices'!B533</f>
        <v>Naložený</v>
      </c>
      <c r="D10" s="431" t="str">
        <f t="shared" si="0"/>
        <v>úzký_HETTICH_Naložený</v>
      </c>
      <c r="E10" s="433" t="str">
        <f>'Translate &amp; Prices'!$B$562</f>
        <v>závěs s pružinou a tlumením</v>
      </c>
      <c r="F10" s="433" t="str">
        <f>'Translate &amp; Prices'!$B$565</f>
        <v>stříbrná</v>
      </c>
      <c r="G10" s="433" t="str">
        <f t="shared" si="1"/>
        <v>300279 - závěs s pružinou a tlumením - stříbrná</v>
      </c>
      <c r="H10" s="434">
        <v>300279</v>
      </c>
      <c r="I10" s="434" t="s">
        <v>2255</v>
      </c>
      <c r="J10" s="434" t="s">
        <v>2255</v>
      </c>
      <c r="K10" s="434">
        <v>106403</v>
      </c>
      <c r="L10" s="434">
        <v>119240</v>
      </c>
      <c r="M10" s="434">
        <v>136276</v>
      </c>
      <c r="N10" s="434">
        <v>300319</v>
      </c>
      <c r="O10" s="434" t="s">
        <v>2255</v>
      </c>
      <c r="P10" s="434" t="s">
        <v>2255</v>
      </c>
      <c r="Q10" s="433"/>
      <c r="R10" s="433"/>
      <c r="S10" s="433"/>
    </row>
    <row r="11" spans="1:19" ht="16.05" customHeight="1" x14ac:dyDescent="0.3">
      <c r="A11" s="433" t="s">
        <v>2252</v>
      </c>
      <c r="B11" s="433" t="s">
        <v>1033</v>
      </c>
      <c r="C11" s="433" t="str">
        <f>'Translate &amp; Prices'!B533</f>
        <v>Naložený</v>
      </c>
      <c r="D11" s="431" t="str">
        <f t="shared" si="0"/>
        <v>úzký_HETTICH_Naložený</v>
      </c>
      <c r="E11" s="433" t="str">
        <f>'Translate &amp; Prices'!$B$562</f>
        <v>závěs s pružinou a tlumením</v>
      </c>
      <c r="F11" s="433" t="str">
        <f>'Translate &amp; Prices'!$B$566</f>
        <v>černá</v>
      </c>
      <c r="G11" s="433" t="str">
        <f t="shared" si="1"/>
        <v>344697 - závěs s pružinou a tlumením - černá</v>
      </c>
      <c r="H11" s="434">
        <v>344697</v>
      </c>
      <c r="I11" s="434" t="s">
        <v>2255</v>
      </c>
      <c r="J11" s="434" t="s">
        <v>2255</v>
      </c>
      <c r="K11" s="434" t="s">
        <v>2255</v>
      </c>
      <c r="L11" s="434">
        <v>344723</v>
      </c>
      <c r="M11" s="434" t="s">
        <v>2255</v>
      </c>
      <c r="N11" s="434">
        <v>397949</v>
      </c>
      <c r="O11" s="434" t="s">
        <v>2255</v>
      </c>
      <c r="P11" s="434" t="s">
        <v>2255</v>
      </c>
      <c r="Q11" s="433"/>
      <c r="R11" s="433"/>
      <c r="S11" s="433"/>
    </row>
    <row r="12" spans="1:19" ht="16.05" customHeight="1" x14ac:dyDescent="0.3">
      <c r="A12" s="433" t="s">
        <v>2252</v>
      </c>
      <c r="B12" s="433" t="s">
        <v>1033</v>
      </c>
      <c r="C12" s="433" t="str">
        <f>'Translate &amp; Prices'!B533</f>
        <v>Naložený</v>
      </c>
      <c r="D12" s="431" t="str">
        <f t="shared" si="0"/>
        <v>úzký_HETTICH_Naložený</v>
      </c>
      <c r="E12" s="433" t="str">
        <f>'Translate &amp; Prices'!$B$563</f>
        <v>závěs s pružinou bez tlumení</v>
      </c>
      <c r="F12" s="433" t="str">
        <f>'Translate &amp; Prices'!$B$565</f>
        <v>stříbrná</v>
      </c>
      <c r="G12" s="433" t="str">
        <f t="shared" si="1"/>
        <v>300282 - závěs s pružinou bez tlumení - stříbrná</v>
      </c>
      <c r="H12" s="434">
        <v>300282</v>
      </c>
      <c r="I12" s="434" t="s">
        <v>2255</v>
      </c>
      <c r="J12" s="434" t="s">
        <v>2255</v>
      </c>
      <c r="K12" s="434">
        <v>106403</v>
      </c>
      <c r="L12" s="434">
        <v>119240</v>
      </c>
      <c r="M12" s="434">
        <v>136276</v>
      </c>
      <c r="N12" s="434">
        <v>300319</v>
      </c>
      <c r="O12" s="434" t="s">
        <v>2255</v>
      </c>
      <c r="P12" s="434" t="s">
        <v>2255</v>
      </c>
      <c r="Q12" s="433"/>
      <c r="R12" s="433"/>
      <c r="S12" s="433"/>
    </row>
    <row r="13" spans="1:19" ht="16.05" customHeight="1" x14ac:dyDescent="0.3">
      <c r="A13" s="433" t="s">
        <v>2252</v>
      </c>
      <c r="B13" s="433" t="s">
        <v>1033</v>
      </c>
      <c r="C13" s="433" t="str">
        <f>'Translate &amp; Prices'!B533</f>
        <v>Naložený</v>
      </c>
      <c r="D13" s="431" t="str">
        <f t="shared" si="0"/>
        <v>úzký_HETTICH_Naložený</v>
      </c>
      <c r="E13" s="433" t="str">
        <f>'Translate &amp; Prices'!$B$564</f>
        <v>tip-on závěs bez pružiny/tlumení</v>
      </c>
      <c r="F13" s="433" t="str">
        <f>'Translate &amp; Prices'!$B$565</f>
        <v>stříbrná</v>
      </c>
      <c r="G13" s="433" t="str">
        <f t="shared" si="1"/>
        <v>300285 - tip-on závěs bez pružiny/tlumení - stříbrná</v>
      </c>
      <c r="H13" s="434">
        <v>300285</v>
      </c>
      <c r="I13" s="434" t="s">
        <v>2255</v>
      </c>
      <c r="J13" s="434" t="s">
        <v>2255</v>
      </c>
      <c r="K13" s="434">
        <v>106403</v>
      </c>
      <c r="L13" s="434">
        <v>119240</v>
      </c>
      <c r="M13" s="434">
        <v>136276</v>
      </c>
      <c r="N13" s="434">
        <v>300319</v>
      </c>
      <c r="O13" s="434" t="s">
        <v>2255</v>
      </c>
      <c r="P13" s="434" t="s">
        <v>2255</v>
      </c>
      <c r="Q13" s="433"/>
      <c r="R13" s="433"/>
      <c r="S13" s="433"/>
    </row>
    <row r="14" spans="1:19" ht="16.05" customHeight="1" x14ac:dyDescent="0.3">
      <c r="A14" s="438" t="s">
        <v>2252</v>
      </c>
      <c r="B14" s="438" t="s">
        <v>1033</v>
      </c>
      <c r="C14" s="438" t="str">
        <f>'Translate &amp; Prices'!B534</f>
        <v>Polonaložený</v>
      </c>
      <c r="D14" s="431" t="str">
        <f t="shared" si="0"/>
        <v>úzký_HETTICH_Polonaložený</v>
      </c>
      <c r="E14" s="438" t="str">
        <f>'Translate &amp; Prices'!$B$562</f>
        <v>závěs s pružinou a tlumením</v>
      </c>
      <c r="F14" s="433" t="str">
        <f>'Translate &amp; Prices'!$B$565</f>
        <v>stříbrná</v>
      </c>
      <c r="G14" s="433" t="str">
        <f t="shared" si="1"/>
        <v>300280 - závěs s pružinou a tlumením - stříbrná</v>
      </c>
      <c r="H14" s="434">
        <v>300280</v>
      </c>
      <c r="I14" s="434" t="s">
        <v>2255</v>
      </c>
      <c r="J14" s="434" t="s">
        <v>2255</v>
      </c>
      <c r="K14" s="434">
        <v>106403</v>
      </c>
      <c r="L14" s="434">
        <v>119240</v>
      </c>
      <c r="M14" s="434">
        <v>136276</v>
      </c>
      <c r="N14" s="434">
        <v>300319</v>
      </c>
      <c r="O14" s="434" t="s">
        <v>2255</v>
      </c>
      <c r="P14" s="434" t="s">
        <v>2255</v>
      </c>
      <c r="Q14" s="433"/>
      <c r="R14" s="433"/>
      <c r="S14" s="433"/>
    </row>
    <row r="15" spans="1:19" ht="16.05" customHeight="1" x14ac:dyDescent="0.3">
      <c r="A15" s="438" t="s">
        <v>2252</v>
      </c>
      <c r="B15" s="438" t="s">
        <v>1033</v>
      </c>
      <c r="C15" s="438" t="str">
        <f>'Translate &amp; Prices'!B534</f>
        <v>Polonaložený</v>
      </c>
      <c r="D15" s="431" t="str">
        <f t="shared" si="0"/>
        <v>úzký_HETTICH_Polonaložený</v>
      </c>
      <c r="E15" s="438" t="str">
        <f>'Translate &amp; Prices'!$B$563</f>
        <v>závěs s pružinou bez tlumení</v>
      </c>
      <c r="F15" s="433" t="str">
        <f>'Translate &amp; Prices'!$B$565</f>
        <v>stříbrná</v>
      </c>
      <c r="G15" s="433" t="str">
        <f t="shared" si="1"/>
        <v>300283 - závěs s pružinou bez tlumení - stříbrná</v>
      </c>
      <c r="H15" s="434">
        <v>300283</v>
      </c>
      <c r="I15" s="434" t="s">
        <v>2255</v>
      </c>
      <c r="J15" s="434" t="s">
        <v>2255</v>
      </c>
      <c r="K15" s="434">
        <v>106403</v>
      </c>
      <c r="L15" s="434">
        <v>119240</v>
      </c>
      <c r="M15" s="434">
        <v>136276</v>
      </c>
      <c r="N15" s="434">
        <v>300319</v>
      </c>
      <c r="O15" s="434" t="s">
        <v>2255</v>
      </c>
      <c r="P15" s="434" t="s">
        <v>2255</v>
      </c>
      <c r="Q15" s="433"/>
      <c r="R15" s="433"/>
      <c r="S15" s="433"/>
    </row>
    <row r="16" spans="1:19" ht="16.05" customHeight="1" x14ac:dyDescent="0.3">
      <c r="A16" s="438" t="s">
        <v>2252</v>
      </c>
      <c r="B16" s="438" t="s">
        <v>1033</v>
      </c>
      <c r="C16" s="438" t="str">
        <f>'Translate &amp; Prices'!B534</f>
        <v>Polonaložený</v>
      </c>
      <c r="D16" s="431" t="str">
        <f t="shared" si="0"/>
        <v>úzký_HETTICH_Polonaložený</v>
      </c>
      <c r="E16" s="438" t="str">
        <f>'Translate &amp; Prices'!$B$564</f>
        <v>tip-on závěs bez pružiny/tlumení</v>
      </c>
      <c r="F16" s="433" t="str">
        <f>'Translate &amp; Prices'!$B$565</f>
        <v>stříbrná</v>
      </c>
      <c r="G16" s="433" t="str">
        <f t="shared" si="1"/>
        <v>300286 - tip-on závěs bez pružiny/tlumení - stříbrná</v>
      </c>
      <c r="H16" s="434">
        <v>300286</v>
      </c>
      <c r="I16" s="434" t="s">
        <v>2255</v>
      </c>
      <c r="J16" s="434" t="s">
        <v>2255</v>
      </c>
      <c r="K16" s="434">
        <v>106403</v>
      </c>
      <c r="L16" s="434">
        <v>119240</v>
      </c>
      <c r="M16" s="434">
        <v>136276</v>
      </c>
      <c r="N16" s="434">
        <v>300319</v>
      </c>
      <c r="O16" s="434" t="s">
        <v>2255</v>
      </c>
      <c r="P16" s="434" t="s">
        <v>2255</v>
      </c>
      <c r="Q16" s="433"/>
      <c r="R16" s="433"/>
      <c r="S16" s="433"/>
    </row>
    <row r="17" spans="1:19" ht="16.05" customHeight="1" x14ac:dyDescent="0.3">
      <c r="A17" s="433" t="s">
        <v>2252</v>
      </c>
      <c r="B17" s="433" t="s">
        <v>1033</v>
      </c>
      <c r="C17" s="433" t="str">
        <f>'Translate &amp; Prices'!B535</f>
        <v>Vložený</v>
      </c>
      <c r="D17" s="431" t="str">
        <f t="shared" si="0"/>
        <v>úzký_HETTICH_Vložený</v>
      </c>
      <c r="E17" s="433" t="str">
        <f>'Translate &amp; Prices'!$B$562</f>
        <v>závěs s pružinou a tlumením</v>
      </c>
      <c r="F17" s="433" t="str">
        <f>'Translate &amp; Prices'!$B$565</f>
        <v>stříbrná</v>
      </c>
      <c r="G17" s="433" t="str">
        <f t="shared" si="1"/>
        <v>300281 - závěs s pružinou a tlumením - stříbrná</v>
      </c>
      <c r="H17" s="434">
        <v>300281</v>
      </c>
      <c r="I17" s="434" t="s">
        <v>2255</v>
      </c>
      <c r="J17" s="434" t="s">
        <v>2255</v>
      </c>
      <c r="K17" s="434">
        <v>106403</v>
      </c>
      <c r="L17" s="434">
        <v>119240</v>
      </c>
      <c r="M17" s="434">
        <v>136276</v>
      </c>
      <c r="N17" s="434">
        <v>300319</v>
      </c>
      <c r="O17" s="434" t="s">
        <v>2255</v>
      </c>
      <c r="P17" s="434" t="s">
        <v>2255</v>
      </c>
      <c r="Q17" s="433"/>
      <c r="R17" s="433"/>
      <c r="S17" s="433"/>
    </row>
    <row r="18" spans="1:19" ht="16.05" customHeight="1" x14ac:dyDescent="0.3">
      <c r="A18" s="433" t="s">
        <v>2252</v>
      </c>
      <c r="B18" s="433" t="s">
        <v>1033</v>
      </c>
      <c r="C18" s="433" t="str">
        <f>'Translate &amp; Prices'!B535</f>
        <v>Vložený</v>
      </c>
      <c r="D18" s="431" t="str">
        <f t="shared" si="0"/>
        <v>úzký_HETTICH_Vložený</v>
      </c>
      <c r="E18" s="433" t="str">
        <f>'Translate &amp; Prices'!$B$563</f>
        <v>závěs s pružinou bez tlumení</v>
      </c>
      <c r="F18" s="433" t="str">
        <f>'Translate &amp; Prices'!$B$565</f>
        <v>stříbrná</v>
      </c>
      <c r="G18" s="433" t="str">
        <f t="shared" si="1"/>
        <v>300284 - závěs s pružinou bez tlumení - stříbrná</v>
      </c>
      <c r="H18" s="434">
        <v>300284</v>
      </c>
      <c r="I18" s="434" t="s">
        <v>2255</v>
      </c>
      <c r="J18" s="434" t="s">
        <v>2255</v>
      </c>
      <c r="K18" s="434">
        <v>106403</v>
      </c>
      <c r="L18" s="434">
        <v>119240</v>
      </c>
      <c r="M18" s="434">
        <v>136276</v>
      </c>
      <c r="N18" s="434">
        <v>300319</v>
      </c>
      <c r="O18" s="434" t="s">
        <v>2255</v>
      </c>
      <c r="P18" s="434" t="s">
        <v>2255</v>
      </c>
      <c r="Q18" s="433"/>
      <c r="R18" s="433"/>
      <c r="S18" s="433"/>
    </row>
    <row r="19" spans="1:19" ht="16.05" customHeight="1" x14ac:dyDescent="0.3">
      <c r="A19" s="433" t="s">
        <v>2252</v>
      </c>
      <c r="B19" s="433" t="s">
        <v>1033</v>
      </c>
      <c r="C19" s="433" t="str">
        <f>'Translate &amp; Prices'!B535</f>
        <v>Vložený</v>
      </c>
      <c r="D19" s="431" t="str">
        <f t="shared" si="0"/>
        <v>úzký_HETTICH_Vložený</v>
      </c>
      <c r="E19" s="433" t="str">
        <f>'Translate &amp; Prices'!$B$564</f>
        <v>tip-on závěs bez pružiny/tlumení</v>
      </c>
      <c r="F19" s="433" t="str">
        <f>'Translate &amp; Prices'!$B$565</f>
        <v>stříbrná</v>
      </c>
      <c r="G19" s="433" t="str">
        <f t="shared" si="1"/>
        <v>300287 - tip-on závěs bez pružiny/tlumení - stříbrná</v>
      </c>
      <c r="H19" s="434">
        <v>300287</v>
      </c>
      <c r="I19" s="434" t="s">
        <v>2255</v>
      </c>
      <c r="J19" s="434" t="s">
        <v>2255</v>
      </c>
      <c r="K19" s="434">
        <v>106403</v>
      </c>
      <c r="L19" s="434">
        <v>119240</v>
      </c>
      <c r="M19" s="434">
        <v>136276</v>
      </c>
      <c r="N19" s="434">
        <v>300319</v>
      </c>
      <c r="O19" s="434" t="s">
        <v>2255</v>
      </c>
      <c r="P19" s="434" t="s">
        <v>2255</v>
      </c>
      <c r="Q19" s="433"/>
      <c r="R19" s="433"/>
      <c r="S19" s="433"/>
    </row>
    <row r="20" spans="1:19" ht="16.05" customHeight="1" x14ac:dyDescent="0.3">
      <c r="A20" s="438" t="s">
        <v>2252</v>
      </c>
      <c r="B20" s="438" t="s">
        <v>110</v>
      </c>
      <c r="C20" s="438" t="str">
        <f>'Translate &amp; Prices'!B533</f>
        <v>Naložený</v>
      </c>
      <c r="D20" s="431" t="str">
        <f t="shared" si="0"/>
        <v>úzký_STRONG_Naložený</v>
      </c>
      <c r="E20" s="438" t="str">
        <f>'Translate &amp; Prices'!$B$562</f>
        <v>závěs s pružinou a tlumením</v>
      </c>
      <c r="F20" s="433" t="str">
        <f>'Translate &amp; Prices'!$B$565</f>
        <v>stříbrná</v>
      </c>
      <c r="G20" s="433" t="str">
        <f>CONCATENATE(I20," ","-"," ",E20," - ",F20)</f>
        <v>92584T - závěs s pružinou a tlumením - stříbrná</v>
      </c>
      <c r="H20" s="434" t="s">
        <v>2255</v>
      </c>
      <c r="I20" s="434" t="s">
        <v>810</v>
      </c>
      <c r="J20" s="434" t="s">
        <v>2255</v>
      </c>
      <c r="K20" s="434" t="s">
        <v>2261</v>
      </c>
      <c r="L20" s="434" t="s">
        <v>119</v>
      </c>
      <c r="M20" s="434" t="s">
        <v>2255</v>
      </c>
      <c r="N20" s="434" t="s">
        <v>2255</v>
      </c>
      <c r="O20" s="434" t="s">
        <v>2255</v>
      </c>
      <c r="P20" s="434" t="s">
        <v>2255</v>
      </c>
      <c r="Q20" s="433"/>
      <c r="R20" s="433"/>
      <c r="S20" s="433"/>
    </row>
    <row r="21" spans="1:19" ht="16.05" customHeight="1" x14ac:dyDescent="0.3">
      <c r="A21" s="433" t="s">
        <v>2252</v>
      </c>
      <c r="B21" s="433" t="s">
        <v>2262</v>
      </c>
      <c r="C21" s="433" t="str">
        <f>'Translate &amp; Prices'!B533</f>
        <v>Naložený</v>
      </c>
      <c r="D21" s="431" t="str">
        <f t="shared" si="0"/>
        <v>úzký_STRONG PLUS_Naložený</v>
      </c>
      <c r="E21" s="433" t="str">
        <f>'Translate &amp; Prices'!$B$562</f>
        <v>závěs s pružinou a tlumením</v>
      </c>
      <c r="F21" s="433" t="str">
        <f>'Translate &amp; Prices'!$B$565</f>
        <v>stříbrná</v>
      </c>
      <c r="G21" s="433" t="str">
        <f t="shared" ref="G21:G64" si="2">CONCATENATE(I21," ","-"," ",E21," - ",F21)</f>
        <v>350863 - závěs s pružinou a tlumením - stříbrná</v>
      </c>
      <c r="H21" s="434" t="s">
        <v>2255</v>
      </c>
      <c r="I21" s="434">
        <v>350863</v>
      </c>
      <c r="J21" s="434" t="s">
        <v>2255</v>
      </c>
      <c r="K21" s="434" t="s">
        <v>2263</v>
      </c>
      <c r="L21" s="434">
        <v>92597</v>
      </c>
      <c r="M21" s="434" t="s">
        <v>2255</v>
      </c>
      <c r="N21" s="434" t="s">
        <v>2255</v>
      </c>
      <c r="O21" s="434" t="s">
        <v>2255</v>
      </c>
      <c r="P21" s="434" t="s">
        <v>2255</v>
      </c>
      <c r="Q21" s="433"/>
      <c r="R21" s="433"/>
      <c r="S21" s="433"/>
    </row>
    <row r="22" spans="1:19" ht="16.05" customHeight="1" x14ac:dyDescent="0.3">
      <c r="A22" s="433" t="s">
        <v>2252</v>
      </c>
      <c r="B22" s="433" t="s">
        <v>2262</v>
      </c>
      <c r="C22" s="433" t="str">
        <f>'Translate &amp; Prices'!B533</f>
        <v>Naložený</v>
      </c>
      <c r="D22" s="431" t="str">
        <f t="shared" si="0"/>
        <v>úzký_STRONG PLUS_Naložený</v>
      </c>
      <c r="E22" s="433" t="str">
        <f>'Translate &amp; Prices'!$B$564</f>
        <v>tip-on závěs bez pružiny/tlumení</v>
      </c>
      <c r="F22" s="433" t="str">
        <f>'Translate &amp; Prices'!$B$565</f>
        <v>stříbrná</v>
      </c>
      <c r="G22" s="433" t="str">
        <f t="shared" si="2"/>
        <v>350864 - tip-on závěs bez pružiny/tlumení - stříbrná</v>
      </c>
      <c r="H22" s="434" t="s">
        <v>2255</v>
      </c>
      <c r="I22" s="434">
        <v>350864</v>
      </c>
      <c r="J22" s="434" t="s">
        <v>2255</v>
      </c>
      <c r="K22" s="434" t="s">
        <v>2255</v>
      </c>
      <c r="L22" s="434" t="s">
        <v>2255</v>
      </c>
      <c r="M22" s="434" t="s">
        <v>2255</v>
      </c>
      <c r="N22" s="434" t="s">
        <v>2255</v>
      </c>
      <c r="O22" s="434" t="s">
        <v>2255</v>
      </c>
      <c r="P22" s="434" t="s">
        <v>2255</v>
      </c>
      <c r="Q22" s="433"/>
      <c r="R22" s="433"/>
      <c r="S22" s="433"/>
    </row>
    <row r="23" spans="1:19" ht="16.05" customHeight="1" x14ac:dyDescent="0.3">
      <c r="A23" s="438" t="s">
        <v>2264</v>
      </c>
      <c r="B23" s="438" t="s">
        <v>14</v>
      </c>
      <c r="C23" s="438" t="str">
        <f>'Translate &amp; Prices'!B533</f>
        <v>Naložený</v>
      </c>
      <c r="D23" s="431" t="str">
        <f t="shared" si="0"/>
        <v>široký_BLUM_Naložený</v>
      </c>
      <c r="E23" s="438" t="str">
        <f>'Translate &amp; Prices'!$B$562</f>
        <v>závěs s pružinou a tlumením</v>
      </c>
      <c r="F23" s="433" t="str">
        <f>'Translate &amp; Prices'!$B$565</f>
        <v>stříbrná</v>
      </c>
      <c r="G23" s="433" t="str">
        <f t="shared" si="2"/>
        <v>12047 - závěs s pružinou a tlumením - stříbrná</v>
      </c>
      <c r="H23" s="434" t="s">
        <v>2255</v>
      </c>
      <c r="I23" s="434">
        <v>12047</v>
      </c>
      <c r="J23" s="434" t="s">
        <v>2255</v>
      </c>
      <c r="K23" s="434">
        <v>12306</v>
      </c>
      <c r="L23" s="434">
        <v>12318</v>
      </c>
      <c r="M23" s="434">
        <v>12302</v>
      </c>
      <c r="N23" s="434">
        <v>203387</v>
      </c>
      <c r="O23" s="434">
        <v>346624</v>
      </c>
      <c r="P23" s="434">
        <v>211476</v>
      </c>
      <c r="Q23" s="433"/>
      <c r="R23" s="433"/>
      <c r="S23" s="433"/>
    </row>
    <row r="24" spans="1:19" ht="16.05" customHeight="1" x14ac:dyDescent="0.3">
      <c r="A24" s="438" t="s">
        <v>2264</v>
      </c>
      <c r="B24" s="438" t="s">
        <v>14</v>
      </c>
      <c r="C24" s="438" t="str">
        <f>'Translate &amp; Prices'!B533</f>
        <v>Naložený</v>
      </c>
      <c r="D24" s="431" t="str">
        <f t="shared" si="0"/>
        <v>široký_BLUM_Naložený</v>
      </c>
      <c r="E24" s="438" t="str">
        <f>'Translate &amp; Prices'!$B$562</f>
        <v>závěs s pružinou a tlumením</v>
      </c>
      <c r="F24" s="433" t="str">
        <f>'Translate &amp; Prices'!$B$566</f>
        <v>černá</v>
      </c>
      <c r="G24" s="433" t="str">
        <f t="shared" si="2"/>
        <v>306317 - závěs s pružinou a tlumením - černá</v>
      </c>
      <c r="H24" s="434" t="s">
        <v>2255</v>
      </c>
      <c r="I24" s="434">
        <v>306317</v>
      </c>
      <c r="J24" s="434" t="s">
        <v>2255</v>
      </c>
      <c r="K24" s="434" t="s">
        <v>2258</v>
      </c>
      <c r="L24" s="434" t="s">
        <v>2255</v>
      </c>
      <c r="M24" s="434">
        <v>347124</v>
      </c>
      <c r="N24" s="434">
        <v>306320</v>
      </c>
      <c r="O24" s="434" t="s">
        <v>2255</v>
      </c>
      <c r="P24" s="434" t="s">
        <v>2259</v>
      </c>
      <c r="Q24" s="433"/>
      <c r="R24" s="433"/>
      <c r="S24" s="433"/>
    </row>
    <row r="25" spans="1:19" ht="16.05" customHeight="1" x14ac:dyDescent="0.3">
      <c r="A25" s="438" t="s">
        <v>2264</v>
      </c>
      <c r="B25" s="438" t="s">
        <v>14</v>
      </c>
      <c r="C25" s="438" t="str">
        <f>'Translate &amp; Prices'!B533</f>
        <v>Naložený</v>
      </c>
      <c r="D25" s="431" t="str">
        <f t="shared" si="0"/>
        <v>široký_BLUM_Naložený</v>
      </c>
      <c r="E25" s="438" t="str">
        <f>'Translate &amp; Prices'!$B$563</f>
        <v>závěs s pružinou bez tlumení</v>
      </c>
      <c r="F25" s="433" t="str">
        <f>'Translate &amp; Prices'!$B$565</f>
        <v>stříbrná</v>
      </c>
      <c r="G25" s="433" t="str">
        <f t="shared" si="2"/>
        <v>12052 - závěs s pružinou bez tlumení - stříbrná</v>
      </c>
      <c r="H25" s="434" t="s">
        <v>2255</v>
      </c>
      <c r="I25" s="434">
        <v>12052</v>
      </c>
      <c r="J25" s="434" t="s">
        <v>2255</v>
      </c>
      <c r="K25" s="434">
        <v>12306</v>
      </c>
      <c r="L25" s="434">
        <v>12318</v>
      </c>
      <c r="M25" s="434">
        <v>12302</v>
      </c>
      <c r="N25" s="434">
        <v>203387</v>
      </c>
      <c r="O25" s="434">
        <v>346624</v>
      </c>
      <c r="P25" s="434">
        <v>211476</v>
      </c>
      <c r="Q25" s="433"/>
      <c r="R25" s="433"/>
      <c r="S25" s="433"/>
    </row>
    <row r="26" spans="1:19" ht="16.05" customHeight="1" x14ac:dyDescent="0.3">
      <c r="A26" s="438" t="s">
        <v>2264</v>
      </c>
      <c r="B26" s="438" t="s">
        <v>14</v>
      </c>
      <c r="C26" s="438" t="str">
        <f>'Translate &amp; Prices'!B533</f>
        <v>Naložený</v>
      </c>
      <c r="D26" s="431" t="str">
        <f t="shared" si="0"/>
        <v>široký_BLUM_Naložený</v>
      </c>
      <c r="E26" s="438" t="str">
        <f>'Translate &amp; Prices'!$B$564</f>
        <v>tip-on závěs bez pružiny/tlumení</v>
      </c>
      <c r="F26" s="433" t="str">
        <f>'Translate &amp; Prices'!$B$565</f>
        <v>stříbrná</v>
      </c>
      <c r="G26" s="433" t="str">
        <f t="shared" si="2"/>
        <v>226668 - tip-on závěs bez pružiny/tlumení - stříbrná</v>
      </c>
      <c r="H26" s="434" t="s">
        <v>2255</v>
      </c>
      <c r="I26" s="434">
        <v>226668</v>
      </c>
      <c r="J26" s="434" t="s">
        <v>2255</v>
      </c>
      <c r="K26" s="434">
        <v>12306</v>
      </c>
      <c r="L26" s="434">
        <v>12318</v>
      </c>
      <c r="M26" s="434">
        <v>12302</v>
      </c>
      <c r="N26" s="434">
        <v>203387</v>
      </c>
      <c r="O26" s="434">
        <v>346624</v>
      </c>
      <c r="P26" s="434">
        <v>211476</v>
      </c>
      <c r="Q26" s="433"/>
      <c r="R26" s="433"/>
      <c r="S26" s="433"/>
    </row>
    <row r="27" spans="1:19" ht="16.05" customHeight="1" x14ac:dyDescent="0.3">
      <c r="A27" s="433" t="s">
        <v>2264</v>
      </c>
      <c r="B27" s="433" t="s">
        <v>14</v>
      </c>
      <c r="C27" s="433" t="str">
        <f>'Translate &amp; Prices'!B534</f>
        <v>Polonaložený</v>
      </c>
      <c r="D27" s="431" t="str">
        <f t="shared" si="0"/>
        <v>široký_BLUM_Polonaložený</v>
      </c>
      <c r="E27" s="433" t="str">
        <f>'Translate &amp; Prices'!$B$562</f>
        <v>závěs s pružinou a tlumením</v>
      </c>
      <c r="F27" s="433" t="str">
        <f>'Translate &amp; Prices'!$B$565</f>
        <v>stříbrná</v>
      </c>
      <c r="G27" s="433" t="str">
        <f t="shared" si="2"/>
        <v>12048 - závěs s pružinou a tlumením - stříbrná</v>
      </c>
      <c r="H27" s="434" t="s">
        <v>2255</v>
      </c>
      <c r="I27" s="434">
        <v>12048</v>
      </c>
      <c r="J27" s="434" t="s">
        <v>2255</v>
      </c>
      <c r="K27" s="434">
        <v>12306</v>
      </c>
      <c r="L27" s="434">
        <v>12318</v>
      </c>
      <c r="M27" s="434">
        <v>12302</v>
      </c>
      <c r="N27" s="434">
        <v>203387</v>
      </c>
      <c r="O27" s="434">
        <v>346624</v>
      </c>
      <c r="P27" s="434">
        <v>211476</v>
      </c>
      <c r="Q27" s="433"/>
      <c r="R27" s="433"/>
      <c r="S27" s="433"/>
    </row>
    <row r="28" spans="1:19" ht="16.05" customHeight="1" x14ac:dyDescent="0.3">
      <c r="A28" s="433" t="s">
        <v>2264</v>
      </c>
      <c r="B28" s="433" t="s">
        <v>14</v>
      </c>
      <c r="C28" s="433" t="str">
        <f>'Translate &amp; Prices'!B534</f>
        <v>Polonaložený</v>
      </c>
      <c r="D28" s="431" t="str">
        <f t="shared" si="0"/>
        <v>široký_BLUM_Polonaložený</v>
      </c>
      <c r="E28" s="433" t="str">
        <f>'Translate &amp; Prices'!$B$562</f>
        <v>závěs s pružinou a tlumením</v>
      </c>
      <c r="F28" s="433" t="str">
        <f>'Translate &amp; Prices'!$B$566</f>
        <v>černá</v>
      </c>
      <c r="G28" s="433" t="str">
        <f t="shared" si="2"/>
        <v>306318 - závěs s pružinou a tlumením - černá</v>
      </c>
      <c r="H28" s="434" t="s">
        <v>2255</v>
      </c>
      <c r="I28" s="434">
        <v>306318</v>
      </c>
      <c r="J28" s="434" t="s">
        <v>2255</v>
      </c>
      <c r="K28" s="434" t="s">
        <v>2258</v>
      </c>
      <c r="L28" s="434" t="s">
        <v>2255</v>
      </c>
      <c r="M28" s="434">
        <v>347124</v>
      </c>
      <c r="N28" s="434">
        <v>306320</v>
      </c>
      <c r="O28" s="434" t="s">
        <v>2255</v>
      </c>
      <c r="P28" s="434" t="s">
        <v>2259</v>
      </c>
      <c r="Q28" s="433"/>
      <c r="R28" s="433"/>
      <c r="S28" s="433"/>
    </row>
    <row r="29" spans="1:19" ht="16.05" customHeight="1" x14ac:dyDescent="0.3">
      <c r="A29" s="433" t="s">
        <v>2264</v>
      </c>
      <c r="B29" s="433" t="s">
        <v>14</v>
      </c>
      <c r="C29" s="433" t="str">
        <f>'Translate &amp; Prices'!B534</f>
        <v>Polonaložený</v>
      </c>
      <c r="D29" s="431" t="str">
        <f t="shared" si="0"/>
        <v>široký_BLUM_Polonaložený</v>
      </c>
      <c r="E29" s="433" t="str">
        <f>'Translate &amp; Prices'!$B$563</f>
        <v>závěs s pružinou bez tlumení</v>
      </c>
      <c r="F29" s="433" t="str">
        <f>'Translate &amp; Prices'!$B$565</f>
        <v>stříbrná</v>
      </c>
      <c r="G29" s="433" t="str">
        <f t="shared" si="2"/>
        <v>12053 - závěs s pružinou bez tlumení - stříbrná</v>
      </c>
      <c r="H29" s="434" t="s">
        <v>2255</v>
      </c>
      <c r="I29" s="434">
        <v>12053</v>
      </c>
      <c r="J29" s="434" t="s">
        <v>2255</v>
      </c>
      <c r="K29" s="434">
        <v>12306</v>
      </c>
      <c r="L29" s="434">
        <v>12318</v>
      </c>
      <c r="M29" s="434">
        <v>12302</v>
      </c>
      <c r="N29" s="434">
        <v>203387</v>
      </c>
      <c r="O29" s="434">
        <v>346624</v>
      </c>
      <c r="P29" s="434">
        <v>211476</v>
      </c>
      <c r="Q29" s="433"/>
      <c r="R29" s="433"/>
      <c r="S29" s="433"/>
    </row>
    <row r="30" spans="1:19" ht="16.05" customHeight="1" x14ac:dyDescent="0.3">
      <c r="A30" s="433" t="s">
        <v>2264</v>
      </c>
      <c r="B30" s="433" t="s">
        <v>14</v>
      </c>
      <c r="C30" s="433" t="str">
        <f>'Translate &amp; Prices'!B534</f>
        <v>Polonaložený</v>
      </c>
      <c r="D30" s="431" t="str">
        <f t="shared" si="0"/>
        <v>široký_BLUM_Polonaložený</v>
      </c>
      <c r="E30" s="433" t="str">
        <f>'Translate &amp; Prices'!$B$564</f>
        <v>tip-on závěs bez pružiny/tlumení</v>
      </c>
      <c r="F30" s="433" t="str">
        <f>'Translate &amp; Prices'!$B$565</f>
        <v>stříbrná</v>
      </c>
      <c r="G30" s="433" t="str">
        <f t="shared" si="2"/>
        <v>226670 - tip-on závěs bez pružiny/tlumení - stříbrná</v>
      </c>
      <c r="H30" s="434" t="s">
        <v>2255</v>
      </c>
      <c r="I30" s="434">
        <v>226670</v>
      </c>
      <c r="J30" s="434" t="s">
        <v>2255</v>
      </c>
      <c r="K30" s="434">
        <v>12306</v>
      </c>
      <c r="L30" s="434">
        <v>12318</v>
      </c>
      <c r="M30" s="434">
        <v>12302</v>
      </c>
      <c r="N30" s="434">
        <v>203387</v>
      </c>
      <c r="O30" s="434" t="s">
        <v>2255</v>
      </c>
      <c r="P30" s="434">
        <v>211476</v>
      </c>
      <c r="Q30" s="433"/>
      <c r="R30" s="433"/>
      <c r="S30" s="433"/>
    </row>
    <row r="31" spans="1:19" ht="16.05" customHeight="1" x14ac:dyDescent="0.3">
      <c r="A31" s="438" t="s">
        <v>2264</v>
      </c>
      <c r="B31" s="438" t="s">
        <v>14</v>
      </c>
      <c r="C31" s="438" t="str">
        <f>'Translate &amp; Prices'!B535</f>
        <v>Vložený</v>
      </c>
      <c r="D31" s="431" t="str">
        <f t="shared" si="0"/>
        <v>široký_BLUM_Vložený</v>
      </c>
      <c r="E31" s="438" t="str">
        <f>'Translate &amp; Prices'!$B$562</f>
        <v>závěs s pružinou a tlumením</v>
      </c>
      <c r="F31" s="433" t="str">
        <f>'Translate &amp; Prices'!$B$565</f>
        <v>stříbrná</v>
      </c>
      <c r="G31" s="433" t="str">
        <f t="shared" si="2"/>
        <v>12049 - závěs s pružinou a tlumením - stříbrná</v>
      </c>
      <c r="H31" s="434" t="s">
        <v>2255</v>
      </c>
      <c r="I31" s="434">
        <v>12049</v>
      </c>
      <c r="J31" s="434" t="s">
        <v>2255</v>
      </c>
      <c r="K31" s="434">
        <v>12306</v>
      </c>
      <c r="L31" s="434">
        <v>12318</v>
      </c>
      <c r="M31" s="434">
        <v>12302</v>
      </c>
      <c r="N31" s="434">
        <v>203387</v>
      </c>
      <c r="O31" s="434">
        <v>346624</v>
      </c>
      <c r="P31" s="434">
        <v>211476</v>
      </c>
      <c r="Q31" s="433"/>
      <c r="R31" s="433"/>
      <c r="S31" s="433"/>
    </row>
    <row r="32" spans="1:19" ht="16.05" customHeight="1" x14ac:dyDescent="0.3">
      <c r="A32" s="438" t="s">
        <v>2264</v>
      </c>
      <c r="B32" s="438" t="s">
        <v>14</v>
      </c>
      <c r="C32" s="438" t="str">
        <f>'Translate &amp; Prices'!B535</f>
        <v>Vložený</v>
      </c>
      <c r="D32" s="431" t="str">
        <f t="shared" si="0"/>
        <v>široký_BLUM_Vložený</v>
      </c>
      <c r="E32" s="438" t="str">
        <f>'Translate &amp; Prices'!$B$562</f>
        <v>závěs s pružinou a tlumením</v>
      </c>
      <c r="F32" s="433" t="str">
        <f>'Translate &amp; Prices'!$B$566</f>
        <v>černá</v>
      </c>
      <c r="G32" s="433" t="str">
        <f t="shared" si="2"/>
        <v>306319 - závěs s pružinou a tlumením - černá</v>
      </c>
      <c r="H32" s="434" t="s">
        <v>2255</v>
      </c>
      <c r="I32" s="434">
        <v>306319</v>
      </c>
      <c r="J32" s="434" t="s">
        <v>2255</v>
      </c>
      <c r="K32" s="434" t="s">
        <v>2258</v>
      </c>
      <c r="L32" s="434" t="s">
        <v>2255</v>
      </c>
      <c r="M32" s="434">
        <v>347124</v>
      </c>
      <c r="N32" s="434">
        <v>306320</v>
      </c>
      <c r="O32" s="434" t="s">
        <v>2255</v>
      </c>
      <c r="P32" s="434" t="s">
        <v>2259</v>
      </c>
      <c r="Q32" s="433"/>
      <c r="R32" s="433"/>
      <c r="S32" s="433"/>
    </row>
    <row r="33" spans="1:19" ht="16.05" customHeight="1" x14ac:dyDescent="0.3">
      <c r="A33" s="438" t="s">
        <v>2264</v>
      </c>
      <c r="B33" s="438" t="s">
        <v>14</v>
      </c>
      <c r="C33" s="438" t="str">
        <f>'Translate &amp; Prices'!B535</f>
        <v>Vložený</v>
      </c>
      <c r="D33" s="431" t="str">
        <f t="shared" si="0"/>
        <v>široký_BLUM_Vložený</v>
      </c>
      <c r="E33" s="438" t="str">
        <f>'Translate &amp; Prices'!$B$563</f>
        <v>závěs s pružinou bez tlumení</v>
      </c>
      <c r="F33" s="433" t="str">
        <f>'Translate &amp; Prices'!$B$565</f>
        <v>stříbrná</v>
      </c>
      <c r="G33" s="433" t="str">
        <f t="shared" si="2"/>
        <v>12059 - závěs s pružinou bez tlumení - stříbrná</v>
      </c>
      <c r="H33" s="434" t="s">
        <v>2255</v>
      </c>
      <c r="I33" s="434">
        <v>12059</v>
      </c>
      <c r="J33" s="434" t="s">
        <v>2255</v>
      </c>
      <c r="K33" s="434">
        <v>12306</v>
      </c>
      <c r="L33" s="434">
        <v>12318</v>
      </c>
      <c r="M33" s="434">
        <v>12302</v>
      </c>
      <c r="N33" s="434">
        <v>203387</v>
      </c>
      <c r="O33" s="434">
        <v>346624</v>
      </c>
      <c r="P33" s="434">
        <v>211476</v>
      </c>
      <c r="Q33" s="433"/>
      <c r="R33" s="433"/>
      <c r="S33" s="433"/>
    </row>
    <row r="34" spans="1:19" ht="16.05" customHeight="1" x14ac:dyDescent="0.3">
      <c r="A34" s="438" t="s">
        <v>2264</v>
      </c>
      <c r="B34" s="438" t="s">
        <v>14</v>
      </c>
      <c r="C34" s="438" t="str">
        <f>'Translate &amp; Prices'!B535</f>
        <v>Vložený</v>
      </c>
      <c r="D34" s="431" t="str">
        <f t="shared" si="0"/>
        <v>široký_BLUM_Vložený</v>
      </c>
      <c r="E34" s="438" t="str">
        <f>'Translate &amp; Prices'!$B$564</f>
        <v>tip-on závěs bez pružiny/tlumení</v>
      </c>
      <c r="F34" s="433" t="str">
        <f>'Translate &amp; Prices'!$B$565</f>
        <v>stříbrná</v>
      </c>
      <c r="G34" s="433" t="str">
        <f t="shared" si="2"/>
        <v>226671 - tip-on závěs bez pružiny/tlumení - stříbrná</v>
      </c>
      <c r="H34" s="434" t="s">
        <v>2255</v>
      </c>
      <c r="I34" s="434">
        <v>226671</v>
      </c>
      <c r="J34" s="434" t="s">
        <v>2255</v>
      </c>
      <c r="K34" s="434">
        <v>12306</v>
      </c>
      <c r="L34" s="434">
        <v>12318</v>
      </c>
      <c r="M34" s="434">
        <v>12302</v>
      </c>
      <c r="N34" s="434">
        <v>203387</v>
      </c>
      <c r="O34" s="434">
        <v>346624</v>
      </c>
      <c r="P34" s="434">
        <v>211476</v>
      </c>
      <c r="Q34" s="433"/>
      <c r="R34" s="433"/>
      <c r="S34" s="433"/>
    </row>
    <row r="35" spans="1:19" ht="16.05" customHeight="1" x14ac:dyDescent="0.3">
      <c r="A35" s="433" t="s">
        <v>2264</v>
      </c>
      <c r="B35" s="433" t="s">
        <v>1033</v>
      </c>
      <c r="C35" s="433" t="str">
        <f>'Translate &amp; Prices'!B533</f>
        <v>Naložený</v>
      </c>
      <c r="D35" s="431" t="str">
        <f t="shared" si="0"/>
        <v>široký_HETTICH_Naložený</v>
      </c>
      <c r="E35" s="433" t="str">
        <f>'Translate &amp; Prices'!$B$562</f>
        <v>závěs s pružinou a tlumením</v>
      </c>
      <c r="F35" s="433" t="str">
        <f>'Translate &amp; Prices'!$B$565</f>
        <v>stříbrná</v>
      </c>
      <c r="G35" s="433" t="str">
        <f t="shared" si="2"/>
        <v>104717 - závěs s pružinou a tlumením - stříbrná</v>
      </c>
      <c r="H35" s="434" t="s">
        <v>2255</v>
      </c>
      <c r="I35" s="434">
        <v>104717</v>
      </c>
      <c r="J35" s="434" t="s">
        <v>2255</v>
      </c>
      <c r="K35" s="434">
        <v>106403</v>
      </c>
      <c r="L35" s="434">
        <v>119240</v>
      </c>
      <c r="M35" s="434">
        <v>136276</v>
      </c>
      <c r="N35" s="434">
        <v>300319</v>
      </c>
      <c r="O35" s="434" t="s">
        <v>2255</v>
      </c>
      <c r="P35" s="434" t="s">
        <v>2255</v>
      </c>
      <c r="Q35" s="433"/>
      <c r="R35" s="433"/>
      <c r="S35" s="433"/>
    </row>
    <row r="36" spans="1:19" ht="16.05" customHeight="1" x14ac:dyDescent="0.3">
      <c r="A36" s="433" t="s">
        <v>2264</v>
      </c>
      <c r="B36" s="433" t="s">
        <v>1033</v>
      </c>
      <c r="C36" s="433" t="str">
        <f>'Translate &amp; Prices'!B533</f>
        <v>Naložený</v>
      </c>
      <c r="D36" s="431" t="str">
        <f t="shared" si="0"/>
        <v>široký_HETTICH_Naložený</v>
      </c>
      <c r="E36" s="433" t="str">
        <f>'Translate &amp; Prices'!$B$562</f>
        <v>závěs s pružinou a tlumením</v>
      </c>
      <c r="F36" s="433" t="str">
        <f>'Translate &amp; Prices'!$B$566</f>
        <v>černá</v>
      </c>
      <c r="G36" s="433" t="str">
        <f t="shared" si="2"/>
        <v>344691 - závěs s pružinou a tlumením - černá</v>
      </c>
      <c r="H36" s="434" t="s">
        <v>2255</v>
      </c>
      <c r="I36" s="434">
        <v>344691</v>
      </c>
      <c r="J36" s="434" t="s">
        <v>2255</v>
      </c>
      <c r="K36" s="434" t="s">
        <v>2255</v>
      </c>
      <c r="L36" s="434">
        <v>344723</v>
      </c>
      <c r="M36" s="434" t="s">
        <v>2255</v>
      </c>
      <c r="N36" s="434">
        <v>397949</v>
      </c>
      <c r="O36" s="434" t="s">
        <v>2255</v>
      </c>
      <c r="P36" s="434" t="s">
        <v>2255</v>
      </c>
      <c r="Q36" s="433"/>
      <c r="R36" s="433"/>
      <c r="S36" s="433"/>
    </row>
    <row r="37" spans="1:19" ht="16.05" customHeight="1" x14ac:dyDescent="0.3">
      <c r="A37" s="433" t="s">
        <v>2264</v>
      </c>
      <c r="B37" s="433" t="s">
        <v>1033</v>
      </c>
      <c r="C37" s="433" t="str">
        <f>'Translate &amp; Prices'!B533</f>
        <v>Naložený</v>
      </c>
      <c r="D37" s="431" t="str">
        <f t="shared" si="0"/>
        <v>široký_HETTICH_Naložený</v>
      </c>
      <c r="E37" s="433" t="str">
        <f>'Translate &amp; Prices'!$B$563</f>
        <v>závěs s pružinou bez tlumení</v>
      </c>
      <c r="F37" s="433" t="str">
        <f>'Translate &amp; Prices'!$B$565</f>
        <v>stříbrná</v>
      </c>
      <c r="G37" s="433" t="str">
        <f t="shared" si="2"/>
        <v>232346 - závěs s pružinou bez tlumení - stříbrná</v>
      </c>
      <c r="H37" s="434" t="s">
        <v>2255</v>
      </c>
      <c r="I37" s="434">
        <v>232346</v>
      </c>
      <c r="J37" s="434" t="s">
        <v>2255</v>
      </c>
      <c r="K37" s="434">
        <v>106403</v>
      </c>
      <c r="L37" s="434">
        <v>119240</v>
      </c>
      <c r="M37" s="434">
        <v>136276</v>
      </c>
      <c r="N37" s="434">
        <v>300319</v>
      </c>
      <c r="O37" s="434" t="s">
        <v>2255</v>
      </c>
      <c r="P37" s="434" t="s">
        <v>2255</v>
      </c>
      <c r="Q37" s="433"/>
      <c r="R37" s="433"/>
      <c r="S37" s="433"/>
    </row>
    <row r="38" spans="1:19" ht="16.05" customHeight="1" x14ac:dyDescent="0.3">
      <c r="A38" s="433" t="s">
        <v>2264</v>
      </c>
      <c r="B38" s="433" t="s">
        <v>1033</v>
      </c>
      <c r="C38" s="433" t="str">
        <f>'Translate &amp; Prices'!B533</f>
        <v>Naložený</v>
      </c>
      <c r="D38" s="431" t="str">
        <f t="shared" si="0"/>
        <v>široký_HETTICH_Naložený</v>
      </c>
      <c r="E38" s="433" t="str">
        <f>'Translate &amp; Prices'!$B$564</f>
        <v>tip-on závěs bez pružiny/tlumení</v>
      </c>
      <c r="F38" s="433" t="str">
        <f>'Translate &amp; Prices'!$B$565</f>
        <v>stříbrná</v>
      </c>
      <c r="G38" s="433" t="str">
        <f t="shared" si="2"/>
        <v>245723 - tip-on závěs bez pružiny/tlumení - stříbrná</v>
      </c>
      <c r="H38" s="434" t="s">
        <v>2255</v>
      </c>
      <c r="I38" s="434">
        <v>245723</v>
      </c>
      <c r="J38" s="434" t="s">
        <v>2255</v>
      </c>
      <c r="K38" s="434">
        <v>106403</v>
      </c>
      <c r="L38" s="434">
        <v>119240</v>
      </c>
      <c r="M38" s="434">
        <v>136276</v>
      </c>
      <c r="N38" s="434">
        <v>300319</v>
      </c>
      <c r="O38" s="434" t="s">
        <v>2255</v>
      </c>
      <c r="P38" s="434" t="s">
        <v>2255</v>
      </c>
      <c r="Q38" s="433"/>
      <c r="R38" s="433"/>
      <c r="S38" s="433"/>
    </row>
    <row r="39" spans="1:19" ht="16.05" customHeight="1" x14ac:dyDescent="0.3">
      <c r="A39" s="433" t="s">
        <v>2264</v>
      </c>
      <c r="B39" s="433" t="s">
        <v>1033</v>
      </c>
      <c r="C39" s="433" t="str">
        <f>'Translate &amp; Prices'!B533</f>
        <v>Naložený</v>
      </c>
      <c r="D39" s="431" t="str">
        <f t="shared" si="0"/>
        <v>široký_HETTICH_Naložený</v>
      </c>
      <c r="E39" s="433" t="str">
        <f>'Translate &amp; Prices'!$B$564</f>
        <v>tip-on závěs bez pružiny/tlumení</v>
      </c>
      <c r="F39" s="433" t="str">
        <f>'Translate &amp; Prices'!$B$566</f>
        <v>černá</v>
      </c>
      <c r="G39" s="433" t="str">
        <f t="shared" si="2"/>
        <v>344694 - tip-on závěs bez pružiny/tlumení - černá</v>
      </c>
      <c r="H39" s="434" t="s">
        <v>2255</v>
      </c>
      <c r="I39" s="434">
        <v>344694</v>
      </c>
      <c r="J39" s="434" t="s">
        <v>2255</v>
      </c>
      <c r="K39" s="434" t="s">
        <v>2255</v>
      </c>
      <c r="L39" s="434">
        <v>344723</v>
      </c>
      <c r="M39" s="434" t="s">
        <v>2255</v>
      </c>
      <c r="N39" s="434">
        <v>397949</v>
      </c>
      <c r="O39" s="434" t="s">
        <v>2255</v>
      </c>
      <c r="P39" s="434" t="s">
        <v>2255</v>
      </c>
      <c r="Q39" s="433"/>
      <c r="R39" s="433"/>
      <c r="S39" s="433"/>
    </row>
    <row r="40" spans="1:19" ht="16.05" customHeight="1" x14ac:dyDescent="0.3">
      <c r="A40" s="438" t="s">
        <v>2264</v>
      </c>
      <c r="B40" s="438" t="s">
        <v>1033</v>
      </c>
      <c r="C40" s="438" t="str">
        <f>'Translate &amp; Prices'!B534</f>
        <v>Polonaložený</v>
      </c>
      <c r="D40" s="431" t="str">
        <f t="shared" si="0"/>
        <v>široký_HETTICH_Polonaložený</v>
      </c>
      <c r="E40" s="438" t="str">
        <f>'Translate &amp; Prices'!$B$562</f>
        <v>závěs s pružinou a tlumením</v>
      </c>
      <c r="F40" s="433" t="str">
        <f>'Translate &amp; Prices'!$B$565</f>
        <v>stříbrná</v>
      </c>
      <c r="G40" s="433" t="str">
        <f t="shared" si="2"/>
        <v>104718 - závěs s pružinou a tlumením - stříbrná</v>
      </c>
      <c r="H40" s="434" t="s">
        <v>2255</v>
      </c>
      <c r="I40" s="434">
        <v>104718</v>
      </c>
      <c r="J40" s="434" t="s">
        <v>2255</v>
      </c>
      <c r="K40" s="434">
        <v>106403</v>
      </c>
      <c r="L40" s="434">
        <v>119240</v>
      </c>
      <c r="M40" s="434">
        <v>136276</v>
      </c>
      <c r="N40" s="434">
        <v>300319</v>
      </c>
      <c r="O40" s="434" t="s">
        <v>2255</v>
      </c>
      <c r="P40" s="434" t="s">
        <v>2255</v>
      </c>
      <c r="Q40" s="433"/>
      <c r="R40" s="433"/>
      <c r="S40" s="433"/>
    </row>
    <row r="41" spans="1:19" ht="16.05" customHeight="1" x14ac:dyDescent="0.3">
      <c r="A41" s="438" t="s">
        <v>2264</v>
      </c>
      <c r="B41" s="438" t="s">
        <v>1033</v>
      </c>
      <c r="C41" s="438" t="str">
        <f>'Translate &amp; Prices'!B534</f>
        <v>Polonaložený</v>
      </c>
      <c r="D41" s="431" t="str">
        <f t="shared" si="0"/>
        <v>široký_HETTICH_Polonaložený</v>
      </c>
      <c r="E41" s="438" t="str">
        <f>'Translate &amp; Prices'!$B$562</f>
        <v>závěs s pružinou a tlumením</v>
      </c>
      <c r="F41" s="433" t="str">
        <f>'Translate &amp; Prices'!$B$566</f>
        <v>černá</v>
      </c>
      <c r="G41" s="433" t="str">
        <f t="shared" si="2"/>
        <v>344692 - závěs s pružinou a tlumením - černá</v>
      </c>
      <c r="H41" s="434" t="s">
        <v>2255</v>
      </c>
      <c r="I41" s="434">
        <v>344692</v>
      </c>
      <c r="J41" s="434" t="s">
        <v>2255</v>
      </c>
      <c r="K41" s="434" t="s">
        <v>2255</v>
      </c>
      <c r="L41" s="434">
        <v>344723</v>
      </c>
      <c r="M41" s="434" t="s">
        <v>2255</v>
      </c>
      <c r="N41" s="434">
        <v>397949</v>
      </c>
      <c r="O41" s="434" t="s">
        <v>2255</v>
      </c>
      <c r="P41" s="434" t="s">
        <v>2255</v>
      </c>
      <c r="Q41" s="433"/>
      <c r="R41" s="433"/>
      <c r="S41" s="433"/>
    </row>
    <row r="42" spans="1:19" ht="16.05" customHeight="1" x14ac:dyDescent="0.3">
      <c r="A42" s="438" t="s">
        <v>2264</v>
      </c>
      <c r="B42" s="438" t="s">
        <v>1033</v>
      </c>
      <c r="C42" s="438" t="str">
        <f>'Translate &amp; Prices'!B534</f>
        <v>Polonaložený</v>
      </c>
      <c r="D42" s="431" t="str">
        <f t="shared" si="0"/>
        <v>široký_HETTICH_Polonaložený</v>
      </c>
      <c r="E42" s="438" t="str">
        <f>'Translate &amp; Prices'!$B$563</f>
        <v>závěs s pružinou bez tlumení</v>
      </c>
      <c r="F42" s="433" t="str">
        <f>'Translate &amp; Prices'!$B$565</f>
        <v>stříbrná</v>
      </c>
      <c r="G42" s="433" t="str">
        <f t="shared" si="2"/>
        <v>232347 - závěs s pružinou bez tlumení - stříbrná</v>
      </c>
      <c r="H42" s="434" t="s">
        <v>2255</v>
      </c>
      <c r="I42" s="434">
        <v>232347</v>
      </c>
      <c r="J42" s="434" t="s">
        <v>2255</v>
      </c>
      <c r="K42" s="434">
        <v>106403</v>
      </c>
      <c r="L42" s="434">
        <v>119240</v>
      </c>
      <c r="M42" s="434">
        <v>136276</v>
      </c>
      <c r="N42" s="434">
        <v>300319</v>
      </c>
      <c r="O42" s="434" t="s">
        <v>2255</v>
      </c>
      <c r="P42" s="434" t="s">
        <v>2255</v>
      </c>
      <c r="Q42" s="433"/>
      <c r="R42" s="433"/>
      <c r="S42" s="433"/>
    </row>
    <row r="43" spans="1:19" ht="16.05" customHeight="1" x14ac:dyDescent="0.3">
      <c r="A43" s="438" t="s">
        <v>2264</v>
      </c>
      <c r="B43" s="438" t="s">
        <v>1033</v>
      </c>
      <c r="C43" s="438" t="str">
        <f>'Translate &amp; Prices'!B534</f>
        <v>Polonaložený</v>
      </c>
      <c r="D43" s="431" t="str">
        <f t="shared" si="0"/>
        <v>široký_HETTICH_Polonaložený</v>
      </c>
      <c r="E43" s="438" t="str">
        <f>'Translate &amp; Prices'!$B$564</f>
        <v>tip-on závěs bez pružiny/tlumení</v>
      </c>
      <c r="F43" s="433" t="str">
        <f>'Translate &amp; Prices'!$B$565</f>
        <v>stříbrná</v>
      </c>
      <c r="G43" s="433" t="str">
        <f t="shared" si="2"/>
        <v>245724 - tip-on závěs bez pružiny/tlumení - stříbrná</v>
      </c>
      <c r="H43" s="434" t="s">
        <v>2255</v>
      </c>
      <c r="I43" s="434">
        <v>245724</v>
      </c>
      <c r="J43" s="434" t="s">
        <v>2255</v>
      </c>
      <c r="K43" s="434">
        <v>106403</v>
      </c>
      <c r="L43" s="434">
        <v>119240</v>
      </c>
      <c r="M43" s="434">
        <v>136276</v>
      </c>
      <c r="N43" s="434">
        <v>300319</v>
      </c>
      <c r="O43" s="434" t="s">
        <v>2255</v>
      </c>
      <c r="P43" s="434" t="s">
        <v>2255</v>
      </c>
      <c r="Q43" s="433"/>
      <c r="R43" s="433"/>
      <c r="S43" s="433"/>
    </row>
    <row r="44" spans="1:19" ht="16.05" customHeight="1" x14ac:dyDescent="0.3">
      <c r="A44" s="438" t="s">
        <v>2264</v>
      </c>
      <c r="B44" s="438" t="s">
        <v>1033</v>
      </c>
      <c r="C44" s="438" t="str">
        <f>'Translate &amp; Prices'!B534</f>
        <v>Polonaložený</v>
      </c>
      <c r="D44" s="431" t="str">
        <f t="shared" si="0"/>
        <v>široký_HETTICH_Polonaložený</v>
      </c>
      <c r="E44" s="438" t="str">
        <f>'Translate &amp; Prices'!$B$564</f>
        <v>tip-on závěs bez pružiny/tlumení</v>
      </c>
      <c r="F44" s="433" t="str">
        <f>'Translate &amp; Prices'!$B$566</f>
        <v>černá</v>
      </c>
      <c r="G44" s="433" t="str">
        <f t="shared" si="2"/>
        <v>344695 - tip-on závěs bez pružiny/tlumení - černá</v>
      </c>
      <c r="H44" s="434" t="s">
        <v>2255</v>
      </c>
      <c r="I44" s="434">
        <v>344695</v>
      </c>
      <c r="J44" s="434" t="s">
        <v>2255</v>
      </c>
      <c r="K44" s="434" t="s">
        <v>2255</v>
      </c>
      <c r="L44" s="434">
        <v>344723</v>
      </c>
      <c r="M44" s="434" t="s">
        <v>2255</v>
      </c>
      <c r="N44" s="434">
        <v>397949</v>
      </c>
      <c r="O44" s="434" t="s">
        <v>2255</v>
      </c>
      <c r="P44" s="434" t="s">
        <v>2255</v>
      </c>
      <c r="Q44" s="433"/>
      <c r="R44" s="433"/>
      <c r="S44" s="433"/>
    </row>
    <row r="45" spans="1:19" ht="16.05" customHeight="1" x14ac:dyDescent="0.3">
      <c r="A45" s="433" t="s">
        <v>2264</v>
      </c>
      <c r="B45" s="433" t="s">
        <v>1033</v>
      </c>
      <c r="C45" s="433" t="str">
        <f>'Translate &amp; Prices'!B535</f>
        <v>Vložený</v>
      </c>
      <c r="D45" s="431" t="str">
        <f t="shared" si="0"/>
        <v>široký_HETTICH_Vložený</v>
      </c>
      <c r="E45" s="433" t="str">
        <f>'Translate &amp; Prices'!$B$562</f>
        <v>závěs s pružinou a tlumením</v>
      </c>
      <c r="F45" s="433" t="str">
        <f>'Translate &amp; Prices'!$B$565</f>
        <v>stříbrná</v>
      </c>
      <c r="G45" s="433" t="str">
        <f t="shared" si="2"/>
        <v>104719 - závěs s pružinou a tlumením - stříbrná</v>
      </c>
      <c r="H45" s="434" t="s">
        <v>2255</v>
      </c>
      <c r="I45" s="434">
        <v>104719</v>
      </c>
      <c r="J45" s="434" t="s">
        <v>2255</v>
      </c>
      <c r="K45" s="434">
        <v>106403</v>
      </c>
      <c r="L45" s="434">
        <v>119240</v>
      </c>
      <c r="M45" s="434">
        <v>136276</v>
      </c>
      <c r="N45" s="434">
        <v>300319</v>
      </c>
      <c r="O45" s="434" t="s">
        <v>2255</v>
      </c>
      <c r="P45" s="434" t="s">
        <v>2255</v>
      </c>
      <c r="Q45" s="433"/>
      <c r="R45" s="433"/>
      <c r="S45" s="433"/>
    </row>
    <row r="46" spans="1:19" ht="16.05" customHeight="1" x14ac:dyDescent="0.3">
      <c r="A46" s="433" t="s">
        <v>2264</v>
      </c>
      <c r="B46" s="433" t="s">
        <v>1033</v>
      </c>
      <c r="C46" s="433" t="str">
        <f>'Translate &amp; Prices'!B535</f>
        <v>Vložený</v>
      </c>
      <c r="D46" s="431" t="str">
        <f t="shared" si="0"/>
        <v>široký_HETTICH_Vložený</v>
      </c>
      <c r="E46" s="433" t="str">
        <f>'Translate &amp; Prices'!$B$562</f>
        <v>závěs s pružinou a tlumením</v>
      </c>
      <c r="F46" s="433" t="str">
        <f>'Translate &amp; Prices'!$B$566</f>
        <v>černá</v>
      </c>
      <c r="G46" s="433" t="str">
        <f t="shared" si="2"/>
        <v>344693 - závěs s pružinou a tlumením - černá</v>
      </c>
      <c r="H46" s="434" t="s">
        <v>2255</v>
      </c>
      <c r="I46" s="434">
        <v>344693</v>
      </c>
      <c r="J46" s="434" t="s">
        <v>2255</v>
      </c>
      <c r="K46" s="434" t="s">
        <v>2255</v>
      </c>
      <c r="L46" s="434">
        <v>344723</v>
      </c>
      <c r="M46" s="434" t="s">
        <v>2255</v>
      </c>
      <c r="N46" s="434">
        <v>397949</v>
      </c>
      <c r="O46" s="434" t="s">
        <v>2255</v>
      </c>
      <c r="P46" s="434" t="s">
        <v>2255</v>
      </c>
      <c r="Q46" s="433"/>
      <c r="R46" s="433"/>
      <c r="S46" s="433"/>
    </row>
    <row r="47" spans="1:19" ht="16.05" customHeight="1" x14ac:dyDescent="0.3">
      <c r="A47" s="433" t="s">
        <v>2264</v>
      </c>
      <c r="B47" s="433" t="s">
        <v>1033</v>
      </c>
      <c r="C47" s="433" t="str">
        <f>'Translate &amp; Prices'!B535</f>
        <v>Vložený</v>
      </c>
      <c r="D47" s="431" t="str">
        <f t="shared" si="0"/>
        <v>široký_HETTICH_Vložený</v>
      </c>
      <c r="E47" s="433" t="str">
        <f>'Translate &amp; Prices'!$B$563</f>
        <v>závěs s pružinou bez tlumení</v>
      </c>
      <c r="F47" s="433" t="str">
        <f>'Translate &amp; Prices'!$B$565</f>
        <v>stříbrná</v>
      </c>
      <c r="G47" s="433" t="str">
        <f t="shared" si="2"/>
        <v>232348 - závěs s pružinou bez tlumení - stříbrná</v>
      </c>
      <c r="H47" s="434" t="s">
        <v>2255</v>
      </c>
      <c r="I47" s="434">
        <v>232348</v>
      </c>
      <c r="J47" s="434" t="s">
        <v>2255</v>
      </c>
      <c r="K47" s="434">
        <v>106403</v>
      </c>
      <c r="L47" s="434">
        <v>119240</v>
      </c>
      <c r="M47" s="434">
        <v>136276</v>
      </c>
      <c r="N47" s="434">
        <v>300319</v>
      </c>
      <c r="O47" s="434" t="s">
        <v>2255</v>
      </c>
      <c r="P47" s="434" t="s">
        <v>2255</v>
      </c>
      <c r="Q47" s="433"/>
      <c r="R47" s="433"/>
      <c r="S47" s="433"/>
    </row>
    <row r="48" spans="1:19" ht="16.05" customHeight="1" x14ac:dyDescent="0.3">
      <c r="A48" s="433" t="s">
        <v>2264</v>
      </c>
      <c r="B48" s="433" t="s">
        <v>1033</v>
      </c>
      <c r="C48" s="433" t="str">
        <f>'Translate &amp; Prices'!B535</f>
        <v>Vložený</v>
      </c>
      <c r="D48" s="431" t="str">
        <f t="shared" si="0"/>
        <v>široký_HETTICH_Vložený</v>
      </c>
      <c r="E48" s="433" t="str">
        <f>'Translate &amp; Prices'!$B$564</f>
        <v>tip-on závěs bez pružiny/tlumení</v>
      </c>
      <c r="F48" s="433" t="str">
        <f>'Translate &amp; Prices'!$B$565</f>
        <v>stříbrná</v>
      </c>
      <c r="G48" s="433" t="str">
        <f t="shared" si="2"/>
        <v>245725 - tip-on závěs bez pružiny/tlumení - stříbrná</v>
      </c>
      <c r="H48" s="434" t="s">
        <v>2255</v>
      </c>
      <c r="I48" s="434">
        <v>245725</v>
      </c>
      <c r="J48" s="434" t="s">
        <v>2255</v>
      </c>
      <c r="K48" s="434">
        <v>106403</v>
      </c>
      <c r="L48" s="434">
        <v>119240</v>
      </c>
      <c r="M48" s="434">
        <v>136276</v>
      </c>
      <c r="N48" s="434">
        <v>300319</v>
      </c>
      <c r="O48" s="434" t="s">
        <v>2255</v>
      </c>
      <c r="P48" s="434" t="s">
        <v>2255</v>
      </c>
      <c r="Q48" s="433"/>
      <c r="R48" s="433"/>
      <c r="S48" s="433"/>
    </row>
    <row r="49" spans="1:19" ht="16.05" customHeight="1" x14ac:dyDescent="0.3">
      <c r="A49" s="433" t="s">
        <v>2264</v>
      </c>
      <c r="B49" s="433" t="s">
        <v>1033</v>
      </c>
      <c r="C49" s="433" t="str">
        <f>'Translate &amp; Prices'!B535</f>
        <v>Vložený</v>
      </c>
      <c r="D49" s="431" t="str">
        <f t="shared" si="0"/>
        <v>široký_HETTICH_Vložený</v>
      </c>
      <c r="E49" s="433" t="str">
        <f>'Translate &amp; Prices'!$B$564</f>
        <v>tip-on závěs bez pružiny/tlumení</v>
      </c>
      <c r="F49" s="433" t="str">
        <f>'Translate &amp; Prices'!$B$566</f>
        <v>černá</v>
      </c>
      <c r="G49" s="433" t="str">
        <f t="shared" si="2"/>
        <v>344696 - tip-on závěs bez pružiny/tlumení - černá</v>
      </c>
      <c r="H49" s="434" t="s">
        <v>2255</v>
      </c>
      <c r="I49" s="434">
        <v>344696</v>
      </c>
      <c r="J49" s="434" t="s">
        <v>2255</v>
      </c>
      <c r="K49" s="434" t="s">
        <v>2255</v>
      </c>
      <c r="L49" s="434">
        <v>344723</v>
      </c>
      <c r="M49" s="434" t="s">
        <v>2255</v>
      </c>
      <c r="N49" s="434">
        <v>397949</v>
      </c>
      <c r="O49" s="434" t="s">
        <v>2255</v>
      </c>
      <c r="P49" s="434" t="s">
        <v>2255</v>
      </c>
      <c r="Q49" s="433"/>
      <c r="R49" s="433"/>
      <c r="S49" s="433"/>
    </row>
    <row r="50" spans="1:19" ht="16.05" customHeight="1" x14ac:dyDescent="0.3">
      <c r="A50" s="438" t="s">
        <v>2264</v>
      </c>
      <c r="B50" s="438" t="s">
        <v>110</v>
      </c>
      <c r="C50" s="438" t="str">
        <f>'Translate &amp; Prices'!B533</f>
        <v>Naložený</v>
      </c>
      <c r="D50" s="431" t="str">
        <f t="shared" si="0"/>
        <v>široký_STRONG_Naložený</v>
      </c>
      <c r="E50" s="438" t="str">
        <f>'Translate &amp; Prices'!$B$562</f>
        <v>závěs s pružinou a tlumením</v>
      </c>
      <c r="F50" s="433" t="str">
        <f>'Translate &amp; Prices'!$B$565</f>
        <v>stříbrná</v>
      </c>
      <c r="G50" s="433" t="str">
        <f t="shared" si="2"/>
        <v>92580T - závěs s pružinou a tlumením - stříbrná</v>
      </c>
      <c r="H50" s="434" t="s">
        <v>2255</v>
      </c>
      <c r="I50" s="434" t="s">
        <v>114</v>
      </c>
      <c r="J50" s="434" t="s">
        <v>2255</v>
      </c>
      <c r="K50" s="434" t="s">
        <v>2255</v>
      </c>
      <c r="L50" s="434" t="s">
        <v>2255</v>
      </c>
      <c r="M50" s="434" t="s">
        <v>2255</v>
      </c>
      <c r="N50" s="434" t="s">
        <v>2255</v>
      </c>
      <c r="O50" s="434" t="s">
        <v>2255</v>
      </c>
      <c r="P50" s="434" t="s">
        <v>2255</v>
      </c>
      <c r="Q50" s="433"/>
      <c r="R50" s="433"/>
      <c r="S50" s="433"/>
    </row>
    <row r="51" spans="1:19" ht="16.05" customHeight="1" x14ac:dyDescent="0.3">
      <c r="A51" s="438" t="s">
        <v>2264</v>
      </c>
      <c r="B51" s="438" t="s">
        <v>110</v>
      </c>
      <c r="C51" s="438" t="str">
        <f>'Translate &amp; Prices'!B533</f>
        <v>Naložený</v>
      </c>
      <c r="D51" s="431" t="str">
        <f t="shared" si="0"/>
        <v>široký_STRONG_Naložený</v>
      </c>
      <c r="E51" s="438" t="str">
        <f>'Translate &amp; Prices'!$B$563</f>
        <v>závěs s pružinou bez tlumení</v>
      </c>
      <c r="F51" s="433" t="str">
        <f>'Translate &amp; Prices'!$B$565</f>
        <v>stříbrná</v>
      </c>
      <c r="G51" s="433" t="str">
        <f t="shared" si="2"/>
        <v>198818 - závěs s pružinou bez tlumení - stříbrná</v>
      </c>
      <c r="H51" s="434" t="s">
        <v>2255</v>
      </c>
      <c r="I51" s="434">
        <v>198818</v>
      </c>
      <c r="J51" s="434" t="s">
        <v>2255</v>
      </c>
      <c r="K51" s="434" t="s">
        <v>2255</v>
      </c>
      <c r="L51" s="434" t="s">
        <v>2255</v>
      </c>
      <c r="M51" s="434" t="s">
        <v>2255</v>
      </c>
      <c r="N51" s="434" t="s">
        <v>2255</v>
      </c>
      <c r="O51" s="434" t="s">
        <v>2255</v>
      </c>
      <c r="P51" s="434" t="s">
        <v>2255</v>
      </c>
      <c r="Q51" s="433"/>
      <c r="R51" s="433"/>
      <c r="S51" s="433"/>
    </row>
    <row r="52" spans="1:19" ht="16.05" customHeight="1" x14ac:dyDescent="0.3">
      <c r="A52" s="433" t="s">
        <v>2264</v>
      </c>
      <c r="B52" s="433" t="s">
        <v>110</v>
      </c>
      <c r="C52" s="433" t="str">
        <f>'Translate &amp; Prices'!B534</f>
        <v>Polonaložený</v>
      </c>
      <c r="D52" s="431" t="str">
        <f t="shared" si="0"/>
        <v>široký_STRONG_Polonaložený</v>
      </c>
      <c r="E52" s="433" t="str">
        <f>'Translate &amp; Prices'!$B$562</f>
        <v>závěs s pružinou a tlumením</v>
      </c>
      <c r="F52" s="433" t="str">
        <f>'Translate &amp; Prices'!$B$565</f>
        <v>stříbrná</v>
      </c>
      <c r="G52" s="433" t="str">
        <f t="shared" si="2"/>
        <v>92581T - závěs s pružinou a tlumením - stříbrná</v>
      </c>
      <c r="H52" s="434" t="s">
        <v>2255</v>
      </c>
      <c r="I52" s="434" t="s">
        <v>115</v>
      </c>
      <c r="J52" s="434" t="s">
        <v>2255</v>
      </c>
      <c r="K52" s="434" t="s">
        <v>2255</v>
      </c>
      <c r="L52" s="434" t="s">
        <v>2255</v>
      </c>
      <c r="M52" s="434" t="s">
        <v>2255</v>
      </c>
      <c r="N52" s="434" t="s">
        <v>2255</v>
      </c>
      <c r="O52" s="434" t="s">
        <v>2255</v>
      </c>
      <c r="P52" s="434" t="s">
        <v>2255</v>
      </c>
      <c r="Q52" s="433"/>
      <c r="R52" s="433"/>
      <c r="S52" s="433"/>
    </row>
    <row r="53" spans="1:19" ht="16.05" customHeight="1" x14ac:dyDescent="0.3">
      <c r="A53" s="433" t="s">
        <v>2264</v>
      </c>
      <c r="B53" s="433" t="s">
        <v>110</v>
      </c>
      <c r="C53" s="433" t="str">
        <f>'Translate &amp; Prices'!B534</f>
        <v>Polonaložený</v>
      </c>
      <c r="D53" s="431" t="str">
        <f t="shared" si="0"/>
        <v>široký_STRONG_Polonaložený</v>
      </c>
      <c r="E53" s="433" t="str">
        <f>'Translate &amp; Prices'!$B$563</f>
        <v>závěs s pružinou bez tlumení</v>
      </c>
      <c r="F53" s="433" t="str">
        <f>'Translate &amp; Prices'!$B$565</f>
        <v>stříbrná</v>
      </c>
      <c r="G53" s="433" t="str">
        <f t="shared" si="2"/>
        <v>198819 - závěs s pružinou bez tlumení - stříbrná</v>
      </c>
      <c r="H53" s="434" t="s">
        <v>2255</v>
      </c>
      <c r="I53" s="434">
        <v>198819</v>
      </c>
      <c r="J53" s="434" t="s">
        <v>2255</v>
      </c>
      <c r="K53" s="434" t="s">
        <v>2255</v>
      </c>
      <c r="L53" s="434" t="s">
        <v>2255</v>
      </c>
      <c r="M53" s="434" t="s">
        <v>2255</v>
      </c>
      <c r="N53" s="434" t="s">
        <v>2255</v>
      </c>
      <c r="O53" s="434" t="s">
        <v>2255</v>
      </c>
      <c r="P53" s="434" t="s">
        <v>2255</v>
      </c>
      <c r="Q53" s="433"/>
      <c r="R53" s="433"/>
      <c r="S53" s="433"/>
    </row>
    <row r="54" spans="1:19" ht="16.05" customHeight="1" x14ac:dyDescent="0.3">
      <c r="A54" s="438" t="s">
        <v>2264</v>
      </c>
      <c r="B54" s="438" t="s">
        <v>110</v>
      </c>
      <c r="C54" s="438" t="str">
        <f>'Translate &amp; Prices'!B535</f>
        <v>Vložený</v>
      </c>
      <c r="D54" s="431" t="str">
        <f t="shared" si="0"/>
        <v>široký_STRONG_Vložený</v>
      </c>
      <c r="E54" s="438" t="str">
        <f>'Translate &amp; Prices'!$B$562</f>
        <v>závěs s pružinou a tlumením</v>
      </c>
      <c r="F54" s="433" t="str">
        <f>'Translate &amp; Prices'!$B$565</f>
        <v>stříbrná</v>
      </c>
      <c r="G54" s="433" t="str">
        <f t="shared" si="2"/>
        <v>92582T - závěs s pružinou a tlumením - stříbrná</v>
      </c>
      <c r="H54" s="434" t="s">
        <v>2255</v>
      </c>
      <c r="I54" s="434" t="s">
        <v>116</v>
      </c>
      <c r="J54" s="434" t="s">
        <v>2255</v>
      </c>
      <c r="K54" s="434" t="s">
        <v>2255</v>
      </c>
      <c r="L54" s="434" t="s">
        <v>2255</v>
      </c>
      <c r="M54" s="434" t="s">
        <v>2255</v>
      </c>
      <c r="N54" s="434" t="s">
        <v>2255</v>
      </c>
      <c r="O54" s="434" t="s">
        <v>2255</v>
      </c>
      <c r="P54" s="434" t="s">
        <v>2255</v>
      </c>
      <c r="Q54" s="433"/>
      <c r="R54" s="433"/>
      <c r="S54" s="433"/>
    </row>
    <row r="55" spans="1:19" ht="16.05" customHeight="1" x14ac:dyDescent="0.3">
      <c r="A55" s="438" t="s">
        <v>2264</v>
      </c>
      <c r="B55" s="438" t="s">
        <v>110</v>
      </c>
      <c r="C55" s="438" t="str">
        <f>'Translate &amp; Prices'!B535</f>
        <v>Vložený</v>
      </c>
      <c r="D55" s="431" t="str">
        <f t="shared" si="0"/>
        <v>široký_STRONG_Vložený</v>
      </c>
      <c r="E55" s="438" t="str">
        <f>'Translate &amp; Prices'!$B$563</f>
        <v>závěs s pružinou bez tlumení</v>
      </c>
      <c r="F55" s="433" t="str">
        <f>'Translate &amp; Prices'!$B$565</f>
        <v>stříbrná</v>
      </c>
      <c r="G55" s="433" t="str">
        <f t="shared" si="2"/>
        <v>198820 - závěs s pružinou bez tlumení - stříbrná</v>
      </c>
      <c r="H55" s="434" t="s">
        <v>2255</v>
      </c>
      <c r="I55" s="434">
        <v>198820</v>
      </c>
      <c r="J55" s="434" t="s">
        <v>2255</v>
      </c>
      <c r="K55" s="434" t="s">
        <v>2255</v>
      </c>
      <c r="L55" s="434" t="s">
        <v>2255</v>
      </c>
      <c r="M55" s="434" t="s">
        <v>2255</v>
      </c>
      <c r="N55" s="434" t="s">
        <v>2255</v>
      </c>
      <c r="O55" s="434" t="s">
        <v>2255</v>
      </c>
      <c r="P55" s="434" t="s">
        <v>2255</v>
      </c>
      <c r="Q55" s="433"/>
      <c r="R55" s="433"/>
      <c r="S55" s="433"/>
    </row>
    <row r="56" spans="1:19" ht="16.05" customHeight="1" x14ac:dyDescent="0.3">
      <c r="A56" s="433" t="s">
        <v>2264</v>
      </c>
      <c r="B56" s="433" t="s">
        <v>2262</v>
      </c>
      <c r="C56" s="433" t="str">
        <f>'Translate &amp; Prices'!B533</f>
        <v>Naložený</v>
      </c>
      <c r="D56" s="431" t="str">
        <f t="shared" si="0"/>
        <v>široký_STRONG PLUS_Naložený</v>
      </c>
      <c r="E56" s="433" t="str">
        <f>'Translate &amp; Prices'!$B$562</f>
        <v>závěs s pružinou a tlumením</v>
      </c>
      <c r="F56" s="433" t="str">
        <f>'Translate &amp; Prices'!$B$565</f>
        <v>stříbrná</v>
      </c>
      <c r="G56" s="433" t="str">
        <f t="shared" si="2"/>
        <v>350827 - závěs s pružinou a tlumením - stříbrná</v>
      </c>
      <c r="H56" s="434" t="s">
        <v>2255</v>
      </c>
      <c r="I56" s="434">
        <v>350827</v>
      </c>
      <c r="J56" s="434" t="s">
        <v>2255</v>
      </c>
      <c r="K56" s="434" t="s">
        <v>2255</v>
      </c>
      <c r="L56" s="434" t="s">
        <v>2255</v>
      </c>
      <c r="M56" s="434" t="s">
        <v>2255</v>
      </c>
      <c r="N56" s="434" t="s">
        <v>2255</v>
      </c>
      <c r="O56" s="434" t="s">
        <v>2255</v>
      </c>
      <c r="P56" s="434" t="s">
        <v>2255</v>
      </c>
      <c r="Q56" s="433"/>
      <c r="R56" s="433"/>
      <c r="S56" s="433"/>
    </row>
    <row r="57" spans="1:19" ht="16.05" customHeight="1" x14ac:dyDescent="0.3">
      <c r="A57" s="433" t="s">
        <v>2264</v>
      </c>
      <c r="B57" s="433" t="s">
        <v>2262</v>
      </c>
      <c r="C57" s="433" t="str">
        <f>'Translate &amp; Prices'!B533</f>
        <v>Naložený</v>
      </c>
      <c r="D57" s="431" t="str">
        <f t="shared" si="0"/>
        <v>široký_STRONG PLUS_Naložený</v>
      </c>
      <c r="E57" s="433" t="str">
        <f>'Translate &amp; Prices'!$B$563</f>
        <v>závěs s pružinou bez tlumení</v>
      </c>
      <c r="F57" s="433" t="str">
        <f>'Translate &amp; Prices'!$B$565</f>
        <v>stříbrná</v>
      </c>
      <c r="G57" s="433" t="str">
        <f t="shared" si="2"/>
        <v>350834 - závěs s pružinou bez tlumení - stříbrná</v>
      </c>
      <c r="H57" s="434" t="s">
        <v>2255</v>
      </c>
      <c r="I57" s="434">
        <v>350834</v>
      </c>
      <c r="J57" s="434" t="s">
        <v>2255</v>
      </c>
      <c r="K57" s="434" t="s">
        <v>2255</v>
      </c>
      <c r="L57" s="434" t="s">
        <v>2255</v>
      </c>
      <c r="M57" s="434" t="s">
        <v>2255</v>
      </c>
      <c r="N57" s="434" t="s">
        <v>2255</v>
      </c>
      <c r="O57" s="434" t="s">
        <v>2255</v>
      </c>
      <c r="P57" s="434" t="s">
        <v>2255</v>
      </c>
      <c r="Q57" s="433"/>
      <c r="R57" s="433"/>
      <c r="S57" s="433"/>
    </row>
    <row r="58" spans="1:19" ht="16.05" customHeight="1" x14ac:dyDescent="0.3">
      <c r="A58" s="433" t="s">
        <v>2264</v>
      </c>
      <c r="B58" s="433" t="s">
        <v>2262</v>
      </c>
      <c r="C58" s="433" t="str">
        <f>'Translate &amp; Prices'!B533</f>
        <v>Naložený</v>
      </c>
      <c r="D58" s="431" t="str">
        <f t="shared" si="0"/>
        <v>široký_STRONG PLUS_Naložený</v>
      </c>
      <c r="E58" s="433" t="str">
        <f>'Translate &amp; Prices'!$B$564</f>
        <v>tip-on závěs bez pružiny/tlumení</v>
      </c>
      <c r="F58" s="433" t="str">
        <f>'Translate &amp; Prices'!$B$565</f>
        <v>stříbrná</v>
      </c>
      <c r="G58" s="433" t="str">
        <f t="shared" si="2"/>
        <v>350837 - tip-on závěs bez pružiny/tlumení - stříbrná</v>
      </c>
      <c r="H58" s="434" t="s">
        <v>2255</v>
      </c>
      <c r="I58" s="434">
        <v>350837</v>
      </c>
      <c r="J58" s="434" t="s">
        <v>2255</v>
      </c>
      <c r="K58" s="434" t="s">
        <v>2255</v>
      </c>
      <c r="L58" s="434" t="s">
        <v>2255</v>
      </c>
      <c r="M58" s="434" t="s">
        <v>2255</v>
      </c>
      <c r="N58" s="434" t="s">
        <v>2255</v>
      </c>
      <c r="O58" s="434" t="s">
        <v>2255</v>
      </c>
      <c r="P58" s="434" t="s">
        <v>2255</v>
      </c>
      <c r="Q58" s="433"/>
      <c r="R58" s="433"/>
      <c r="S58" s="433"/>
    </row>
    <row r="59" spans="1:19" ht="16.05" customHeight="1" x14ac:dyDescent="0.3">
      <c r="A59" s="438" t="s">
        <v>2264</v>
      </c>
      <c r="B59" s="438" t="s">
        <v>2262</v>
      </c>
      <c r="C59" s="438" t="str">
        <f>'Translate &amp; Prices'!B534</f>
        <v>Polonaložený</v>
      </c>
      <c r="D59" s="431" t="str">
        <f t="shared" si="0"/>
        <v>široký_STRONG PLUS_Polonaložený</v>
      </c>
      <c r="E59" s="438" t="str">
        <f>'Translate &amp; Prices'!$B$562</f>
        <v>závěs s pružinou a tlumením</v>
      </c>
      <c r="F59" s="433" t="str">
        <f>'Translate &amp; Prices'!$B$565</f>
        <v>stříbrná</v>
      </c>
      <c r="G59" s="433" t="str">
        <f t="shared" si="2"/>
        <v>350828 - závěs s pružinou a tlumením - stříbrná</v>
      </c>
      <c r="H59" s="434" t="s">
        <v>2255</v>
      </c>
      <c r="I59" s="434">
        <v>350828</v>
      </c>
      <c r="J59" s="434" t="s">
        <v>2255</v>
      </c>
      <c r="K59" s="434" t="s">
        <v>2255</v>
      </c>
      <c r="L59" s="434" t="s">
        <v>2255</v>
      </c>
      <c r="M59" s="434" t="s">
        <v>2255</v>
      </c>
      <c r="N59" s="434" t="s">
        <v>2255</v>
      </c>
      <c r="O59" s="434" t="s">
        <v>2255</v>
      </c>
      <c r="P59" s="434" t="s">
        <v>2255</v>
      </c>
      <c r="Q59" s="433"/>
      <c r="R59" s="433"/>
      <c r="S59" s="433"/>
    </row>
    <row r="60" spans="1:19" ht="16.05" customHeight="1" x14ac:dyDescent="0.3">
      <c r="A60" s="438" t="s">
        <v>2264</v>
      </c>
      <c r="B60" s="438" t="s">
        <v>2262</v>
      </c>
      <c r="C60" s="438" t="str">
        <f>'Translate &amp; Prices'!B534</f>
        <v>Polonaložený</v>
      </c>
      <c r="D60" s="431" t="str">
        <f t="shared" si="0"/>
        <v>široký_STRONG PLUS_Polonaložený</v>
      </c>
      <c r="E60" s="438" t="str">
        <f>'Translate &amp; Prices'!$B$563</f>
        <v>závěs s pružinou bez tlumení</v>
      </c>
      <c r="F60" s="433" t="str">
        <f>'Translate &amp; Prices'!$B$565</f>
        <v>stříbrná</v>
      </c>
      <c r="G60" s="433" t="str">
        <f t="shared" si="2"/>
        <v>350835 - závěs s pružinou bez tlumení - stříbrná</v>
      </c>
      <c r="H60" s="434" t="s">
        <v>2255</v>
      </c>
      <c r="I60" s="434">
        <v>350835</v>
      </c>
      <c r="J60" s="434" t="s">
        <v>2255</v>
      </c>
      <c r="K60" s="434" t="s">
        <v>2255</v>
      </c>
      <c r="L60" s="434" t="s">
        <v>2255</v>
      </c>
      <c r="M60" s="434" t="s">
        <v>2255</v>
      </c>
      <c r="N60" s="434" t="s">
        <v>2255</v>
      </c>
      <c r="O60" s="434" t="s">
        <v>2255</v>
      </c>
      <c r="P60" s="434" t="s">
        <v>2255</v>
      </c>
      <c r="Q60" s="433"/>
      <c r="R60" s="433"/>
      <c r="S60" s="433"/>
    </row>
    <row r="61" spans="1:19" ht="16.05" customHeight="1" x14ac:dyDescent="0.3">
      <c r="A61" s="438" t="s">
        <v>2264</v>
      </c>
      <c r="B61" s="438" t="s">
        <v>2262</v>
      </c>
      <c r="C61" s="438" t="str">
        <f>'Translate &amp; Prices'!B534</f>
        <v>Polonaložený</v>
      </c>
      <c r="D61" s="431" t="str">
        <f t="shared" si="0"/>
        <v>široký_STRONG PLUS_Polonaložený</v>
      </c>
      <c r="E61" s="438" t="str">
        <f>'Translate &amp; Prices'!$B$564</f>
        <v>tip-on závěs bez pružiny/tlumení</v>
      </c>
      <c r="F61" s="433" t="str">
        <f>'Translate &amp; Prices'!$B$565</f>
        <v>stříbrná</v>
      </c>
      <c r="G61" s="433" t="str">
        <f t="shared" si="2"/>
        <v>350838 - tip-on závěs bez pružiny/tlumení - stříbrná</v>
      </c>
      <c r="H61" s="434" t="s">
        <v>2255</v>
      </c>
      <c r="I61" s="434">
        <v>350838</v>
      </c>
      <c r="J61" s="434" t="s">
        <v>2255</v>
      </c>
      <c r="K61" s="434" t="s">
        <v>2255</v>
      </c>
      <c r="L61" s="434" t="s">
        <v>2255</v>
      </c>
      <c r="M61" s="434" t="s">
        <v>2255</v>
      </c>
      <c r="N61" s="434" t="s">
        <v>2255</v>
      </c>
      <c r="O61" s="434" t="s">
        <v>2255</v>
      </c>
      <c r="P61" s="434" t="s">
        <v>2255</v>
      </c>
      <c r="Q61" s="433"/>
      <c r="R61" s="433"/>
      <c r="S61" s="433"/>
    </row>
    <row r="62" spans="1:19" ht="16.05" customHeight="1" x14ac:dyDescent="0.3">
      <c r="A62" s="433" t="s">
        <v>2264</v>
      </c>
      <c r="B62" s="433" t="s">
        <v>2262</v>
      </c>
      <c r="C62" s="433" t="str">
        <f>'Translate &amp; Prices'!B535</f>
        <v>Vložený</v>
      </c>
      <c r="D62" s="431" t="str">
        <f t="shared" si="0"/>
        <v>široký_STRONG PLUS_Vložený</v>
      </c>
      <c r="E62" s="433" t="str">
        <f>'Translate &amp; Prices'!$B$562</f>
        <v>závěs s pružinou a tlumením</v>
      </c>
      <c r="F62" s="433" t="str">
        <f>'Translate &amp; Prices'!$B$565</f>
        <v>stříbrná</v>
      </c>
      <c r="G62" s="433" t="str">
        <f t="shared" si="2"/>
        <v>350829 - závěs s pružinou a tlumením - stříbrná</v>
      </c>
      <c r="H62" s="434" t="s">
        <v>2255</v>
      </c>
      <c r="I62" s="434">
        <v>350829</v>
      </c>
      <c r="J62" s="434" t="s">
        <v>2255</v>
      </c>
      <c r="K62" s="434" t="s">
        <v>2255</v>
      </c>
      <c r="L62" s="434" t="s">
        <v>2255</v>
      </c>
      <c r="M62" s="434" t="s">
        <v>2255</v>
      </c>
      <c r="N62" s="434" t="s">
        <v>2255</v>
      </c>
      <c r="O62" s="434" t="s">
        <v>2255</v>
      </c>
      <c r="P62" s="434" t="s">
        <v>2255</v>
      </c>
      <c r="Q62" s="433"/>
      <c r="R62" s="433"/>
      <c r="S62" s="433"/>
    </row>
    <row r="63" spans="1:19" ht="16.05" customHeight="1" x14ac:dyDescent="0.3">
      <c r="A63" s="433" t="s">
        <v>2264</v>
      </c>
      <c r="B63" s="433" t="s">
        <v>2262</v>
      </c>
      <c r="C63" s="433" t="str">
        <f>'Translate &amp; Prices'!B535</f>
        <v>Vložený</v>
      </c>
      <c r="D63" s="431" t="str">
        <f t="shared" si="0"/>
        <v>široký_STRONG PLUS_Vložený</v>
      </c>
      <c r="E63" s="433" t="str">
        <f>'Translate &amp; Prices'!$B$563</f>
        <v>závěs s pružinou bez tlumení</v>
      </c>
      <c r="F63" s="433" t="str">
        <f>'Translate &amp; Prices'!$B$565</f>
        <v>stříbrná</v>
      </c>
      <c r="G63" s="433" t="str">
        <f t="shared" si="2"/>
        <v>350836 - závěs s pružinou bez tlumení - stříbrná</v>
      </c>
      <c r="H63" s="434" t="s">
        <v>2255</v>
      </c>
      <c r="I63" s="434">
        <v>350836</v>
      </c>
      <c r="J63" s="434" t="s">
        <v>2255</v>
      </c>
      <c r="K63" s="434" t="s">
        <v>2255</v>
      </c>
      <c r="L63" s="434" t="s">
        <v>2255</v>
      </c>
      <c r="M63" s="434" t="s">
        <v>2255</v>
      </c>
      <c r="N63" s="434" t="s">
        <v>2255</v>
      </c>
      <c r="O63" s="434" t="s">
        <v>2255</v>
      </c>
      <c r="P63" s="434" t="s">
        <v>2255</v>
      </c>
      <c r="Q63" s="433"/>
      <c r="R63" s="433"/>
      <c r="S63" s="433"/>
    </row>
    <row r="64" spans="1:19" ht="16.05" customHeight="1" x14ac:dyDescent="0.3">
      <c r="A64" s="433" t="s">
        <v>2264</v>
      </c>
      <c r="B64" s="433" t="s">
        <v>2262</v>
      </c>
      <c r="C64" s="433" t="str">
        <f>'Translate &amp; Prices'!B535</f>
        <v>Vložený</v>
      </c>
      <c r="D64" s="431" t="str">
        <f t="shared" si="0"/>
        <v>široký_STRONG PLUS_Vložený</v>
      </c>
      <c r="E64" s="433" t="str">
        <f>'Translate &amp; Prices'!$B$564</f>
        <v>tip-on závěs bez pružiny/tlumení</v>
      </c>
      <c r="F64" s="433" t="str">
        <f>'Translate &amp; Prices'!$B$565</f>
        <v>stříbrná</v>
      </c>
      <c r="G64" s="433" t="str">
        <f t="shared" si="2"/>
        <v>350839 - tip-on závěs bez pružiny/tlumení - stříbrná</v>
      </c>
      <c r="H64" s="434" t="s">
        <v>2255</v>
      </c>
      <c r="I64" s="434">
        <v>350839</v>
      </c>
      <c r="J64" s="434" t="s">
        <v>2255</v>
      </c>
      <c r="K64" s="434" t="s">
        <v>2255</v>
      </c>
      <c r="L64" s="434" t="s">
        <v>2255</v>
      </c>
      <c r="M64" s="434" t="s">
        <v>2255</v>
      </c>
      <c r="N64" s="434" t="s">
        <v>2255</v>
      </c>
      <c r="O64" s="434" t="s">
        <v>2255</v>
      </c>
      <c r="P64" s="434" t="s">
        <v>2255</v>
      </c>
      <c r="Q64" s="433"/>
      <c r="R64" s="433"/>
      <c r="S64" s="433"/>
    </row>
    <row r="65" spans="1:19" ht="16.05" customHeight="1" x14ac:dyDescent="0.3">
      <c r="Q65" s="433"/>
      <c r="R65" s="433"/>
      <c r="S65" s="433"/>
    </row>
    <row r="67" spans="1:19" ht="16.05" customHeight="1" x14ac:dyDescent="0.3">
      <c r="A67" s="438" t="s">
        <v>2369</v>
      </c>
      <c r="B67" s="438" t="s">
        <v>2369</v>
      </c>
      <c r="C67" s="433" t="s">
        <v>363</v>
      </c>
    </row>
    <row r="68" spans="1:19" ht="16.05" customHeight="1" x14ac:dyDescent="0.3">
      <c r="A68" s="438" t="s">
        <v>2369</v>
      </c>
      <c r="B68" s="438" t="s">
        <v>2369</v>
      </c>
      <c r="C68" s="433" t="s">
        <v>363</v>
      </c>
    </row>
    <row r="69" spans="1:19" ht="16.05" customHeight="1" x14ac:dyDescent="0.3">
      <c r="A69" s="438" t="s">
        <v>2369</v>
      </c>
      <c r="B69" s="438" t="s">
        <v>2369</v>
      </c>
      <c r="C69" s="433" t="s">
        <v>363</v>
      </c>
    </row>
    <row r="70" spans="1:19" ht="16.05" customHeight="1" x14ac:dyDescent="0.3">
      <c r="A70" s="438" t="s">
        <v>2369</v>
      </c>
      <c r="B70" s="438" t="s">
        <v>2369</v>
      </c>
      <c r="C70" s="433" t="s">
        <v>363</v>
      </c>
    </row>
    <row r="71" spans="1:19" ht="16.05" customHeight="1" x14ac:dyDescent="0.3">
      <c r="A71" s="438" t="s">
        <v>2370</v>
      </c>
      <c r="B71" s="438" t="s">
        <v>2370</v>
      </c>
      <c r="C71" s="433" t="s">
        <v>363</v>
      </c>
    </row>
    <row r="72" spans="1:19" ht="16.05" customHeight="1" x14ac:dyDescent="0.3">
      <c r="A72" s="438" t="s">
        <v>2370</v>
      </c>
      <c r="B72" s="438" t="s">
        <v>2370</v>
      </c>
      <c r="C72" s="433" t="s">
        <v>363</v>
      </c>
    </row>
    <row r="73" spans="1:19" ht="16.05" customHeight="1" x14ac:dyDescent="0.3">
      <c r="A73" s="438" t="s">
        <v>2371</v>
      </c>
      <c r="B73" s="438" t="s">
        <v>2371</v>
      </c>
      <c r="C73" s="433" t="s">
        <v>363</v>
      </c>
    </row>
    <row r="74" spans="1:19" ht="16.05" customHeight="1" x14ac:dyDescent="0.3">
      <c r="A74" s="438" t="s">
        <v>2371</v>
      </c>
      <c r="B74" s="438" t="s">
        <v>2371</v>
      </c>
      <c r="C74" s="433" t="s">
        <v>363</v>
      </c>
    </row>
    <row r="75" spans="1:19" ht="16.05" customHeight="1" x14ac:dyDescent="0.3">
      <c r="A75" s="438" t="s">
        <v>2372</v>
      </c>
      <c r="B75" s="438" t="s">
        <v>2372</v>
      </c>
      <c r="C75" s="433" t="s">
        <v>363</v>
      </c>
    </row>
    <row r="76" spans="1:19" ht="16.05" customHeight="1" x14ac:dyDescent="0.3">
      <c r="A76" s="438" t="s">
        <v>2372</v>
      </c>
      <c r="B76" s="438" t="s">
        <v>2372</v>
      </c>
      <c r="C76" s="433" t="s">
        <v>363</v>
      </c>
    </row>
    <row r="77" spans="1:19" ht="16.05" customHeight="1" x14ac:dyDescent="0.3">
      <c r="A77" s="438" t="s">
        <v>2372</v>
      </c>
      <c r="B77" s="438" t="s">
        <v>2372</v>
      </c>
      <c r="C77" s="433" t="s">
        <v>363</v>
      </c>
    </row>
    <row r="78" spans="1:19" ht="16.05" customHeight="1" x14ac:dyDescent="0.3">
      <c r="A78" s="438" t="s">
        <v>2372</v>
      </c>
      <c r="B78" s="438" t="s">
        <v>2372</v>
      </c>
      <c r="C78" s="433" t="s">
        <v>363</v>
      </c>
    </row>
    <row r="79" spans="1:19" ht="16.05" customHeight="1" x14ac:dyDescent="0.3">
      <c r="A79" s="438" t="s">
        <v>2373</v>
      </c>
      <c r="B79" s="438" t="s">
        <v>2373</v>
      </c>
      <c r="C79" s="433" t="s">
        <v>363</v>
      </c>
    </row>
    <row r="80" spans="1:19" ht="16.05" customHeight="1" x14ac:dyDescent="0.3">
      <c r="A80" s="438" t="s">
        <v>2373</v>
      </c>
      <c r="B80" s="438" t="s">
        <v>2373</v>
      </c>
      <c r="C80" s="433" t="s">
        <v>363</v>
      </c>
    </row>
    <row r="81" spans="1:3" ht="16.05" customHeight="1" x14ac:dyDescent="0.3">
      <c r="A81" s="438" t="s">
        <v>2373</v>
      </c>
      <c r="B81" s="438" t="s">
        <v>2373</v>
      </c>
      <c r="C81" s="433" t="s">
        <v>363</v>
      </c>
    </row>
    <row r="82" spans="1:3" ht="16.05" customHeight="1" x14ac:dyDescent="0.3">
      <c r="A82" s="438" t="s">
        <v>2374</v>
      </c>
      <c r="B82" s="438" t="s">
        <v>2374</v>
      </c>
      <c r="C82" s="433" t="s">
        <v>363</v>
      </c>
    </row>
    <row r="83" spans="1:3" ht="16.05" customHeight="1" x14ac:dyDescent="0.3">
      <c r="A83" s="438" t="s">
        <v>2374</v>
      </c>
      <c r="B83" s="438" t="s">
        <v>2374</v>
      </c>
      <c r="C83" s="433" t="s">
        <v>363</v>
      </c>
    </row>
    <row r="84" spans="1:3" ht="16.05" customHeight="1" x14ac:dyDescent="0.3">
      <c r="A84" s="438" t="s">
        <v>2374</v>
      </c>
      <c r="B84" s="438" t="s">
        <v>2374</v>
      </c>
      <c r="C84" s="433" t="s">
        <v>363</v>
      </c>
    </row>
    <row r="85" spans="1:3" ht="16.05" customHeight="1" x14ac:dyDescent="0.3">
      <c r="A85" s="438" t="s">
        <v>2375</v>
      </c>
      <c r="B85" s="438" t="s">
        <v>2375</v>
      </c>
      <c r="C85" s="433" t="s">
        <v>363</v>
      </c>
    </row>
    <row r="86" spans="1:3" ht="16.05" customHeight="1" x14ac:dyDescent="0.3">
      <c r="A86" s="438" t="s">
        <v>2376</v>
      </c>
      <c r="B86" s="438" t="s">
        <v>2376</v>
      </c>
      <c r="C86" s="433" t="s">
        <v>363</v>
      </c>
    </row>
    <row r="87" spans="1:3" ht="16.05" customHeight="1" x14ac:dyDescent="0.3">
      <c r="A87" s="438" t="s">
        <v>2376</v>
      </c>
      <c r="B87" s="438" t="s">
        <v>2376</v>
      </c>
      <c r="C87" s="433" t="s">
        <v>363</v>
      </c>
    </row>
    <row r="88" spans="1:3" ht="16.05" customHeight="1" x14ac:dyDescent="0.3">
      <c r="A88" s="438" t="s">
        <v>2377</v>
      </c>
      <c r="B88" s="438" t="s">
        <v>2377</v>
      </c>
      <c r="C88" s="433" t="s">
        <v>363</v>
      </c>
    </row>
    <row r="89" spans="1:3" ht="16.05" customHeight="1" x14ac:dyDescent="0.3">
      <c r="A89" s="438" t="s">
        <v>2377</v>
      </c>
      <c r="B89" s="438" t="s">
        <v>2377</v>
      </c>
      <c r="C89" s="433" t="s">
        <v>363</v>
      </c>
    </row>
    <row r="90" spans="1:3" ht="16.05" customHeight="1" x14ac:dyDescent="0.3">
      <c r="A90" s="438" t="s">
        <v>2377</v>
      </c>
      <c r="B90" s="438" t="s">
        <v>2377</v>
      </c>
      <c r="C90" s="433" t="s">
        <v>363</v>
      </c>
    </row>
    <row r="91" spans="1:3" ht="16.05" customHeight="1" x14ac:dyDescent="0.3">
      <c r="A91" s="438" t="s">
        <v>2377</v>
      </c>
      <c r="B91" s="438" t="s">
        <v>2377</v>
      </c>
      <c r="C91" s="433" t="s">
        <v>363</v>
      </c>
    </row>
    <row r="92" spans="1:3" ht="16.05" customHeight="1" x14ac:dyDescent="0.3">
      <c r="A92" s="438" t="s">
        <v>2378</v>
      </c>
      <c r="B92" s="438" t="s">
        <v>2378</v>
      </c>
      <c r="C92" s="433" t="s">
        <v>363</v>
      </c>
    </row>
    <row r="93" spans="1:3" ht="16.05" customHeight="1" x14ac:dyDescent="0.3">
      <c r="A93" s="438" t="s">
        <v>2378</v>
      </c>
      <c r="B93" s="438" t="s">
        <v>2378</v>
      </c>
      <c r="C93" s="433" t="s">
        <v>363</v>
      </c>
    </row>
    <row r="94" spans="1:3" ht="16.05" customHeight="1" x14ac:dyDescent="0.3">
      <c r="A94" s="438" t="s">
        <v>2378</v>
      </c>
      <c r="B94" s="438" t="s">
        <v>2378</v>
      </c>
      <c r="C94" s="433" t="s">
        <v>363</v>
      </c>
    </row>
    <row r="95" spans="1:3" ht="16.05" customHeight="1" x14ac:dyDescent="0.3">
      <c r="A95" s="438" t="s">
        <v>2378</v>
      </c>
      <c r="B95" s="438" t="s">
        <v>2378</v>
      </c>
      <c r="C95" s="433" t="s">
        <v>363</v>
      </c>
    </row>
    <row r="96" spans="1:3" ht="16.05" customHeight="1" x14ac:dyDescent="0.3">
      <c r="A96" s="438" t="s">
        <v>2379</v>
      </c>
      <c r="B96" s="438" t="s">
        <v>2379</v>
      </c>
      <c r="C96" s="433" t="s">
        <v>363</v>
      </c>
    </row>
    <row r="97" spans="1:3" ht="16.05" customHeight="1" x14ac:dyDescent="0.3">
      <c r="A97" s="438" t="s">
        <v>2379</v>
      </c>
      <c r="B97" s="438" t="s">
        <v>2379</v>
      </c>
      <c r="C97" s="433" t="s">
        <v>363</v>
      </c>
    </row>
    <row r="98" spans="1:3" ht="16.05" customHeight="1" x14ac:dyDescent="0.3">
      <c r="A98" s="438" t="s">
        <v>2379</v>
      </c>
      <c r="B98" s="438" t="s">
        <v>2379</v>
      </c>
      <c r="C98" s="433" t="s">
        <v>363</v>
      </c>
    </row>
    <row r="99" spans="1:3" ht="16.05" customHeight="1" x14ac:dyDescent="0.3">
      <c r="A99" s="438" t="s">
        <v>2379</v>
      </c>
      <c r="B99" s="438" t="s">
        <v>2379</v>
      </c>
      <c r="C99" s="433" t="s">
        <v>363</v>
      </c>
    </row>
    <row r="100" spans="1:3" ht="16.05" customHeight="1" x14ac:dyDescent="0.3">
      <c r="A100" s="438" t="s">
        <v>2380</v>
      </c>
      <c r="B100" s="438" t="s">
        <v>2380</v>
      </c>
      <c r="C100" s="433" t="s">
        <v>363</v>
      </c>
    </row>
    <row r="101" spans="1:3" ht="16.05" customHeight="1" x14ac:dyDescent="0.3">
      <c r="A101" s="438" t="s">
        <v>2380</v>
      </c>
      <c r="B101" s="438" t="s">
        <v>2380</v>
      </c>
      <c r="C101" s="433" t="s">
        <v>363</v>
      </c>
    </row>
    <row r="102" spans="1:3" ht="16.05" customHeight="1" x14ac:dyDescent="0.3">
      <c r="A102" s="438" t="s">
        <v>2380</v>
      </c>
      <c r="B102" s="438" t="s">
        <v>2380</v>
      </c>
      <c r="C102" s="433" t="s">
        <v>363</v>
      </c>
    </row>
    <row r="103" spans="1:3" ht="16.05" customHeight="1" x14ac:dyDescent="0.3">
      <c r="A103" s="438" t="s">
        <v>2380</v>
      </c>
      <c r="B103" s="438" t="s">
        <v>2380</v>
      </c>
      <c r="C103" s="433" t="s">
        <v>363</v>
      </c>
    </row>
    <row r="104" spans="1:3" ht="16.05" customHeight="1" x14ac:dyDescent="0.3">
      <c r="A104" s="438" t="s">
        <v>2380</v>
      </c>
      <c r="B104" s="438" t="s">
        <v>2380</v>
      </c>
      <c r="C104" s="433" t="s">
        <v>363</v>
      </c>
    </row>
    <row r="105" spans="1:3" ht="16.05" customHeight="1" x14ac:dyDescent="0.3">
      <c r="A105" s="438" t="s">
        <v>2381</v>
      </c>
      <c r="B105" s="438" t="s">
        <v>2381</v>
      </c>
      <c r="C105" s="433" t="s">
        <v>363</v>
      </c>
    </row>
    <row r="106" spans="1:3" ht="16.05" customHeight="1" x14ac:dyDescent="0.3">
      <c r="A106" s="438" t="s">
        <v>2381</v>
      </c>
      <c r="B106" s="438" t="s">
        <v>2381</v>
      </c>
      <c r="C106" s="433" t="s">
        <v>363</v>
      </c>
    </row>
    <row r="107" spans="1:3" ht="16.05" customHeight="1" x14ac:dyDescent="0.3">
      <c r="A107" s="438" t="s">
        <v>2381</v>
      </c>
      <c r="B107" s="438" t="s">
        <v>2381</v>
      </c>
      <c r="C107" s="433" t="s">
        <v>363</v>
      </c>
    </row>
    <row r="108" spans="1:3" ht="16.05" customHeight="1" x14ac:dyDescent="0.3">
      <c r="A108" s="438" t="s">
        <v>2381</v>
      </c>
      <c r="B108" s="438" t="s">
        <v>2381</v>
      </c>
      <c r="C108" s="433" t="s">
        <v>363</v>
      </c>
    </row>
    <row r="109" spans="1:3" ht="16.05" customHeight="1" x14ac:dyDescent="0.3">
      <c r="A109" s="438" t="s">
        <v>2381</v>
      </c>
      <c r="B109" s="438" t="s">
        <v>2381</v>
      </c>
      <c r="C109" s="433" t="s">
        <v>363</v>
      </c>
    </row>
    <row r="110" spans="1:3" ht="16.05" customHeight="1" x14ac:dyDescent="0.3">
      <c r="A110" s="438" t="s">
        <v>2382</v>
      </c>
      <c r="B110" s="438" t="s">
        <v>2382</v>
      </c>
      <c r="C110" s="433" t="s">
        <v>363</v>
      </c>
    </row>
    <row r="111" spans="1:3" ht="16.05" customHeight="1" x14ac:dyDescent="0.3">
      <c r="A111" s="438" t="s">
        <v>2382</v>
      </c>
      <c r="B111" s="438" t="s">
        <v>2382</v>
      </c>
      <c r="C111" s="433" t="s">
        <v>363</v>
      </c>
    </row>
    <row r="112" spans="1:3" ht="16.05" customHeight="1" x14ac:dyDescent="0.3">
      <c r="A112" s="438" t="s">
        <v>2382</v>
      </c>
      <c r="B112" s="438" t="s">
        <v>2382</v>
      </c>
      <c r="C112" s="433" t="s">
        <v>363</v>
      </c>
    </row>
    <row r="113" spans="1:3" ht="16.05" customHeight="1" x14ac:dyDescent="0.3">
      <c r="A113" s="438" t="s">
        <v>2382</v>
      </c>
      <c r="B113" s="438" t="s">
        <v>2382</v>
      </c>
      <c r="C113" s="433" t="s">
        <v>363</v>
      </c>
    </row>
    <row r="114" spans="1:3" ht="16.05" customHeight="1" x14ac:dyDescent="0.3">
      <c r="A114" s="438" t="s">
        <v>2382</v>
      </c>
      <c r="B114" s="438" t="s">
        <v>2382</v>
      </c>
      <c r="C114" s="433" t="s">
        <v>363</v>
      </c>
    </row>
    <row r="115" spans="1:3" ht="16.05" customHeight="1" x14ac:dyDescent="0.3">
      <c r="A115" s="438" t="s">
        <v>2383</v>
      </c>
      <c r="B115" s="438" t="s">
        <v>2383</v>
      </c>
      <c r="C115" s="433" t="s">
        <v>363</v>
      </c>
    </row>
    <row r="116" spans="1:3" ht="16.05" customHeight="1" x14ac:dyDescent="0.3">
      <c r="A116" s="438" t="s">
        <v>2383</v>
      </c>
      <c r="B116" s="438" t="s">
        <v>2383</v>
      </c>
      <c r="C116" s="433" t="s">
        <v>363</v>
      </c>
    </row>
    <row r="117" spans="1:3" ht="16.05" customHeight="1" x14ac:dyDescent="0.3">
      <c r="A117" s="438" t="s">
        <v>2384</v>
      </c>
      <c r="B117" s="438" t="s">
        <v>2384</v>
      </c>
      <c r="C117" s="433" t="s">
        <v>363</v>
      </c>
    </row>
    <row r="118" spans="1:3" ht="16.05" customHeight="1" x14ac:dyDescent="0.3">
      <c r="A118" s="438" t="s">
        <v>2384</v>
      </c>
      <c r="B118" s="438" t="s">
        <v>2384</v>
      </c>
      <c r="C118" s="433" t="s">
        <v>363</v>
      </c>
    </row>
    <row r="119" spans="1:3" ht="16.05" customHeight="1" x14ac:dyDescent="0.3">
      <c r="A119" s="438" t="s">
        <v>2385</v>
      </c>
      <c r="B119" s="438" t="s">
        <v>2385</v>
      </c>
      <c r="C119" s="433" t="s">
        <v>363</v>
      </c>
    </row>
    <row r="120" spans="1:3" ht="16.05" customHeight="1" x14ac:dyDescent="0.3">
      <c r="A120" s="438" t="s">
        <v>2385</v>
      </c>
      <c r="B120" s="438" t="s">
        <v>2385</v>
      </c>
      <c r="C120" s="433" t="s">
        <v>363</v>
      </c>
    </row>
    <row r="121" spans="1:3" ht="16.05" customHeight="1" x14ac:dyDescent="0.3">
      <c r="A121" s="438" t="s">
        <v>2386</v>
      </c>
      <c r="B121" s="438" t="s">
        <v>2386</v>
      </c>
      <c r="C121" s="433" t="s">
        <v>363</v>
      </c>
    </row>
    <row r="122" spans="1:3" ht="16.05" customHeight="1" x14ac:dyDescent="0.3">
      <c r="A122" s="438" t="s">
        <v>2386</v>
      </c>
      <c r="B122" s="438" t="s">
        <v>2386</v>
      </c>
      <c r="C122" s="433" t="s">
        <v>363</v>
      </c>
    </row>
    <row r="123" spans="1:3" ht="16.05" customHeight="1" x14ac:dyDescent="0.3">
      <c r="A123" s="438" t="s">
        <v>2386</v>
      </c>
      <c r="B123" s="438" t="s">
        <v>2386</v>
      </c>
      <c r="C123" s="433" t="s">
        <v>363</v>
      </c>
    </row>
    <row r="124" spans="1:3" ht="16.05" customHeight="1" x14ac:dyDescent="0.3">
      <c r="A124" s="438" t="s">
        <v>2387</v>
      </c>
      <c r="B124" s="438" t="s">
        <v>2387</v>
      </c>
      <c r="C124" s="433" t="s">
        <v>363</v>
      </c>
    </row>
    <row r="125" spans="1:3" ht="16.05" customHeight="1" x14ac:dyDescent="0.3">
      <c r="A125" s="438" t="s">
        <v>2387</v>
      </c>
      <c r="B125" s="438" t="s">
        <v>2387</v>
      </c>
      <c r="C125" s="433" t="s">
        <v>363</v>
      </c>
    </row>
    <row r="126" spans="1:3" ht="16.05" customHeight="1" x14ac:dyDescent="0.3">
      <c r="A126" s="438" t="s">
        <v>2387</v>
      </c>
      <c r="B126" s="438" t="s">
        <v>2387</v>
      </c>
      <c r="C126" s="433" t="s">
        <v>363</v>
      </c>
    </row>
    <row r="127" spans="1:3" ht="16.05" customHeight="1" x14ac:dyDescent="0.3">
      <c r="A127" s="438" t="s">
        <v>2388</v>
      </c>
      <c r="B127" s="438" t="s">
        <v>2388</v>
      </c>
      <c r="C127" s="433" t="s">
        <v>363</v>
      </c>
    </row>
    <row r="128" spans="1:3" ht="16.05" customHeight="1" x14ac:dyDescent="0.3">
      <c r="A128" s="438" t="s">
        <v>2388</v>
      </c>
      <c r="B128" s="438" t="s">
        <v>2388</v>
      </c>
      <c r="C128" s="433" t="s">
        <v>363</v>
      </c>
    </row>
    <row r="129" spans="1:3" ht="16.05" customHeight="1" x14ac:dyDescent="0.3">
      <c r="A129" s="438" t="s">
        <v>2388</v>
      </c>
      <c r="B129" s="438" t="s">
        <v>2388</v>
      </c>
      <c r="C129" s="433" t="s">
        <v>363</v>
      </c>
    </row>
    <row r="130" spans="1:3" ht="16.05" customHeight="1" x14ac:dyDescent="0.3">
      <c r="A130" s="433" t="s">
        <v>2369</v>
      </c>
      <c r="B130" s="433" t="s">
        <v>2369</v>
      </c>
      <c r="C130" s="433" t="s">
        <v>364</v>
      </c>
    </row>
    <row r="131" spans="1:3" ht="16.05" customHeight="1" x14ac:dyDescent="0.3">
      <c r="A131" s="433" t="s">
        <v>2369</v>
      </c>
      <c r="B131" s="433" t="s">
        <v>2369</v>
      </c>
      <c r="C131" s="433" t="s">
        <v>364</v>
      </c>
    </row>
    <row r="132" spans="1:3" ht="16.05" customHeight="1" x14ac:dyDescent="0.3">
      <c r="A132" s="433" t="s">
        <v>2369</v>
      </c>
      <c r="B132" s="433" t="s">
        <v>2369</v>
      </c>
      <c r="C132" s="433" t="s">
        <v>364</v>
      </c>
    </row>
    <row r="133" spans="1:3" ht="16.05" customHeight="1" x14ac:dyDescent="0.3">
      <c r="A133" s="433" t="s">
        <v>2369</v>
      </c>
      <c r="B133" s="433" t="s">
        <v>2369</v>
      </c>
      <c r="C133" s="433" t="s">
        <v>364</v>
      </c>
    </row>
    <row r="134" spans="1:3" ht="16.05" customHeight="1" x14ac:dyDescent="0.3">
      <c r="A134" s="433" t="s">
        <v>2370</v>
      </c>
      <c r="B134" s="433" t="s">
        <v>2370</v>
      </c>
      <c r="C134" s="433" t="s">
        <v>364</v>
      </c>
    </row>
    <row r="135" spans="1:3" ht="16.05" customHeight="1" x14ac:dyDescent="0.3">
      <c r="A135" s="433" t="s">
        <v>2370</v>
      </c>
      <c r="B135" s="433" t="s">
        <v>2370</v>
      </c>
      <c r="C135" s="433" t="s">
        <v>364</v>
      </c>
    </row>
    <row r="136" spans="1:3" ht="16.05" customHeight="1" x14ac:dyDescent="0.3">
      <c r="A136" s="433" t="s">
        <v>2371</v>
      </c>
      <c r="B136" s="433" t="s">
        <v>2371</v>
      </c>
      <c r="C136" s="433" t="s">
        <v>364</v>
      </c>
    </row>
    <row r="137" spans="1:3" ht="16.05" customHeight="1" x14ac:dyDescent="0.3">
      <c r="A137" s="433" t="s">
        <v>2371</v>
      </c>
      <c r="B137" s="433" t="s">
        <v>2371</v>
      </c>
      <c r="C137" s="433" t="s">
        <v>364</v>
      </c>
    </row>
    <row r="138" spans="1:3" ht="16.05" customHeight="1" x14ac:dyDescent="0.3">
      <c r="A138" s="433" t="s">
        <v>2372</v>
      </c>
      <c r="B138" s="433" t="s">
        <v>2372</v>
      </c>
      <c r="C138" s="433" t="s">
        <v>364</v>
      </c>
    </row>
    <row r="139" spans="1:3" ht="16.05" customHeight="1" x14ac:dyDescent="0.3">
      <c r="A139" s="433" t="s">
        <v>2372</v>
      </c>
      <c r="B139" s="433" t="s">
        <v>2372</v>
      </c>
      <c r="C139" s="433" t="s">
        <v>364</v>
      </c>
    </row>
    <row r="140" spans="1:3" ht="16.05" customHeight="1" x14ac:dyDescent="0.3">
      <c r="A140" s="433" t="s">
        <v>2372</v>
      </c>
      <c r="B140" s="433" t="s">
        <v>2372</v>
      </c>
      <c r="C140" s="433" t="s">
        <v>364</v>
      </c>
    </row>
    <row r="141" spans="1:3" ht="16.05" customHeight="1" x14ac:dyDescent="0.3">
      <c r="A141" s="433" t="s">
        <v>2372</v>
      </c>
      <c r="B141" s="433" t="s">
        <v>2372</v>
      </c>
      <c r="C141" s="433" t="s">
        <v>364</v>
      </c>
    </row>
    <row r="142" spans="1:3" ht="16.05" customHeight="1" x14ac:dyDescent="0.3">
      <c r="A142" s="433" t="s">
        <v>2373</v>
      </c>
      <c r="B142" s="433" t="s">
        <v>2373</v>
      </c>
      <c r="C142" s="433" t="s">
        <v>364</v>
      </c>
    </row>
    <row r="143" spans="1:3" ht="16.05" customHeight="1" x14ac:dyDescent="0.3">
      <c r="A143" s="433" t="s">
        <v>2373</v>
      </c>
      <c r="B143" s="433" t="s">
        <v>2373</v>
      </c>
      <c r="C143" s="433" t="s">
        <v>364</v>
      </c>
    </row>
    <row r="144" spans="1:3" ht="16.05" customHeight="1" x14ac:dyDescent="0.3">
      <c r="A144" s="433" t="s">
        <v>2373</v>
      </c>
      <c r="B144" s="433" t="s">
        <v>2373</v>
      </c>
      <c r="C144" s="433" t="s">
        <v>364</v>
      </c>
    </row>
    <row r="145" spans="1:3" ht="16.05" customHeight="1" x14ac:dyDescent="0.3">
      <c r="A145" s="433" t="s">
        <v>2374</v>
      </c>
      <c r="B145" s="433" t="s">
        <v>2374</v>
      </c>
      <c r="C145" s="433" t="s">
        <v>364</v>
      </c>
    </row>
    <row r="146" spans="1:3" ht="16.05" customHeight="1" x14ac:dyDescent="0.3">
      <c r="A146" s="433" t="s">
        <v>2374</v>
      </c>
      <c r="B146" s="433" t="s">
        <v>2374</v>
      </c>
      <c r="C146" s="433" t="s">
        <v>364</v>
      </c>
    </row>
    <row r="147" spans="1:3" ht="16.05" customHeight="1" x14ac:dyDescent="0.3">
      <c r="A147" s="433" t="s">
        <v>2374</v>
      </c>
      <c r="B147" s="433" t="s">
        <v>2374</v>
      </c>
      <c r="C147" s="433" t="s">
        <v>364</v>
      </c>
    </row>
    <row r="148" spans="1:3" ht="16.05" customHeight="1" x14ac:dyDescent="0.3">
      <c r="A148" s="433" t="s">
        <v>2375</v>
      </c>
      <c r="B148" s="433" t="s">
        <v>2375</v>
      </c>
      <c r="C148" s="433" t="s">
        <v>364</v>
      </c>
    </row>
    <row r="149" spans="1:3" ht="16.05" customHeight="1" x14ac:dyDescent="0.3">
      <c r="A149" s="433" t="s">
        <v>2376</v>
      </c>
      <c r="B149" s="433" t="s">
        <v>2376</v>
      </c>
      <c r="C149" s="433" t="s">
        <v>364</v>
      </c>
    </row>
    <row r="150" spans="1:3" ht="16.05" customHeight="1" x14ac:dyDescent="0.3">
      <c r="A150" s="433" t="s">
        <v>2376</v>
      </c>
      <c r="B150" s="433" t="s">
        <v>2376</v>
      </c>
      <c r="C150" s="433" t="s">
        <v>364</v>
      </c>
    </row>
    <row r="151" spans="1:3" ht="16.05" customHeight="1" x14ac:dyDescent="0.3">
      <c r="A151" s="433" t="s">
        <v>2377</v>
      </c>
      <c r="B151" s="433" t="s">
        <v>2377</v>
      </c>
      <c r="C151" s="433" t="s">
        <v>364</v>
      </c>
    </row>
    <row r="152" spans="1:3" ht="16.05" customHeight="1" x14ac:dyDescent="0.3">
      <c r="A152" s="433" t="s">
        <v>2377</v>
      </c>
      <c r="B152" s="433" t="s">
        <v>2377</v>
      </c>
      <c r="C152" s="433" t="s">
        <v>364</v>
      </c>
    </row>
    <row r="153" spans="1:3" ht="16.05" customHeight="1" x14ac:dyDescent="0.3">
      <c r="A153" s="433" t="s">
        <v>2377</v>
      </c>
      <c r="B153" s="433" t="s">
        <v>2377</v>
      </c>
      <c r="C153" s="433" t="s">
        <v>364</v>
      </c>
    </row>
    <row r="154" spans="1:3" ht="16.05" customHeight="1" x14ac:dyDescent="0.3">
      <c r="A154" s="433" t="s">
        <v>2377</v>
      </c>
      <c r="B154" s="433" t="s">
        <v>2377</v>
      </c>
      <c r="C154" s="433" t="s">
        <v>364</v>
      </c>
    </row>
    <row r="155" spans="1:3" ht="16.05" customHeight="1" x14ac:dyDescent="0.3">
      <c r="A155" s="433" t="s">
        <v>2378</v>
      </c>
      <c r="B155" s="433" t="s">
        <v>2378</v>
      </c>
      <c r="C155" s="433" t="s">
        <v>364</v>
      </c>
    </row>
    <row r="156" spans="1:3" ht="16.05" customHeight="1" x14ac:dyDescent="0.3">
      <c r="A156" s="433" t="s">
        <v>2378</v>
      </c>
      <c r="B156" s="433" t="s">
        <v>2378</v>
      </c>
      <c r="C156" s="433" t="s">
        <v>364</v>
      </c>
    </row>
    <row r="157" spans="1:3" ht="16.05" customHeight="1" x14ac:dyDescent="0.3">
      <c r="A157" s="433" t="s">
        <v>2378</v>
      </c>
      <c r="B157" s="433" t="s">
        <v>2378</v>
      </c>
      <c r="C157" s="433" t="s">
        <v>364</v>
      </c>
    </row>
    <row r="158" spans="1:3" ht="16.05" customHeight="1" x14ac:dyDescent="0.3">
      <c r="A158" s="433" t="s">
        <v>2378</v>
      </c>
      <c r="B158" s="433" t="s">
        <v>2378</v>
      </c>
      <c r="C158" s="433" t="s">
        <v>364</v>
      </c>
    </row>
    <row r="159" spans="1:3" ht="16.05" customHeight="1" x14ac:dyDescent="0.3">
      <c r="A159" s="433" t="s">
        <v>2379</v>
      </c>
      <c r="B159" s="433" t="s">
        <v>2379</v>
      </c>
      <c r="C159" s="433" t="s">
        <v>364</v>
      </c>
    </row>
    <row r="160" spans="1:3" ht="16.05" customHeight="1" x14ac:dyDescent="0.3">
      <c r="A160" s="433" t="s">
        <v>2379</v>
      </c>
      <c r="B160" s="433" t="s">
        <v>2379</v>
      </c>
      <c r="C160" s="433" t="s">
        <v>364</v>
      </c>
    </row>
    <row r="161" spans="1:3" ht="16.05" customHeight="1" x14ac:dyDescent="0.3">
      <c r="A161" s="433" t="s">
        <v>2379</v>
      </c>
      <c r="B161" s="433" t="s">
        <v>2379</v>
      </c>
      <c r="C161" s="433" t="s">
        <v>364</v>
      </c>
    </row>
    <row r="162" spans="1:3" ht="16.05" customHeight="1" x14ac:dyDescent="0.3">
      <c r="A162" s="433" t="s">
        <v>2379</v>
      </c>
      <c r="B162" s="433" t="s">
        <v>2379</v>
      </c>
      <c r="C162" s="433" t="s">
        <v>364</v>
      </c>
    </row>
    <row r="163" spans="1:3" ht="16.05" customHeight="1" x14ac:dyDescent="0.3">
      <c r="A163" s="433" t="s">
        <v>2380</v>
      </c>
      <c r="B163" s="433" t="s">
        <v>2380</v>
      </c>
      <c r="C163" s="433" t="s">
        <v>364</v>
      </c>
    </row>
    <row r="164" spans="1:3" ht="16.05" customHeight="1" x14ac:dyDescent="0.3">
      <c r="A164" s="433" t="s">
        <v>2380</v>
      </c>
      <c r="B164" s="433" t="s">
        <v>2380</v>
      </c>
      <c r="C164" s="433" t="s">
        <v>364</v>
      </c>
    </row>
    <row r="165" spans="1:3" ht="16.05" customHeight="1" x14ac:dyDescent="0.3">
      <c r="A165" s="433" t="s">
        <v>2380</v>
      </c>
      <c r="B165" s="433" t="s">
        <v>2380</v>
      </c>
      <c r="C165" s="433" t="s">
        <v>364</v>
      </c>
    </row>
    <row r="166" spans="1:3" ht="16.05" customHeight="1" x14ac:dyDescent="0.3">
      <c r="A166" s="433" t="s">
        <v>2380</v>
      </c>
      <c r="B166" s="433" t="s">
        <v>2380</v>
      </c>
      <c r="C166" s="433" t="s">
        <v>364</v>
      </c>
    </row>
    <row r="167" spans="1:3" ht="16.05" customHeight="1" x14ac:dyDescent="0.3">
      <c r="A167" s="433" t="s">
        <v>2380</v>
      </c>
      <c r="B167" s="433" t="s">
        <v>2380</v>
      </c>
      <c r="C167" s="433" t="s">
        <v>364</v>
      </c>
    </row>
    <row r="168" spans="1:3" ht="16.05" customHeight="1" x14ac:dyDescent="0.3">
      <c r="A168" s="433" t="s">
        <v>2381</v>
      </c>
      <c r="B168" s="433" t="s">
        <v>2381</v>
      </c>
      <c r="C168" s="433" t="s">
        <v>364</v>
      </c>
    </row>
    <row r="169" spans="1:3" ht="16.05" customHeight="1" x14ac:dyDescent="0.3">
      <c r="A169" s="433" t="s">
        <v>2381</v>
      </c>
      <c r="B169" s="433" t="s">
        <v>2381</v>
      </c>
      <c r="C169" s="433" t="s">
        <v>364</v>
      </c>
    </row>
    <row r="170" spans="1:3" ht="16.05" customHeight="1" x14ac:dyDescent="0.3">
      <c r="A170" s="433" t="s">
        <v>2381</v>
      </c>
      <c r="B170" s="433" t="s">
        <v>2381</v>
      </c>
      <c r="C170" s="433" t="s">
        <v>364</v>
      </c>
    </row>
    <row r="171" spans="1:3" ht="16.05" customHeight="1" x14ac:dyDescent="0.3">
      <c r="A171" s="433" t="s">
        <v>2381</v>
      </c>
      <c r="B171" s="433" t="s">
        <v>2381</v>
      </c>
      <c r="C171" s="433" t="s">
        <v>364</v>
      </c>
    </row>
    <row r="172" spans="1:3" ht="16.05" customHeight="1" x14ac:dyDescent="0.3">
      <c r="A172" s="433" t="s">
        <v>2381</v>
      </c>
      <c r="B172" s="433" t="s">
        <v>2381</v>
      </c>
      <c r="C172" s="433" t="s">
        <v>364</v>
      </c>
    </row>
    <row r="173" spans="1:3" ht="16.05" customHeight="1" x14ac:dyDescent="0.3">
      <c r="A173" s="433" t="s">
        <v>2382</v>
      </c>
      <c r="B173" s="433" t="s">
        <v>2382</v>
      </c>
      <c r="C173" s="433" t="s">
        <v>364</v>
      </c>
    </row>
    <row r="174" spans="1:3" ht="16.05" customHeight="1" x14ac:dyDescent="0.3">
      <c r="A174" s="433" t="s">
        <v>2382</v>
      </c>
      <c r="B174" s="433" t="s">
        <v>2382</v>
      </c>
      <c r="C174" s="433" t="s">
        <v>364</v>
      </c>
    </row>
    <row r="175" spans="1:3" ht="16.05" customHeight="1" x14ac:dyDescent="0.3">
      <c r="A175" s="433" t="s">
        <v>2382</v>
      </c>
      <c r="B175" s="433" t="s">
        <v>2382</v>
      </c>
      <c r="C175" s="433" t="s">
        <v>364</v>
      </c>
    </row>
    <row r="176" spans="1:3" ht="16.05" customHeight="1" x14ac:dyDescent="0.3">
      <c r="A176" s="433" t="s">
        <v>2382</v>
      </c>
      <c r="B176" s="433" t="s">
        <v>2382</v>
      </c>
      <c r="C176" s="433" t="s">
        <v>364</v>
      </c>
    </row>
    <row r="177" spans="1:3" ht="16.05" customHeight="1" x14ac:dyDescent="0.3">
      <c r="A177" s="433" t="s">
        <v>2382</v>
      </c>
      <c r="B177" s="433" t="s">
        <v>2382</v>
      </c>
      <c r="C177" s="433" t="s">
        <v>364</v>
      </c>
    </row>
    <row r="178" spans="1:3" ht="16.05" customHeight="1" x14ac:dyDescent="0.3">
      <c r="A178" s="433" t="s">
        <v>2383</v>
      </c>
      <c r="B178" s="433" t="s">
        <v>2383</v>
      </c>
      <c r="C178" s="433" t="s">
        <v>364</v>
      </c>
    </row>
    <row r="179" spans="1:3" ht="16.05" customHeight="1" x14ac:dyDescent="0.3">
      <c r="A179" s="433" t="s">
        <v>2383</v>
      </c>
      <c r="B179" s="433" t="s">
        <v>2383</v>
      </c>
      <c r="C179" s="433" t="s">
        <v>364</v>
      </c>
    </row>
    <row r="180" spans="1:3" ht="16.05" customHeight="1" x14ac:dyDescent="0.3">
      <c r="A180" s="433" t="s">
        <v>2384</v>
      </c>
      <c r="B180" s="433" t="s">
        <v>2384</v>
      </c>
      <c r="C180" s="433" t="s">
        <v>364</v>
      </c>
    </row>
    <row r="181" spans="1:3" ht="16.05" customHeight="1" x14ac:dyDescent="0.3">
      <c r="A181" s="433" t="s">
        <v>2384</v>
      </c>
      <c r="B181" s="433" t="s">
        <v>2384</v>
      </c>
      <c r="C181" s="433" t="s">
        <v>364</v>
      </c>
    </row>
    <row r="182" spans="1:3" ht="16.05" customHeight="1" x14ac:dyDescent="0.3">
      <c r="A182" s="433" t="s">
        <v>2385</v>
      </c>
      <c r="B182" s="433" t="s">
        <v>2385</v>
      </c>
      <c r="C182" s="433" t="s">
        <v>364</v>
      </c>
    </row>
    <row r="183" spans="1:3" ht="16.05" customHeight="1" x14ac:dyDescent="0.3">
      <c r="A183" s="433" t="s">
        <v>2385</v>
      </c>
      <c r="B183" s="433" t="s">
        <v>2385</v>
      </c>
      <c r="C183" s="433" t="s">
        <v>364</v>
      </c>
    </row>
    <row r="184" spans="1:3" ht="16.05" customHeight="1" x14ac:dyDescent="0.3">
      <c r="A184" s="433" t="s">
        <v>2386</v>
      </c>
      <c r="B184" s="433" t="s">
        <v>2386</v>
      </c>
      <c r="C184" s="433" t="s">
        <v>364</v>
      </c>
    </row>
    <row r="185" spans="1:3" ht="16.05" customHeight="1" x14ac:dyDescent="0.3">
      <c r="A185" s="433" t="s">
        <v>2386</v>
      </c>
      <c r="B185" s="433" t="s">
        <v>2386</v>
      </c>
      <c r="C185" s="433" t="s">
        <v>364</v>
      </c>
    </row>
    <row r="186" spans="1:3" ht="16.05" customHeight="1" x14ac:dyDescent="0.3">
      <c r="A186" s="433" t="s">
        <v>2386</v>
      </c>
      <c r="B186" s="433" t="s">
        <v>2386</v>
      </c>
      <c r="C186" s="433" t="s">
        <v>364</v>
      </c>
    </row>
    <row r="187" spans="1:3" ht="16.05" customHeight="1" x14ac:dyDescent="0.3">
      <c r="A187" s="433" t="s">
        <v>2387</v>
      </c>
      <c r="B187" s="433" t="s">
        <v>2387</v>
      </c>
      <c r="C187" s="433" t="s">
        <v>364</v>
      </c>
    </row>
    <row r="188" spans="1:3" ht="16.05" customHeight="1" x14ac:dyDescent="0.3">
      <c r="A188" s="433" t="s">
        <v>2387</v>
      </c>
      <c r="B188" s="433" t="s">
        <v>2387</v>
      </c>
      <c r="C188" s="433" t="s">
        <v>364</v>
      </c>
    </row>
    <row r="189" spans="1:3" ht="16.05" customHeight="1" x14ac:dyDescent="0.3">
      <c r="A189" s="433" t="s">
        <v>2387</v>
      </c>
      <c r="B189" s="433" t="s">
        <v>2387</v>
      </c>
      <c r="C189" s="433" t="s">
        <v>364</v>
      </c>
    </row>
    <row r="190" spans="1:3" ht="16.05" customHeight="1" x14ac:dyDescent="0.3">
      <c r="A190" s="433" t="s">
        <v>2388</v>
      </c>
      <c r="B190" s="433" t="s">
        <v>2388</v>
      </c>
      <c r="C190" s="433" t="s">
        <v>364</v>
      </c>
    </row>
    <row r="191" spans="1:3" ht="16.05" customHeight="1" x14ac:dyDescent="0.3">
      <c r="A191" s="433" t="s">
        <v>2388</v>
      </c>
      <c r="B191" s="433" t="s">
        <v>2388</v>
      </c>
      <c r="C191" s="433" t="s">
        <v>364</v>
      </c>
    </row>
    <row r="192" spans="1:3" ht="16.05" customHeight="1" x14ac:dyDescent="0.3">
      <c r="A192" s="433" t="s">
        <v>2388</v>
      </c>
      <c r="B192" s="433" t="s">
        <v>2388</v>
      </c>
      <c r="C192" s="433" t="s">
        <v>364</v>
      </c>
    </row>
    <row r="193" spans="1:3" ht="16.05" customHeight="1" x14ac:dyDescent="0.3">
      <c r="A193" s="438" t="s">
        <v>2349</v>
      </c>
      <c r="B193" s="433" t="s">
        <v>2369</v>
      </c>
      <c r="C193" s="433" t="s">
        <v>135</v>
      </c>
    </row>
    <row r="194" spans="1:3" ht="16.05" customHeight="1" x14ac:dyDescent="0.3">
      <c r="A194" s="438" t="s">
        <v>2349</v>
      </c>
      <c r="B194" s="433" t="s">
        <v>2369</v>
      </c>
      <c r="C194" s="433" t="s">
        <v>135</v>
      </c>
    </row>
    <row r="195" spans="1:3" ht="16.05" customHeight="1" x14ac:dyDescent="0.3">
      <c r="A195" s="438" t="s">
        <v>2349</v>
      </c>
      <c r="B195" s="433" t="s">
        <v>2369</v>
      </c>
      <c r="C195" s="433" t="s">
        <v>135</v>
      </c>
    </row>
    <row r="196" spans="1:3" ht="16.05" customHeight="1" x14ac:dyDescent="0.3">
      <c r="A196" s="438" t="s">
        <v>2349</v>
      </c>
      <c r="B196" s="433" t="s">
        <v>2369</v>
      </c>
      <c r="C196" s="433" t="s">
        <v>135</v>
      </c>
    </row>
    <row r="197" spans="1:3" ht="16.05" customHeight="1" x14ac:dyDescent="0.3">
      <c r="A197" s="438" t="s">
        <v>2350</v>
      </c>
      <c r="B197" s="433" t="s">
        <v>2370</v>
      </c>
      <c r="C197" s="433" t="s">
        <v>135</v>
      </c>
    </row>
    <row r="198" spans="1:3" ht="16.05" customHeight="1" x14ac:dyDescent="0.3">
      <c r="A198" s="438" t="s">
        <v>2350</v>
      </c>
      <c r="B198" s="433" t="s">
        <v>2370</v>
      </c>
      <c r="C198" s="433" t="s">
        <v>135</v>
      </c>
    </row>
    <row r="199" spans="1:3" ht="16.05" customHeight="1" x14ac:dyDescent="0.3">
      <c r="A199" s="438" t="s">
        <v>2351</v>
      </c>
      <c r="B199" s="433" t="s">
        <v>2371</v>
      </c>
      <c r="C199" s="433" t="s">
        <v>135</v>
      </c>
    </row>
    <row r="200" spans="1:3" ht="16.05" customHeight="1" x14ac:dyDescent="0.3">
      <c r="A200" s="438" t="s">
        <v>2351</v>
      </c>
      <c r="B200" s="433" t="s">
        <v>2371</v>
      </c>
      <c r="C200" s="433" t="s">
        <v>135</v>
      </c>
    </row>
    <row r="201" spans="1:3" ht="16.05" customHeight="1" x14ac:dyDescent="0.3">
      <c r="A201" s="438" t="s">
        <v>2352</v>
      </c>
      <c r="B201" s="433" t="s">
        <v>2372</v>
      </c>
      <c r="C201" s="433" t="s">
        <v>135</v>
      </c>
    </row>
    <row r="202" spans="1:3" ht="16.05" customHeight="1" x14ac:dyDescent="0.3">
      <c r="A202" s="438" t="s">
        <v>2352</v>
      </c>
      <c r="B202" s="433" t="s">
        <v>2372</v>
      </c>
      <c r="C202" s="433" t="s">
        <v>135</v>
      </c>
    </row>
    <row r="203" spans="1:3" ht="16.05" customHeight="1" x14ac:dyDescent="0.3">
      <c r="A203" s="438" t="s">
        <v>2352</v>
      </c>
      <c r="B203" s="433" t="s">
        <v>2372</v>
      </c>
      <c r="C203" s="433" t="s">
        <v>135</v>
      </c>
    </row>
    <row r="204" spans="1:3" ht="16.05" customHeight="1" x14ac:dyDescent="0.3">
      <c r="A204" s="438" t="s">
        <v>2352</v>
      </c>
      <c r="B204" s="433" t="s">
        <v>2372</v>
      </c>
      <c r="C204" s="433" t="s">
        <v>135</v>
      </c>
    </row>
    <row r="205" spans="1:3" ht="16.05" customHeight="1" x14ac:dyDescent="0.3">
      <c r="A205" s="438" t="s">
        <v>2353</v>
      </c>
      <c r="B205" s="433" t="s">
        <v>2373</v>
      </c>
      <c r="C205" s="433" t="s">
        <v>135</v>
      </c>
    </row>
    <row r="206" spans="1:3" ht="16.05" customHeight="1" x14ac:dyDescent="0.3">
      <c r="A206" s="438" t="s">
        <v>2353</v>
      </c>
      <c r="B206" s="433" t="s">
        <v>2373</v>
      </c>
      <c r="C206" s="433" t="s">
        <v>135</v>
      </c>
    </row>
    <row r="207" spans="1:3" ht="16.05" customHeight="1" x14ac:dyDescent="0.3">
      <c r="A207" s="438" t="s">
        <v>2353</v>
      </c>
      <c r="B207" s="433" t="s">
        <v>2373</v>
      </c>
      <c r="C207" s="433" t="s">
        <v>135</v>
      </c>
    </row>
    <row r="208" spans="1:3" ht="16.05" customHeight="1" x14ac:dyDescent="0.3">
      <c r="A208" s="438" t="s">
        <v>2354</v>
      </c>
      <c r="B208" s="433" t="s">
        <v>2374</v>
      </c>
      <c r="C208" s="433" t="s">
        <v>135</v>
      </c>
    </row>
    <row r="209" spans="1:3" ht="16.05" customHeight="1" x14ac:dyDescent="0.3">
      <c r="A209" s="438" t="s">
        <v>2354</v>
      </c>
      <c r="B209" s="433" t="s">
        <v>2374</v>
      </c>
      <c r="C209" s="433" t="s">
        <v>135</v>
      </c>
    </row>
    <row r="210" spans="1:3" ht="16.05" customHeight="1" x14ac:dyDescent="0.3">
      <c r="A210" s="438" t="s">
        <v>2354</v>
      </c>
      <c r="B210" s="433" t="s">
        <v>2374</v>
      </c>
      <c r="C210" s="433" t="s">
        <v>135</v>
      </c>
    </row>
    <row r="211" spans="1:3" ht="16.05" customHeight="1" x14ac:dyDescent="0.3">
      <c r="A211" s="438" t="s">
        <v>2355</v>
      </c>
      <c r="B211" s="433" t="s">
        <v>2375</v>
      </c>
      <c r="C211" s="433" t="s">
        <v>135</v>
      </c>
    </row>
    <row r="212" spans="1:3" ht="16.05" customHeight="1" x14ac:dyDescent="0.3">
      <c r="A212" s="438" t="s">
        <v>2356</v>
      </c>
      <c r="B212" s="433" t="s">
        <v>2376</v>
      </c>
      <c r="C212" s="433" t="s">
        <v>135</v>
      </c>
    </row>
    <row r="213" spans="1:3" ht="16.05" customHeight="1" x14ac:dyDescent="0.3">
      <c r="A213" s="438" t="s">
        <v>2356</v>
      </c>
      <c r="B213" s="433" t="s">
        <v>2376</v>
      </c>
      <c r="C213" s="433" t="s">
        <v>135</v>
      </c>
    </row>
    <row r="214" spans="1:3" ht="16.05" customHeight="1" x14ac:dyDescent="0.3">
      <c r="A214" s="438" t="s">
        <v>2357</v>
      </c>
      <c r="B214" s="433" t="s">
        <v>2377</v>
      </c>
      <c r="C214" s="433" t="s">
        <v>135</v>
      </c>
    </row>
    <row r="215" spans="1:3" ht="16.05" customHeight="1" x14ac:dyDescent="0.3">
      <c r="A215" s="438" t="s">
        <v>2357</v>
      </c>
      <c r="B215" s="433" t="s">
        <v>2377</v>
      </c>
      <c r="C215" s="433" t="s">
        <v>135</v>
      </c>
    </row>
    <row r="216" spans="1:3" ht="16.05" customHeight="1" x14ac:dyDescent="0.3">
      <c r="A216" s="438" t="s">
        <v>2357</v>
      </c>
      <c r="B216" s="433" t="s">
        <v>2377</v>
      </c>
      <c r="C216" s="433" t="s">
        <v>135</v>
      </c>
    </row>
    <row r="217" spans="1:3" ht="16.05" customHeight="1" x14ac:dyDescent="0.3">
      <c r="A217" s="438" t="s">
        <v>2357</v>
      </c>
      <c r="B217" s="433" t="s">
        <v>2377</v>
      </c>
      <c r="C217" s="433" t="s">
        <v>135</v>
      </c>
    </row>
    <row r="218" spans="1:3" ht="16.05" customHeight="1" x14ac:dyDescent="0.3">
      <c r="A218" s="438" t="s">
        <v>2358</v>
      </c>
      <c r="B218" s="433" t="s">
        <v>2378</v>
      </c>
      <c r="C218" s="433" t="s">
        <v>135</v>
      </c>
    </row>
    <row r="219" spans="1:3" ht="16.05" customHeight="1" x14ac:dyDescent="0.3">
      <c r="A219" s="438" t="s">
        <v>2358</v>
      </c>
      <c r="B219" s="433" t="s">
        <v>2378</v>
      </c>
      <c r="C219" s="433" t="s">
        <v>135</v>
      </c>
    </row>
    <row r="220" spans="1:3" ht="16.05" customHeight="1" x14ac:dyDescent="0.3">
      <c r="A220" s="438" t="s">
        <v>2358</v>
      </c>
      <c r="B220" s="433" t="s">
        <v>2378</v>
      </c>
      <c r="C220" s="433" t="s">
        <v>135</v>
      </c>
    </row>
    <row r="221" spans="1:3" ht="16.05" customHeight="1" x14ac:dyDescent="0.3">
      <c r="A221" s="438" t="s">
        <v>2358</v>
      </c>
      <c r="B221" s="433" t="s">
        <v>2378</v>
      </c>
      <c r="C221" s="433" t="s">
        <v>135</v>
      </c>
    </row>
    <row r="222" spans="1:3" ht="16.05" customHeight="1" x14ac:dyDescent="0.3">
      <c r="A222" s="438" t="s">
        <v>2359</v>
      </c>
      <c r="B222" s="433" t="s">
        <v>2379</v>
      </c>
      <c r="C222" s="433" t="s">
        <v>135</v>
      </c>
    </row>
    <row r="223" spans="1:3" ht="16.05" customHeight="1" x14ac:dyDescent="0.3">
      <c r="A223" s="438" t="s">
        <v>2359</v>
      </c>
      <c r="B223" s="433" t="s">
        <v>2379</v>
      </c>
      <c r="C223" s="433" t="s">
        <v>135</v>
      </c>
    </row>
    <row r="224" spans="1:3" ht="16.05" customHeight="1" x14ac:dyDescent="0.3">
      <c r="A224" s="438" t="s">
        <v>2359</v>
      </c>
      <c r="B224" s="433" t="s">
        <v>2379</v>
      </c>
      <c r="C224" s="433" t="s">
        <v>135</v>
      </c>
    </row>
    <row r="225" spans="1:3" ht="16.05" customHeight="1" x14ac:dyDescent="0.3">
      <c r="A225" s="438" t="s">
        <v>2359</v>
      </c>
      <c r="B225" s="433" t="s">
        <v>2379</v>
      </c>
      <c r="C225" s="433" t="s">
        <v>135</v>
      </c>
    </row>
    <row r="226" spans="1:3" ht="16.05" customHeight="1" x14ac:dyDescent="0.3">
      <c r="A226" s="438" t="s">
        <v>2360</v>
      </c>
      <c r="B226" s="433" t="s">
        <v>2380</v>
      </c>
      <c r="C226" s="433" t="s">
        <v>135</v>
      </c>
    </row>
    <row r="227" spans="1:3" ht="16.05" customHeight="1" x14ac:dyDescent="0.3">
      <c r="A227" s="438" t="s">
        <v>2360</v>
      </c>
      <c r="B227" s="433" t="s">
        <v>2380</v>
      </c>
      <c r="C227" s="433" t="s">
        <v>135</v>
      </c>
    </row>
    <row r="228" spans="1:3" ht="16.05" customHeight="1" x14ac:dyDescent="0.3">
      <c r="A228" s="438" t="s">
        <v>2360</v>
      </c>
      <c r="B228" s="433" t="s">
        <v>2380</v>
      </c>
      <c r="C228" s="433" t="s">
        <v>135</v>
      </c>
    </row>
    <row r="229" spans="1:3" ht="16.05" customHeight="1" x14ac:dyDescent="0.3">
      <c r="A229" s="438" t="s">
        <v>2360</v>
      </c>
      <c r="B229" s="433" t="s">
        <v>2380</v>
      </c>
      <c r="C229" s="433" t="s">
        <v>135</v>
      </c>
    </row>
    <row r="230" spans="1:3" ht="16.05" customHeight="1" x14ac:dyDescent="0.3">
      <c r="A230" s="438" t="s">
        <v>2360</v>
      </c>
      <c r="B230" s="433" t="s">
        <v>2380</v>
      </c>
      <c r="C230" s="433" t="s">
        <v>135</v>
      </c>
    </row>
    <row r="231" spans="1:3" ht="16.05" customHeight="1" x14ac:dyDescent="0.3">
      <c r="A231" s="438" t="s">
        <v>2361</v>
      </c>
      <c r="B231" s="433" t="s">
        <v>2381</v>
      </c>
      <c r="C231" s="433" t="s">
        <v>135</v>
      </c>
    </row>
    <row r="232" spans="1:3" ht="16.05" customHeight="1" x14ac:dyDescent="0.3">
      <c r="A232" s="438" t="s">
        <v>2361</v>
      </c>
      <c r="B232" s="433" t="s">
        <v>2381</v>
      </c>
      <c r="C232" s="433" t="s">
        <v>135</v>
      </c>
    </row>
    <row r="233" spans="1:3" ht="16.05" customHeight="1" x14ac:dyDescent="0.3">
      <c r="A233" s="438" t="s">
        <v>2361</v>
      </c>
      <c r="B233" s="433" t="s">
        <v>2381</v>
      </c>
      <c r="C233" s="433" t="s">
        <v>135</v>
      </c>
    </row>
    <row r="234" spans="1:3" ht="16.05" customHeight="1" x14ac:dyDescent="0.3">
      <c r="A234" s="438" t="s">
        <v>2361</v>
      </c>
      <c r="B234" s="433" t="s">
        <v>2381</v>
      </c>
      <c r="C234" s="433" t="s">
        <v>135</v>
      </c>
    </row>
    <row r="235" spans="1:3" ht="16.05" customHeight="1" x14ac:dyDescent="0.3">
      <c r="A235" s="438" t="s">
        <v>2361</v>
      </c>
      <c r="B235" s="433" t="s">
        <v>2381</v>
      </c>
      <c r="C235" s="433" t="s">
        <v>135</v>
      </c>
    </row>
    <row r="236" spans="1:3" ht="16.05" customHeight="1" x14ac:dyDescent="0.3">
      <c r="A236" s="438" t="s">
        <v>2362</v>
      </c>
      <c r="B236" s="433" t="s">
        <v>2382</v>
      </c>
      <c r="C236" s="433" t="s">
        <v>135</v>
      </c>
    </row>
    <row r="237" spans="1:3" ht="16.05" customHeight="1" x14ac:dyDescent="0.3">
      <c r="A237" s="438" t="s">
        <v>2362</v>
      </c>
      <c r="B237" s="433" t="s">
        <v>2382</v>
      </c>
      <c r="C237" s="433" t="s">
        <v>135</v>
      </c>
    </row>
    <row r="238" spans="1:3" ht="16.05" customHeight="1" x14ac:dyDescent="0.3">
      <c r="A238" s="438" t="s">
        <v>2362</v>
      </c>
      <c r="B238" s="433" t="s">
        <v>2382</v>
      </c>
      <c r="C238" s="433" t="s">
        <v>135</v>
      </c>
    </row>
    <row r="239" spans="1:3" ht="16.05" customHeight="1" x14ac:dyDescent="0.3">
      <c r="A239" s="438" t="s">
        <v>2362</v>
      </c>
      <c r="B239" s="433" t="s">
        <v>2382</v>
      </c>
      <c r="C239" s="433" t="s">
        <v>135</v>
      </c>
    </row>
    <row r="240" spans="1:3" ht="16.05" customHeight="1" x14ac:dyDescent="0.3">
      <c r="A240" s="438" t="s">
        <v>2362</v>
      </c>
      <c r="B240" s="433" t="s">
        <v>2382</v>
      </c>
      <c r="C240" s="433" t="s">
        <v>135</v>
      </c>
    </row>
    <row r="241" spans="1:3" ht="16.05" customHeight="1" x14ac:dyDescent="0.3">
      <c r="A241" s="438" t="s">
        <v>2363</v>
      </c>
      <c r="B241" s="433" t="s">
        <v>2383</v>
      </c>
      <c r="C241" s="433" t="s">
        <v>135</v>
      </c>
    </row>
    <row r="242" spans="1:3" ht="16.05" customHeight="1" x14ac:dyDescent="0.3">
      <c r="A242" s="438" t="s">
        <v>2363</v>
      </c>
      <c r="B242" s="433" t="s">
        <v>2383</v>
      </c>
      <c r="C242" s="433" t="s">
        <v>135</v>
      </c>
    </row>
    <row r="243" spans="1:3" ht="16.05" customHeight="1" x14ac:dyDescent="0.3">
      <c r="A243" s="438" t="s">
        <v>2364</v>
      </c>
      <c r="B243" s="433" t="s">
        <v>2384</v>
      </c>
      <c r="C243" s="433" t="s">
        <v>135</v>
      </c>
    </row>
    <row r="244" spans="1:3" ht="16.05" customHeight="1" x14ac:dyDescent="0.3">
      <c r="A244" s="438" t="s">
        <v>2364</v>
      </c>
      <c r="B244" s="433" t="s">
        <v>2384</v>
      </c>
      <c r="C244" s="433" t="s">
        <v>135</v>
      </c>
    </row>
    <row r="245" spans="1:3" ht="16.05" customHeight="1" x14ac:dyDescent="0.3">
      <c r="A245" s="438" t="s">
        <v>2365</v>
      </c>
      <c r="B245" s="433" t="s">
        <v>2385</v>
      </c>
      <c r="C245" s="433" t="s">
        <v>135</v>
      </c>
    </row>
    <row r="246" spans="1:3" ht="16.05" customHeight="1" x14ac:dyDescent="0.3">
      <c r="A246" s="438" t="s">
        <v>2365</v>
      </c>
      <c r="B246" s="433" t="s">
        <v>2385</v>
      </c>
      <c r="C246" s="433" t="s">
        <v>135</v>
      </c>
    </row>
    <row r="247" spans="1:3" ht="16.05" customHeight="1" x14ac:dyDescent="0.3">
      <c r="A247" s="438" t="s">
        <v>2366</v>
      </c>
      <c r="B247" s="433" t="s">
        <v>2386</v>
      </c>
      <c r="C247" s="433" t="s">
        <v>135</v>
      </c>
    </row>
    <row r="248" spans="1:3" ht="16.05" customHeight="1" x14ac:dyDescent="0.3">
      <c r="A248" s="438" t="s">
        <v>2366</v>
      </c>
      <c r="B248" s="433" t="s">
        <v>2386</v>
      </c>
      <c r="C248" s="433" t="s">
        <v>135</v>
      </c>
    </row>
    <row r="249" spans="1:3" ht="16.05" customHeight="1" x14ac:dyDescent="0.3">
      <c r="A249" s="438" t="s">
        <v>2366</v>
      </c>
      <c r="B249" s="433" t="s">
        <v>2386</v>
      </c>
      <c r="C249" s="433" t="s">
        <v>135</v>
      </c>
    </row>
    <row r="250" spans="1:3" ht="16.05" customHeight="1" x14ac:dyDescent="0.3">
      <c r="A250" s="438" t="s">
        <v>2367</v>
      </c>
      <c r="B250" s="433" t="s">
        <v>2387</v>
      </c>
      <c r="C250" s="433" t="s">
        <v>135</v>
      </c>
    </row>
    <row r="251" spans="1:3" ht="16.05" customHeight="1" x14ac:dyDescent="0.3">
      <c r="A251" s="438" t="s">
        <v>2367</v>
      </c>
      <c r="B251" s="433" t="s">
        <v>2387</v>
      </c>
      <c r="C251" s="433" t="s">
        <v>135</v>
      </c>
    </row>
    <row r="252" spans="1:3" ht="16.05" customHeight="1" x14ac:dyDescent="0.3">
      <c r="A252" s="438" t="s">
        <v>2367</v>
      </c>
      <c r="B252" s="433" t="s">
        <v>2387</v>
      </c>
      <c r="C252" s="433" t="s">
        <v>135</v>
      </c>
    </row>
    <row r="253" spans="1:3" ht="16.05" customHeight="1" x14ac:dyDescent="0.3">
      <c r="A253" s="438" t="s">
        <v>2368</v>
      </c>
      <c r="B253" s="433" t="s">
        <v>2388</v>
      </c>
      <c r="C253" s="433" t="s">
        <v>135</v>
      </c>
    </row>
    <row r="254" spans="1:3" ht="16.05" customHeight="1" x14ac:dyDescent="0.3">
      <c r="A254" s="438" t="s">
        <v>2368</v>
      </c>
      <c r="B254" s="433" t="s">
        <v>2388</v>
      </c>
      <c r="C254" s="433" t="s">
        <v>135</v>
      </c>
    </row>
    <row r="255" spans="1:3" ht="16.05" customHeight="1" x14ac:dyDescent="0.3">
      <c r="A255" s="438" t="s">
        <v>2368</v>
      </c>
      <c r="B255" s="433" t="s">
        <v>2388</v>
      </c>
      <c r="C255" s="433" t="s">
        <v>135</v>
      </c>
    </row>
    <row r="256" spans="1:3" ht="16.05" customHeight="1" x14ac:dyDescent="0.3">
      <c r="A256" s="433" t="s">
        <v>2408</v>
      </c>
      <c r="B256" s="433" t="s">
        <v>2369</v>
      </c>
      <c r="C256" s="433" t="s">
        <v>136</v>
      </c>
    </row>
    <row r="257" spans="1:3" ht="16.05" customHeight="1" x14ac:dyDescent="0.3">
      <c r="A257" s="433" t="s">
        <v>2408</v>
      </c>
      <c r="B257" s="433" t="s">
        <v>2369</v>
      </c>
      <c r="C257" s="433" t="s">
        <v>136</v>
      </c>
    </row>
    <row r="258" spans="1:3" ht="16.05" customHeight="1" x14ac:dyDescent="0.3">
      <c r="A258" s="433" t="s">
        <v>2408</v>
      </c>
      <c r="B258" s="433" t="s">
        <v>2369</v>
      </c>
      <c r="C258" s="433" t="s">
        <v>136</v>
      </c>
    </row>
    <row r="259" spans="1:3" ht="16.05" customHeight="1" x14ac:dyDescent="0.3">
      <c r="A259" s="433" t="s">
        <v>2408</v>
      </c>
      <c r="B259" s="433" t="s">
        <v>2369</v>
      </c>
      <c r="C259" s="433" t="s">
        <v>136</v>
      </c>
    </row>
    <row r="260" spans="1:3" ht="16.05" customHeight="1" x14ac:dyDescent="0.3">
      <c r="A260" s="433" t="s">
        <v>2409</v>
      </c>
      <c r="B260" s="433" t="s">
        <v>2370</v>
      </c>
      <c r="C260" s="433" t="s">
        <v>136</v>
      </c>
    </row>
    <row r="261" spans="1:3" ht="16.05" customHeight="1" x14ac:dyDescent="0.3">
      <c r="A261" s="433" t="s">
        <v>2409</v>
      </c>
      <c r="B261" s="433" t="s">
        <v>2370</v>
      </c>
      <c r="C261" s="433" t="s">
        <v>136</v>
      </c>
    </row>
    <row r="262" spans="1:3" ht="16.05" customHeight="1" x14ac:dyDescent="0.3">
      <c r="A262" s="433" t="s">
        <v>2410</v>
      </c>
      <c r="B262" s="433" t="s">
        <v>2371</v>
      </c>
      <c r="C262" s="433" t="s">
        <v>136</v>
      </c>
    </row>
    <row r="263" spans="1:3" ht="16.05" customHeight="1" x14ac:dyDescent="0.3">
      <c r="A263" s="433" t="s">
        <v>2410</v>
      </c>
      <c r="B263" s="433" t="s">
        <v>2371</v>
      </c>
      <c r="C263" s="433" t="s">
        <v>136</v>
      </c>
    </row>
    <row r="264" spans="1:3" ht="16.05" customHeight="1" x14ac:dyDescent="0.3">
      <c r="A264" s="433" t="s">
        <v>2411</v>
      </c>
      <c r="B264" s="433" t="s">
        <v>2372</v>
      </c>
      <c r="C264" s="433" t="s">
        <v>136</v>
      </c>
    </row>
    <row r="265" spans="1:3" ht="16.05" customHeight="1" x14ac:dyDescent="0.3">
      <c r="A265" s="433" t="s">
        <v>2411</v>
      </c>
      <c r="B265" s="433" t="s">
        <v>2372</v>
      </c>
      <c r="C265" s="433" t="s">
        <v>136</v>
      </c>
    </row>
    <row r="266" spans="1:3" ht="16.05" customHeight="1" x14ac:dyDescent="0.3">
      <c r="A266" s="433" t="s">
        <v>2411</v>
      </c>
      <c r="B266" s="433" t="s">
        <v>2372</v>
      </c>
      <c r="C266" s="433" t="s">
        <v>136</v>
      </c>
    </row>
    <row r="267" spans="1:3" ht="16.05" customHeight="1" x14ac:dyDescent="0.3">
      <c r="A267" s="433" t="s">
        <v>2411</v>
      </c>
      <c r="B267" s="433" t="s">
        <v>2372</v>
      </c>
      <c r="C267" s="433" t="s">
        <v>136</v>
      </c>
    </row>
    <row r="268" spans="1:3" ht="16.05" customHeight="1" x14ac:dyDescent="0.3">
      <c r="A268" s="433" t="s">
        <v>2412</v>
      </c>
      <c r="B268" s="433" t="s">
        <v>2373</v>
      </c>
      <c r="C268" s="433" t="s">
        <v>136</v>
      </c>
    </row>
    <row r="269" spans="1:3" ht="16.05" customHeight="1" x14ac:dyDescent="0.3">
      <c r="A269" s="433" t="s">
        <v>2412</v>
      </c>
      <c r="B269" s="433" t="s">
        <v>2373</v>
      </c>
      <c r="C269" s="433" t="s">
        <v>136</v>
      </c>
    </row>
    <row r="270" spans="1:3" ht="16.05" customHeight="1" x14ac:dyDescent="0.3">
      <c r="A270" s="433" t="s">
        <v>2412</v>
      </c>
      <c r="B270" s="433" t="s">
        <v>2373</v>
      </c>
      <c r="C270" s="433" t="s">
        <v>136</v>
      </c>
    </row>
    <row r="271" spans="1:3" ht="16.05" customHeight="1" x14ac:dyDescent="0.3">
      <c r="A271" s="433" t="s">
        <v>2413</v>
      </c>
      <c r="B271" s="433" t="s">
        <v>2374</v>
      </c>
      <c r="C271" s="433" t="s">
        <v>136</v>
      </c>
    </row>
    <row r="272" spans="1:3" ht="16.05" customHeight="1" x14ac:dyDescent="0.3">
      <c r="A272" s="433" t="s">
        <v>2413</v>
      </c>
      <c r="B272" s="433" t="s">
        <v>2374</v>
      </c>
      <c r="C272" s="433" t="s">
        <v>136</v>
      </c>
    </row>
    <row r="273" spans="1:3" ht="16.05" customHeight="1" x14ac:dyDescent="0.3">
      <c r="A273" s="433" t="s">
        <v>2413</v>
      </c>
      <c r="B273" s="433" t="s">
        <v>2374</v>
      </c>
      <c r="C273" s="433" t="s">
        <v>136</v>
      </c>
    </row>
    <row r="274" spans="1:3" ht="16.05" customHeight="1" x14ac:dyDescent="0.3">
      <c r="A274" s="433" t="s">
        <v>2414</v>
      </c>
      <c r="B274" s="433" t="s">
        <v>2375</v>
      </c>
      <c r="C274" s="433" t="s">
        <v>136</v>
      </c>
    </row>
    <row r="275" spans="1:3" ht="16.05" customHeight="1" x14ac:dyDescent="0.3">
      <c r="A275" s="433" t="s">
        <v>2415</v>
      </c>
      <c r="B275" s="433" t="s">
        <v>2376</v>
      </c>
      <c r="C275" s="433" t="s">
        <v>136</v>
      </c>
    </row>
    <row r="276" spans="1:3" ht="16.05" customHeight="1" x14ac:dyDescent="0.3">
      <c r="A276" s="433" t="s">
        <v>2415</v>
      </c>
      <c r="B276" s="433" t="s">
        <v>2376</v>
      </c>
      <c r="C276" s="433" t="s">
        <v>136</v>
      </c>
    </row>
    <row r="277" spans="1:3" ht="16.05" customHeight="1" x14ac:dyDescent="0.3">
      <c r="A277" s="433" t="s">
        <v>2416</v>
      </c>
      <c r="B277" s="433" t="s">
        <v>2377</v>
      </c>
      <c r="C277" s="433" t="s">
        <v>136</v>
      </c>
    </row>
    <row r="278" spans="1:3" ht="16.05" customHeight="1" x14ac:dyDescent="0.3">
      <c r="A278" s="433" t="s">
        <v>2416</v>
      </c>
      <c r="B278" s="433" t="s">
        <v>2377</v>
      </c>
      <c r="C278" s="433" t="s">
        <v>136</v>
      </c>
    </row>
    <row r="279" spans="1:3" ht="16.05" customHeight="1" x14ac:dyDescent="0.3">
      <c r="A279" s="433" t="s">
        <v>2416</v>
      </c>
      <c r="B279" s="433" t="s">
        <v>2377</v>
      </c>
      <c r="C279" s="433" t="s">
        <v>136</v>
      </c>
    </row>
    <row r="280" spans="1:3" ht="16.05" customHeight="1" x14ac:dyDescent="0.3">
      <c r="A280" s="433" t="s">
        <v>2416</v>
      </c>
      <c r="B280" s="433" t="s">
        <v>2377</v>
      </c>
      <c r="C280" s="433" t="s">
        <v>136</v>
      </c>
    </row>
    <row r="281" spans="1:3" ht="16.05" customHeight="1" x14ac:dyDescent="0.3">
      <c r="A281" s="433" t="s">
        <v>2417</v>
      </c>
      <c r="B281" s="433" t="s">
        <v>2378</v>
      </c>
      <c r="C281" s="433" t="s">
        <v>136</v>
      </c>
    </row>
    <row r="282" spans="1:3" ht="16.05" customHeight="1" x14ac:dyDescent="0.3">
      <c r="A282" s="433" t="s">
        <v>2417</v>
      </c>
      <c r="B282" s="433" t="s">
        <v>2378</v>
      </c>
      <c r="C282" s="433" t="s">
        <v>136</v>
      </c>
    </row>
    <row r="283" spans="1:3" ht="16.05" customHeight="1" x14ac:dyDescent="0.3">
      <c r="A283" s="433" t="s">
        <v>2417</v>
      </c>
      <c r="B283" s="433" t="s">
        <v>2378</v>
      </c>
      <c r="C283" s="433" t="s">
        <v>136</v>
      </c>
    </row>
    <row r="284" spans="1:3" ht="16.05" customHeight="1" x14ac:dyDescent="0.3">
      <c r="A284" s="433" t="s">
        <v>2417</v>
      </c>
      <c r="B284" s="433" t="s">
        <v>2378</v>
      </c>
      <c r="C284" s="433" t="s">
        <v>136</v>
      </c>
    </row>
    <row r="285" spans="1:3" ht="16.05" customHeight="1" x14ac:dyDescent="0.3">
      <c r="A285" s="433" t="s">
        <v>2418</v>
      </c>
      <c r="B285" s="433" t="s">
        <v>2379</v>
      </c>
      <c r="C285" s="433" t="s">
        <v>136</v>
      </c>
    </row>
    <row r="286" spans="1:3" ht="16.05" customHeight="1" x14ac:dyDescent="0.3">
      <c r="A286" s="433" t="s">
        <v>2418</v>
      </c>
      <c r="B286" s="433" t="s">
        <v>2379</v>
      </c>
      <c r="C286" s="433" t="s">
        <v>136</v>
      </c>
    </row>
    <row r="287" spans="1:3" ht="16.05" customHeight="1" x14ac:dyDescent="0.3">
      <c r="A287" s="433" t="s">
        <v>2418</v>
      </c>
      <c r="B287" s="433" t="s">
        <v>2379</v>
      </c>
      <c r="C287" s="433" t="s">
        <v>136</v>
      </c>
    </row>
    <row r="288" spans="1:3" ht="16.05" customHeight="1" x14ac:dyDescent="0.3">
      <c r="A288" s="433" t="s">
        <v>2418</v>
      </c>
      <c r="B288" s="433" t="s">
        <v>2379</v>
      </c>
      <c r="C288" s="433" t="s">
        <v>136</v>
      </c>
    </row>
    <row r="289" spans="1:3" ht="16.05" customHeight="1" x14ac:dyDescent="0.3">
      <c r="A289" s="433" t="s">
        <v>2419</v>
      </c>
      <c r="B289" s="433" t="s">
        <v>2380</v>
      </c>
      <c r="C289" s="433" t="s">
        <v>136</v>
      </c>
    </row>
    <row r="290" spans="1:3" ht="16.05" customHeight="1" x14ac:dyDescent="0.3">
      <c r="A290" s="433" t="s">
        <v>2419</v>
      </c>
      <c r="B290" s="433" t="s">
        <v>2380</v>
      </c>
      <c r="C290" s="433" t="s">
        <v>136</v>
      </c>
    </row>
    <row r="291" spans="1:3" ht="16.05" customHeight="1" x14ac:dyDescent="0.3">
      <c r="A291" s="433" t="s">
        <v>2419</v>
      </c>
      <c r="B291" s="433" t="s">
        <v>2380</v>
      </c>
      <c r="C291" s="433" t="s">
        <v>136</v>
      </c>
    </row>
    <row r="292" spans="1:3" ht="16.05" customHeight="1" x14ac:dyDescent="0.3">
      <c r="A292" s="433" t="s">
        <v>2419</v>
      </c>
      <c r="B292" s="433" t="s">
        <v>2380</v>
      </c>
      <c r="C292" s="433" t="s">
        <v>136</v>
      </c>
    </row>
    <row r="293" spans="1:3" ht="16.05" customHeight="1" x14ac:dyDescent="0.3">
      <c r="A293" s="433" t="s">
        <v>2419</v>
      </c>
      <c r="B293" s="433" t="s">
        <v>2380</v>
      </c>
      <c r="C293" s="433" t="s">
        <v>136</v>
      </c>
    </row>
    <row r="294" spans="1:3" ht="16.05" customHeight="1" x14ac:dyDescent="0.3">
      <c r="A294" s="433" t="s">
        <v>2420</v>
      </c>
      <c r="B294" s="433" t="s">
        <v>2381</v>
      </c>
      <c r="C294" s="433" t="s">
        <v>136</v>
      </c>
    </row>
    <row r="295" spans="1:3" ht="16.05" customHeight="1" x14ac:dyDescent="0.3">
      <c r="A295" s="433" t="s">
        <v>2420</v>
      </c>
      <c r="B295" s="433" t="s">
        <v>2381</v>
      </c>
      <c r="C295" s="433" t="s">
        <v>136</v>
      </c>
    </row>
    <row r="296" spans="1:3" ht="16.05" customHeight="1" x14ac:dyDescent="0.3">
      <c r="A296" s="433" t="s">
        <v>2420</v>
      </c>
      <c r="B296" s="433" t="s">
        <v>2381</v>
      </c>
      <c r="C296" s="433" t="s">
        <v>136</v>
      </c>
    </row>
    <row r="297" spans="1:3" ht="16.05" customHeight="1" x14ac:dyDescent="0.3">
      <c r="A297" s="433" t="s">
        <v>2420</v>
      </c>
      <c r="B297" s="433" t="s">
        <v>2381</v>
      </c>
      <c r="C297" s="433" t="s">
        <v>136</v>
      </c>
    </row>
    <row r="298" spans="1:3" ht="16.05" customHeight="1" x14ac:dyDescent="0.3">
      <c r="A298" s="433" t="s">
        <v>2420</v>
      </c>
      <c r="B298" s="433" t="s">
        <v>2381</v>
      </c>
      <c r="C298" s="433" t="s">
        <v>136</v>
      </c>
    </row>
    <row r="299" spans="1:3" ht="16.05" customHeight="1" x14ac:dyDescent="0.3">
      <c r="A299" s="433" t="s">
        <v>2421</v>
      </c>
      <c r="B299" s="433" t="s">
        <v>2382</v>
      </c>
      <c r="C299" s="433" t="s">
        <v>136</v>
      </c>
    </row>
    <row r="300" spans="1:3" ht="16.05" customHeight="1" x14ac:dyDescent="0.3">
      <c r="A300" s="433" t="s">
        <v>2421</v>
      </c>
      <c r="B300" s="433" t="s">
        <v>2382</v>
      </c>
      <c r="C300" s="433" t="s">
        <v>136</v>
      </c>
    </row>
    <row r="301" spans="1:3" ht="16.05" customHeight="1" x14ac:dyDescent="0.3">
      <c r="A301" s="433" t="s">
        <v>2421</v>
      </c>
      <c r="B301" s="433" t="s">
        <v>2382</v>
      </c>
      <c r="C301" s="433" t="s">
        <v>136</v>
      </c>
    </row>
    <row r="302" spans="1:3" ht="16.05" customHeight="1" x14ac:dyDescent="0.3">
      <c r="A302" s="433" t="s">
        <v>2421</v>
      </c>
      <c r="B302" s="433" t="s">
        <v>2382</v>
      </c>
      <c r="C302" s="433" t="s">
        <v>136</v>
      </c>
    </row>
    <row r="303" spans="1:3" ht="16.05" customHeight="1" x14ac:dyDescent="0.3">
      <c r="A303" s="433" t="s">
        <v>2421</v>
      </c>
      <c r="B303" s="433" t="s">
        <v>2382</v>
      </c>
      <c r="C303" s="433" t="s">
        <v>136</v>
      </c>
    </row>
    <row r="304" spans="1:3" ht="16.05" customHeight="1" x14ac:dyDescent="0.3">
      <c r="A304" s="433" t="s">
        <v>2422</v>
      </c>
      <c r="B304" s="433" t="s">
        <v>2383</v>
      </c>
      <c r="C304" s="433" t="s">
        <v>136</v>
      </c>
    </row>
    <row r="305" spans="1:3" ht="16.05" customHeight="1" x14ac:dyDescent="0.3">
      <c r="A305" s="433" t="s">
        <v>2422</v>
      </c>
      <c r="B305" s="433" t="s">
        <v>2383</v>
      </c>
      <c r="C305" s="433" t="s">
        <v>136</v>
      </c>
    </row>
    <row r="306" spans="1:3" ht="16.05" customHeight="1" x14ac:dyDescent="0.3">
      <c r="A306" s="433" t="s">
        <v>2423</v>
      </c>
      <c r="B306" s="433" t="s">
        <v>2384</v>
      </c>
      <c r="C306" s="433" t="s">
        <v>136</v>
      </c>
    </row>
    <row r="307" spans="1:3" ht="16.05" customHeight="1" x14ac:dyDescent="0.3">
      <c r="A307" s="433" t="s">
        <v>2423</v>
      </c>
      <c r="B307" s="433" t="s">
        <v>2384</v>
      </c>
      <c r="C307" s="433" t="s">
        <v>136</v>
      </c>
    </row>
    <row r="308" spans="1:3" ht="16.05" customHeight="1" x14ac:dyDescent="0.3">
      <c r="A308" s="433" t="s">
        <v>2424</v>
      </c>
      <c r="B308" s="433" t="s">
        <v>2385</v>
      </c>
      <c r="C308" s="433" t="s">
        <v>136</v>
      </c>
    </row>
    <row r="309" spans="1:3" ht="16.05" customHeight="1" x14ac:dyDescent="0.3">
      <c r="A309" s="433" t="s">
        <v>2424</v>
      </c>
      <c r="B309" s="433" t="s">
        <v>2385</v>
      </c>
      <c r="C309" s="433" t="s">
        <v>136</v>
      </c>
    </row>
    <row r="310" spans="1:3" ht="16.05" customHeight="1" x14ac:dyDescent="0.3">
      <c r="A310" s="433" t="s">
        <v>2425</v>
      </c>
      <c r="B310" s="433" t="s">
        <v>2386</v>
      </c>
      <c r="C310" s="433" t="s">
        <v>136</v>
      </c>
    </row>
    <row r="311" spans="1:3" ht="16.05" customHeight="1" x14ac:dyDescent="0.3">
      <c r="A311" s="433" t="s">
        <v>2425</v>
      </c>
      <c r="B311" s="433" t="s">
        <v>2386</v>
      </c>
      <c r="C311" s="433" t="s">
        <v>136</v>
      </c>
    </row>
    <row r="312" spans="1:3" ht="16.05" customHeight="1" x14ac:dyDescent="0.3">
      <c r="A312" s="433" t="s">
        <v>2425</v>
      </c>
      <c r="B312" s="433" t="s">
        <v>2386</v>
      </c>
      <c r="C312" s="433" t="s">
        <v>136</v>
      </c>
    </row>
    <row r="313" spans="1:3" ht="16.05" customHeight="1" x14ac:dyDescent="0.3">
      <c r="A313" s="433" t="s">
        <v>2426</v>
      </c>
      <c r="B313" s="433" t="s">
        <v>2387</v>
      </c>
      <c r="C313" s="433" t="s">
        <v>136</v>
      </c>
    </row>
    <row r="314" spans="1:3" ht="16.05" customHeight="1" x14ac:dyDescent="0.3">
      <c r="A314" s="433" t="s">
        <v>2426</v>
      </c>
      <c r="B314" s="433" t="s">
        <v>2387</v>
      </c>
      <c r="C314" s="433" t="s">
        <v>136</v>
      </c>
    </row>
    <row r="315" spans="1:3" ht="16.05" customHeight="1" x14ac:dyDescent="0.3">
      <c r="A315" s="433" t="s">
        <v>2426</v>
      </c>
      <c r="B315" s="433" t="s">
        <v>2387</v>
      </c>
      <c r="C315" s="433" t="s">
        <v>136</v>
      </c>
    </row>
    <row r="316" spans="1:3" ht="16.05" customHeight="1" x14ac:dyDescent="0.3">
      <c r="A316" s="433" t="s">
        <v>2427</v>
      </c>
      <c r="B316" s="433" t="s">
        <v>2388</v>
      </c>
      <c r="C316" s="433" t="s">
        <v>136</v>
      </c>
    </row>
    <row r="317" spans="1:3" ht="16.05" customHeight="1" x14ac:dyDescent="0.3">
      <c r="A317" s="433" t="s">
        <v>2427</v>
      </c>
      <c r="B317" s="433" t="s">
        <v>2388</v>
      </c>
      <c r="C317" s="433" t="s">
        <v>136</v>
      </c>
    </row>
    <row r="318" spans="1:3" ht="16.05" customHeight="1" x14ac:dyDescent="0.3">
      <c r="A318" s="433" t="s">
        <v>2427</v>
      </c>
      <c r="B318" s="433" t="s">
        <v>2388</v>
      </c>
      <c r="C318" s="433" t="s">
        <v>136</v>
      </c>
    </row>
    <row r="319" spans="1:3" ht="16.05" customHeight="1" x14ac:dyDescent="0.3">
      <c r="A319" s="433" t="s">
        <v>2950</v>
      </c>
      <c r="B319" s="433" t="s">
        <v>2369</v>
      </c>
      <c r="C319" s="433" t="s">
        <v>2949</v>
      </c>
    </row>
    <row r="320" spans="1:3" ht="16.05" customHeight="1" x14ac:dyDescent="0.3">
      <c r="A320" s="433" t="s">
        <v>2950</v>
      </c>
      <c r="B320" s="433" t="s">
        <v>2369</v>
      </c>
      <c r="C320" s="433" t="s">
        <v>2949</v>
      </c>
    </row>
    <row r="321" spans="1:3" ht="16.05" customHeight="1" x14ac:dyDescent="0.3">
      <c r="A321" s="433" t="s">
        <v>2950</v>
      </c>
      <c r="B321" s="433" t="s">
        <v>2369</v>
      </c>
      <c r="C321" s="433" t="s">
        <v>2949</v>
      </c>
    </row>
    <row r="322" spans="1:3" ht="16.05" customHeight="1" x14ac:dyDescent="0.3">
      <c r="A322" s="433" t="s">
        <v>2950</v>
      </c>
      <c r="B322" s="433" t="s">
        <v>2369</v>
      </c>
      <c r="C322" s="433" t="s">
        <v>2949</v>
      </c>
    </row>
    <row r="323" spans="1:3" ht="16.05" customHeight="1" x14ac:dyDescent="0.3">
      <c r="A323" s="433" t="s">
        <v>2958</v>
      </c>
      <c r="B323" s="433" t="s">
        <v>2370</v>
      </c>
      <c r="C323" s="433" t="s">
        <v>2949</v>
      </c>
    </row>
    <row r="324" spans="1:3" ht="16.05" customHeight="1" x14ac:dyDescent="0.3">
      <c r="A324" s="433" t="s">
        <v>2958</v>
      </c>
      <c r="B324" s="433" t="s">
        <v>2370</v>
      </c>
      <c r="C324" s="433" t="s">
        <v>2949</v>
      </c>
    </row>
    <row r="325" spans="1:3" ht="16.05" customHeight="1" x14ac:dyDescent="0.3">
      <c r="A325" s="433" t="s">
        <v>2964</v>
      </c>
      <c r="B325" s="433" t="s">
        <v>2371</v>
      </c>
      <c r="C325" s="433" t="s">
        <v>2949</v>
      </c>
    </row>
    <row r="326" spans="1:3" ht="16.05" customHeight="1" x14ac:dyDescent="0.3">
      <c r="A326" s="433" t="s">
        <v>2964</v>
      </c>
      <c r="B326" s="433" t="s">
        <v>2371</v>
      </c>
      <c r="C326" s="433" t="s">
        <v>2949</v>
      </c>
    </row>
    <row r="327" spans="1:3" ht="16.05" customHeight="1" x14ac:dyDescent="0.3">
      <c r="A327" s="433" t="s">
        <v>2951</v>
      </c>
      <c r="B327" s="433" t="s">
        <v>2372</v>
      </c>
      <c r="C327" s="433" t="s">
        <v>2949</v>
      </c>
    </row>
    <row r="328" spans="1:3" ht="16.05" customHeight="1" x14ac:dyDescent="0.3">
      <c r="A328" s="433" t="s">
        <v>2951</v>
      </c>
      <c r="B328" s="433" t="s">
        <v>2372</v>
      </c>
      <c r="C328" s="433" t="s">
        <v>2949</v>
      </c>
    </row>
    <row r="329" spans="1:3" ht="16.05" customHeight="1" x14ac:dyDescent="0.3">
      <c r="A329" s="433" t="s">
        <v>2951</v>
      </c>
      <c r="B329" s="433" t="s">
        <v>2372</v>
      </c>
      <c r="C329" s="433" t="s">
        <v>2949</v>
      </c>
    </row>
    <row r="330" spans="1:3" ht="16.05" customHeight="1" x14ac:dyDescent="0.3">
      <c r="A330" s="433" t="s">
        <v>2951</v>
      </c>
      <c r="B330" s="433" t="s">
        <v>2372</v>
      </c>
      <c r="C330" s="433" t="s">
        <v>2949</v>
      </c>
    </row>
    <row r="331" spans="1:3" ht="16.05" customHeight="1" x14ac:dyDescent="0.3">
      <c r="A331" s="433" t="s">
        <v>2959</v>
      </c>
      <c r="B331" s="433" t="s">
        <v>2373</v>
      </c>
      <c r="C331" s="433" t="s">
        <v>2949</v>
      </c>
    </row>
    <row r="332" spans="1:3" ht="16.05" customHeight="1" x14ac:dyDescent="0.3">
      <c r="A332" s="433" t="s">
        <v>2959</v>
      </c>
      <c r="B332" s="433" t="s">
        <v>2373</v>
      </c>
      <c r="C332" s="433" t="s">
        <v>2949</v>
      </c>
    </row>
    <row r="333" spans="1:3" ht="16.05" customHeight="1" x14ac:dyDescent="0.3">
      <c r="A333" s="433" t="s">
        <v>2959</v>
      </c>
      <c r="B333" s="433" t="s">
        <v>2373</v>
      </c>
      <c r="C333" s="433" t="s">
        <v>2949</v>
      </c>
    </row>
    <row r="334" spans="1:3" ht="16.05" customHeight="1" x14ac:dyDescent="0.3">
      <c r="A334" s="433" t="s">
        <v>2965</v>
      </c>
      <c r="B334" s="433" t="s">
        <v>2374</v>
      </c>
      <c r="C334" s="433" t="s">
        <v>2949</v>
      </c>
    </row>
    <row r="335" spans="1:3" ht="16.05" customHeight="1" x14ac:dyDescent="0.3">
      <c r="A335" s="433" t="s">
        <v>2965</v>
      </c>
      <c r="B335" s="433" t="s">
        <v>2374</v>
      </c>
      <c r="C335" s="433" t="s">
        <v>2949</v>
      </c>
    </row>
    <row r="336" spans="1:3" ht="16.05" customHeight="1" x14ac:dyDescent="0.3">
      <c r="A336" s="433" t="s">
        <v>2965</v>
      </c>
      <c r="B336" s="433" t="s">
        <v>2374</v>
      </c>
      <c r="C336" s="433" t="s">
        <v>2949</v>
      </c>
    </row>
    <row r="337" spans="1:3" ht="16.05" customHeight="1" x14ac:dyDescent="0.3">
      <c r="A337" s="433" t="s">
        <v>2952</v>
      </c>
      <c r="B337" s="433" t="s">
        <v>2375</v>
      </c>
      <c r="C337" s="433" t="s">
        <v>2949</v>
      </c>
    </row>
    <row r="338" spans="1:3" ht="16.05" customHeight="1" x14ac:dyDescent="0.3">
      <c r="A338" s="433" t="s">
        <v>2953</v>
      </c>
      <c r="B338" s="433" t="s">
        <v>2376</v>
      </c>
      <c r="C338" s="433" t="s">
        <v>2949</v>
      </c>
    </row>
    <row r="339" spans="1:3" ht="16.05" customHeight="1" x14ac:dyDescent="0.3">
      <c r="A339" s="433" t="s">
        <v>2953</v>
      </c>
      <c r="B339" s="433" t="s">
        <v>2376</v>
      </c>
      <c r="C339" s="433" t="s">
        <v>2949</v>
      </c>
    </row>
    <row r="340" spans="1:3" ht="16.05" customHeight="1" x14ac:dyDescent="0.3">
      <c r="A340" s="433" t="s">
        <v>2954</v>
      </c>
      <c r="B340" s="433" t="s">
        <v>2377</v>
      </c>
      <c r="C340" s="433" t="s">
        <v>2949</v>
      </c>
    </row>
    <row r="341" spans="1:3" ht="16.05" customHeight="1" x14ac:dyDescent="0.3">
      <c r="A341" s="433" t="s">
        <v>2954</v>
      </c>
      <c r="B341" s="433" t="s">
        <v>2377</v>
      </c>
      <c r="C341" s="433" t="s">
        <v>2949</v>
      </c>
    </row>
    <row r="342" spans="1:3" ht="16.05" customHeight="1" x14ac:dyDescent="0.3">
      <c r="A342" s="433" t="s">
        <v>2954</v>
      </c>
      <c r="B342" s="433" t="s">
        <v>2377</v>
      </c>
      <c r="C342" s="433" t="s">
        <v>2949</v>
      </c>
    </row>
    <row r="343" spans="1:3" ht="16.05" customHeight="1" x14ac:dyDescent="0.3">
      <c r="A343" s="433" t="s">
        <v>2954</v>
      </c>
      <c r="B343" s="433" t="s">
        <v>2377</v>
      </c>
      <c r="C343" s="433" t="s">
        <v>2949</v>
      </c>
    </row>
    <row r="344" spans="1:3" ht="16.05" customHeight="1" x14ac:dyDescent="0.3">
      <c r="A344" s="433" t="s">
        <v>2960</v>
      </c>
      <c r="B344" s="433" t="s">
        <v>2378</v>
      </c>
      <c r="C344" s="433" t="s">
        <v>2949</v>
      </c>
    </row>
    <row r="345" spans="1:3" ht="16.05" customHeight="1" x14ac:dyDescent="0.3">
      <c r="A345" s="433" t="s">
        <v>2960</v>
      </c>
      <c r="B345" s="433" t="s">
        <v>2378</v>
      </c>
      <c r="C345" s="433" t="s">
        <v>2949</v>
      </c>
    </row>
    <row r="346" spans="1:3" ht="16.05" customHeight="1" x14ac:dyDescent="0.3">
      <c r="A346" s="433" t="s">
        <v>2960</v>
      </c>
      <c r="B346" s="433" t="s">
        <v>2378</v>
      </c>
      <c r="C346" s="433" t="s">
        <v>2949</v>
      </c>
    </row>
    <row r="347" spans="1:3" ht="16.05" customHeight="1" x14ac:dyDescent="0.3">
      <c r="A347" s="433" t="s">
        <v>2960</v>
      </c>
      <c r="B347" s="433" t="s">
        <v>2378</v>
      </c>
      <c r="C347" s="433" t="s">
        <v>2949</v>
      </c>
    </row>
    <row r="348" spans="1:3" ht="16.05" customHeight="1" x14ac:dyDescent="0.3">
      <c r="A348" s="433" t="s">
        <v>2966</v>
      </c>
      <c r="B348" s="433" t="s">
        <v>2379</v>
      </c>
      <c r="C348" s="433" t="s">
        <v>2949</v>
      </c>
    </row>
    <row r="349" spans="1:3" ht="16.05" customHeight="1" x14ac:dyDescent="0.3">
      <c r="A349" s="433" t="s">
        <v>2966</v>
      </c>
      <c r="B349" s="433" t="s">
        <v>2379</v>
      </c>
      <c r="C349" s="433" t="s">
        <v>2949</v>
      </c>
    </row>
    <row r="350" spans="1:3" ht="16.05" customHeight="1" x14ac:dyDescent="0.3">
      <c r="A350" s="433" t="s">
        <v>2966</v>
      </c>
      <c r="B350" s="433" t="s">
        <v>2379</v>
      </c>
      <c r="C350" s="433" t="s">
        <v>2949</v>
      </c>
    </row>
    <row r="351" spans="1:3" ht="16.05" customHeight="1" x14ac:dyDescent="0.3">
      <c r="A351" s="433" t="s">
        <v>2966</v>
      </c>
      <c r="B351" s="433" t="s">
        <v>2379</v>
      </c>
      <c r="C351" s="433" t="s">
        <v>2949</v>
      </c>
    </row>
    <row r="352" spans="1:3" ht="16.05" customHeight="1" x14ac:dyDescent="0.3">
      <c r="A352" s="433" t="s">
        <v>2955</v>
      </c>
      <c r="B352" s="433" t="s">
        <v>2380</v>
      </c>
      <c r="C352" s="433" t="s">
        <v>2949</v>
      </c>
    </row>
    <row r="353" spans="1:3" ht="16.05" customHeight="1" x14ac:dyDescent="0.3">
      <c r="A353" s="433" t="s">
        <v>2955</v>
      </c>
      <c r="B353" s="433" t="s">
        <v>2380</v>
      </c>
      <c r="C353" s="433" t="s">
        <v>2949</v>
      </c>
    </row>
    <row r="354" spans="1:3" ht="16.05" customHeight="1" x14ac:dyDescent="0.3">
      <c r="A354" s="433" t="s">
        <v>2955</v>
      </c>
      <c r="B354" s="433" t="s">
        <v>2380</v>
      </c>
      <c r="C354" s="433" t="s">
        <v>2949</v>
      </c>
    </row>
    <row r="355" spans="1:3" ht="16.05" customHeight="1" x14ac:dyDescent="0.3">
      <c r="A355" s="433" t="s">
        <v>2955</v>
      </c>
      <c r="B355" s="433" t="s">
        <v>2380</v>
      </c>
      <c r="C355" s="433" t="s">
        <v>2949</v>
      </c>
    </row>
    <row r="356" spans="1:3" ht="16.05" customHeight="1" x14ac:dyDescent="0.3">
      <c r="A356" s="433" t="s">
        <v>2955</v>
      </c>
      <c r="B356" s="433" t="s">
        <v>2380</v>
      </c>
      <c r="C356" s="433" t="s">
        <v>2949</v>
      </c>
    </row>
    <row r="357" spans="1:3" ht="16.05" customHeight="1" x14ac:dyDescent="0.3">
      <c r="A357" s="433" t="s">
        <v>2961</v>
      </c>
      <c r="B357" s="433" t="s">
        <v>2381</v>
      </c>
      <c r="C357" s="433" t="s">
        <v>2949</v>
      </c>
    </row>
    <row r="358" spans="1:3" ht="16.05" customHeight="1" x14ac:dyDescent="0.3">
      <c r="A358" s="433" t="s">
        <v>2961</v>
      </c>
      <c r="B358" s="433" t="s">
        <v>2381</v>
      </c>
      <c r="C358" s="433" t="s">
        <v>2949</v>
      </c>
    </row>
    <row r="359" spans="1:3" ht="16.05" customHeight="1" x14ac:dyDescent="0.3">
      <c r="A359" s="433" t="s">
        <v>2961</v>
      </c>
      <c r="B359" s="433" t="s">
        <v>2381</v>
      </c>
      <c r="C359" s="433" t="s">
        <v>2949</v>
      </c>
    </row>
    <row r="360" spans="1:3" ht="16.05" customHeight="1" x14ac:dyDescent="0.3">
      <c r="A360" s="433" t="s">
        <v>2961</v>
      </c>
      <c r="B360" s="433" t="s">
        <v>2381</v>
      </c>
      <c r="C360" s="433" t="s">
        <v>2949</v>
      </c>
    </row>
    <row r="361" spans="1:3" ht="16.05" customHeight="1" x14ac:dyDescent="0.3">
      <c r="A361" s="433" t="s">
        <v>2961</v>
      </c>
      <c r="B361" s="433" t="s">
        <v>2381</v>
      </c>
      <c r="C361" s="433" t="s">
        <v>2949</v>
      </c>
    </row>
    <row r="362" spans="1:3" ht="16.05" customHeight="1" x14ac:dyDescent="0.3">
      <c r="A362" s="433" t="s">
        <v>2967</v>
      </c>
      <c r="B362" s="433" t="s">
        <v>2382</v>
      </c>
      <c r="C362" s="433" t="s">
        <v>2949</v>
      </c>
    </row>
    <row r="363" spans="1:3" ht="16.05" customHeight="1" x14ac:dyDescent="0.3">
      <c r="A363" s="433" t="s">
        <v>2967</v>
      </c>
      <c r="B363" s="433" t="s">
        <v>2382</v>
      </c>
      <c r="C363" s="433" t="s">
        <v>2949</v>
      </c>
    </row>
    <row r="364" spans="1:3" ht="16.05" customHeight="1" x14ac:dyDescent="0.3">
      <c r="A364" s="433" t="s">
        <v>2967</v>
      </c>
      <c r="B364" s="433" t="s">
        <v>2382</v>
      </c>
      <c r="C364" s="433" t="s">
        <v>2949</v>
      </c>
    </row>
    <row r="365" spans="1:3" ht="16.05" customHeight="1" x14ac:dyDescent="0.3">
      <c r="A365" s="433" t="s">
        <v>2967</v>
      </c>
      <c r="B365" s="433" t="s">
        <v>2382</v>
      </c>
      <c r="C365" s="433" t="s">
        <v>2949</v>
      </c>
    </row>
    <row r="366" spans="1:3" ht="16.05" customHeight="1" x14ac:dyDescent="0.3">
      <c r="A366" s="433" t="s">
        <v>2967</v>
      </c>
      <c r="B366" s="433" t="s">
        <v>2382</v>
      </c>
      <c r="C366" s="433" t="s">
        <v>2949</v>
      </c>
    </row>
    <row r="367" spans="1:3" ht="16.05" customHeight="1" x14ac:dyDescent="0.3">
      <c r="A367" s="433" t="s">
        <v>2956</v>
      </c>
      <c r="B367" s="433" t="s">
        <v>2383</v>
      </c>
      <c r="C367" s="433" t="s">
        <v>2949</v>
      </c>
    </row>
    <row r="368" spans="1:3" ht="16.05" customHeight="1" x14ac:dyDescent="0.3">
      <c r="A368" s="433" t="s">
        <v>2956</v>
      </c>
      <c r="B368" s="433" t="s">
        <v>2383</v>
      </c>
      <c r="C368" s="433" t="s">
        <v>2949</v>
      </c>
    </row>
    <row r="369" spans="1:3" ht="16.05" customHeight="1" x14ac:dyDescent="0.3">
      <c r="A369" s="433" t="s">
        <v>2962</v>
      </c>
      <c r="B369" s="433" t="s">
        <v>2384</v>
      </c>
      <c r="C369" s="433" t="s">
        <v>2949</v>
      </c>
    </row>
    <row r="370" spans="1:3" ht="16.05" customHeight="1" x14ac:dyDescent="0.3">
      <c r="A370" s="433" t="s">
        <v>2962</v>
      </c>
      <c r="B370" s="433" t="s">
        <v>2384</v>
      </c>
      <c r="C370" s="433" t="s">
        <v>2949</v>
      </c>
    </row>
    <row r="371" spans="1:3" ht="16.05" customHeight="1" x14ac:dyDescent="0.3">
      <c r="A371" s="433" t="s">
        <v>2968</v>
      </c>
      <c r="B371" s="433" t="s">
        <v>2385</v>
      </c>
      <c r="C371" s="433" t="s">
        <v>2949</v>
      </c>
    </row>
    <row r="372" spans="1:3" ht="16.05" customHeight="1" x14ac:dyDescent="0.3">
      <c r="A372" s="433" t="s">
        <v>2968</v>
      </c>
      <c r="B372" s="433" t="s">
        <v>2385</v>
      </c>
      <c r="C372" s="433" t="s">
        <v>2949</v>
      </c>
    </row>
    <row r="373" spans="1:3" ht="16.05" customHeight="1" x14ac:dyDescent="0.3">
      <c r="A373" s="433" t="s">
        <v>2957</v>
      </c>
      <c r="B373" s="433" t="s">
        <v>2386</v>
      </c>
      <c r="C373" s="433" t="s">
        <v>2949</v>
      </c>
    </row>
    <row r="374" spans="1:3" ht="16.05" customHeight="1" x14ac:dyDescent="0.3">
      <c r="A374" s="433" t="s">
        <v>2957</v>
      </c>
      <c r="B374" s="433" t="s">
        <v>2386</v>
      </c>
      <c r="C374" s="433" t="s">
        <v>2949</v>
      </c>
    </row>
    <row r="375" spans="1:3" ht="16.05" customHeight="1" x14ac:dyDescent="0.3">
      <c r="A375" s="433" t="s">
        <v>2957</v>
      </c>
      <c r="B375" s="433" t="s">
        <v>2386</v>
      </c>
      <c r="C375" s="433" t="s">
        <v>2949</v>
      </c>
    </row>
    <row r="376" spans="1:3" ht="16.05" customHeight="1" x14ac:dyDescent="0.3">
      <c r="A376" s="433" t="s">
        <v>2963</v>
      </c>
      <c r="B376" s="433" t="s">
        <v>2387</v>
      </c>
      <c r="C376" s="433" t="s">
        <v>2949</v>
      </c>
    </row>
    <row r="377" spans="1:3" ht="16.05" customHeight="1" x14ac:dyDescent="0.3">
      <c r="A377" s="433" t="s">
        <v>2963</v>
      </c>
      <c r="B377" s="433" t="s">
        <v>2387</v>
      </c>
      <c r="C377" s="433" t="s">
        <v>2949</v>
      </c>
    </row>
    <row r="378" spans="1:3" ht="16.05" customHeight="1" x14ac:dyDescent="0.3">
      <c r="A378" s="433" t="s">
        <v>2963</v>
      </c>
      <c r="B378" s="433" t="s">
        <v>2387</v>
      </c>
      <c r="C378" s="433" t="s">
        <v>2949</v>
      </c>
    </row>
    <row r="379" spans="1:3" ht="16.05" customHeight="1" x14ac:dyDescent="0.3">
      <c r="A379" s="433" t="s">
        <v>2969</v>
      </c>
      <c r="B379" s="433" t="s">
        <v>2388</v>
      </c>
      <c r="C379" s="433" t="s">
        <v>2949</v>
      </c>
    </row>
    <row r="380" spans="1:3" ht="16.05" customHeight="1" x14ac:dyDescent="0.3">
      <c r="A380" s="433" t="s">
        <v>2969</v>
      </c>
      <c r="B380" s="433" t="s">
        <v>2388</v>
      </c>
      <c r="C380" s="433" t="s">
        <v>2949</v>
      </c>
    </row>
    <row r="381" spans="1:3" ht="16.05" customHeight="1" x14ac:dyDescent="0.3">
      <c r="A381" s="433" t="s">
        <v>2969</v>
      </c>
      <c r="B381" s="433" t="s">
        <v>2388</v>
      </c>
      <c r="C381" s="433" t="s">
        <v>2949</v>
      </c>
    </row>
  </sheetData>
  <autoFilter ref="A1:F64" xr:uid="{4A9A83A6-5A86-4ABB-B8AB-0443DF9F6452}"/>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1D75-6D0B-4F0C-B63C-612C32636029}">
  <sheetPr codeName="List27"/>
  <dimension ref="A1:Q607"/>
  <sheetViews>
    <sheetView topLeftCell="C212" zoomScale="90" zoomScaleNormal="90" workbookViewId="0">
      <selection activeCell="R227" sqref="R227"/>
    </sheetView>
  </sheetViews>
  <sheetFormatPr defaultRowHeight="14.4" x14ac:dyDescent="0.3"/>
  <cols>
    <col min="1" max="1" width="29.109375" style="610" bestFit="1" customWidth="1"/>
    <col min="2" max="2" width="44.88671875" style="610" customWidth="1"/>
    <col min="3" max="3" width="9.5546875" style="610" bestFit="1" customWidth="1"/>
    <col min="4" max="4" width="9.77734375" style="610" bestFit="1" customWidth="1"/>
    <col min="5" max="5" width="9.5546875" style="610" bestFit="1" customWidth="1"/>
    <col min="6" max="6" width="9.77734375" style="610" bestFit="1" customWidth="1"/>
    <col min="7" max="7" width="10.21875" style="610" bestFit="1" customWidth="1"/>
    <col min="8" max="8" width="9.77734375" style="610" bestFit="1" customWidth="1"/>
    <col min="9" max="9" width="9.5546875" style="610" bestFit="1" customWidth="1"/>
    <col min="10" max="10" width="9.77734375" style="610" bestFit="1" customWidth="1"/>
    <col min="11" max="11" width="10.33203125" style="610" bestFit="1" customWidth="1"/>
    <col min="12" max="12" width="9.77734375" style="610" bestFit="1" customWidth="1"/>
    <col min="13" max="13" width="22.109375" style="610" bestFit="1" customWidth="1"/>
    <col min="14" max="14" width="21.77734375" style="610" bestFit="1" customWidth="1"/>
    <col min="15" max="15" width="20.44140625" style="610" bestFit="1" customWidth="1"/>
    <col min="16" max="16" width="20.5546875" style="610" bestFit="1" customWidth="1"/>
    <col min="17" max="17" width="29" style="610" customWidth="1"/>
    <col min="18" max="16384" width="8.88671875" style="610"/>
  </cols>
  <sheetData>
    <row r="1" spans="1:17" x14ac:dyDescent="0.3">
      <c r="D1" s="610">
        <v>1</v>
      </c>
      <c r="E1" s="611"/>
      <c r="F1" s="611"/>
      <c r="G1" s="611"/>
      <c r="H1" s="611"/>
      <c r="I1" s="611"/>
      <c r="J1" s="611"/>
      <c r="K1" s="611"/>
      <c r="L1" s="611"/>
      <c r="M1" s="612"/>
      <c r="N1" s="611"/>
      <c r="O1" s="611"/>
      <c r="P1" s="611"/>
    </row>
    <row r="2" spans="1:17" x14ac:dyDescent="0.3">
      <c r="M2" s="612"/>
    </row>
    <row r="3" spans="1:17" x14ac:dyDescent="0.3">
      <c r="B3" s="613"/>
      <c r="C3" s="613"/>
      <c r="D3" s="613"/>
      <c r="E3" s="613"/>
      <c r="F3" s="613"/>
      <c r="G3" s="614" t="s">
        <v>32</v>
      </c>
      <c r="H3" s="615">
        <v>25</v>
      </c>
      <c r="I3" s="614" t="s">
        <v>32</v>
      </c>
      <c r="J3" s="615">
        <v>6.5</v>
      </c>
      <c r="K3" s="614" t="s">
        <v>1015</v>
      </c>
      <c r="L3" s="615">
        <v>9.1999999999999993</v>
      </c>
      <c r="M3" s="612"/>
    </row>
    <row r="4" spans="1:17" x14ac:dyDescent="0.3">
      <c r="B4" s="616" t="s">
        <v>33</v>
      </c>
      <c r="C4" s="777" t="s">
        <v>34</v>
      </c>
      <c r="D4" s="778"/>
      <c r="E4" s="777" t="s">
        <v>34</v>
      </c>
      <c r="F4" s="778"/>
      <c r="G4" s="777" t="s">
        <v>35</v>
      </c>
      <c r="H4" s="778"/>
      <c r="I4" s="777" t="s">
        <v>36</v>
      </c>
      <c r="J4" s="778"/>
      <c r="K4" s="777" t="s">
        <v>37</v>
      </c>
      <c r="L4" s="778"/>
      <c r="M4" s="612"/>
    </row>
    <row r="5" spans="1:17" ht="15" thickBot="1" x14ac:dyDescent="0.35">
      <c r="B5" s="617" t="s">
        <v>38</v>
      </c>
      <c r="C5" s="618" t="s">
        <v>39</v>
      </c>
      <c r="D5" s="619" t="s">
        <v>40</v>
      </c>
      <c r="E5" s="618" t="s">
        <v>39</v>
      </c>
      <c r="F5" s="619" t="s">
        <v>40</v>
      </c>
      <c r="G5" s="618" t="s">
        <v>39</v>
      </c>
      <c r="H5" s="619" t="s">
        <v>40</v>
      </c>
      <c r="I5" s="618" t="s">
        <v>39</v>
      </c>
      <c r="J5" s="619" t="s">
        <v>40</v>
      </c>
      <c r="K5" s="618" t="s">
        <v>39</v>
      </c>
      <c r="L5" s="619" t="s">
        <v>40</v>
      </c>
      <c r="M5" s="612" t="s">
        <v>78</v>
      </c>
      <c r="N5" s="610" t="s">
        <v>79</v>
      </c>
      <c r="O5" s="610" t="s">
        <v>80</v>
      </c>
      <c r="P5" s="610" t="s">
        <v>81</v>
      </c>
      <c r="Q5" s="610" t="s">
        <v>2731</v>
      </c>
    </row>
    <row r="6" spans="1:17" ht="15" thickBot="1" x14ac:dyDescent="0.35">
      <c r="A6" s="788" t="s">
        <v>2068</v>
      </c>
      <c r="B6" s="727" t="str">
        <f>IF($D$1=1,M6,IF($D$1=2,N6,IF($D$1=3,O6,IF($D$1=4,P6,IF($D$1=5,Q6,0)))))</f>
        <v>BRW (elox.)</v>
      </c>
      <c r="C6" s="726">
        <f>IF($D$1=1,E6,IF($D$1=2,G6,IF($D$1=3,I6,IF($D$1=4,K6,IF($D$1=5,G6,0)))))</f>
        <v>234.88560000000001</v>
      </c>
      <c r="D6" s="726">
        <f>IF($D$1=1,F6,IF($D$1=2,H6,IF($D$1=3,J6,IF($D$1=4,L6,IF($D$1=5,H6,0)))))</f>
        <v>94.554000000000002</v>
      </c>
      <c r="E6" s="725">
        <v>234.88560000000001</v>
      </c>
      <c r="F6" s="725">
        <v>94.554000000000002</v>
      </c>
      <c r="G6" s="730">
        <v>7.8562014388489221</v>
      </c>
      <c r="H6" s="730">
        <v>3.4963192211538465</v>
      </c>
      <c r="I6" s="730">
        <v>37.774000000000008</v>
      </c>
      <c r="J6" s="730">
        <v>14.123076923076924</v>
      </c>
      <c r="K6" s="732">
        <v>2704.6468889472308</v>
      </c>
      <c r="L6" s="732">
        <v>997.82608695652175</v>
      </c>
      <c r="M6" s="733" t="s">
        <v>991</v>
      </c>
      <c r="N6" s="621" t="s">
        <v>991</v>
      </c>
      <c r="O6" s="621" t="s">
        <v>991</v>
      </c>
      <c r="P6" s="622" t="s">
        <v>991</v>
      </c>
      <c r="Q6" s="610" t="s">
        <v>991</v>
      </c>
    </row>
    <row r="7" spans="1:17" ht="15" thickBot="1" x14ac:dyDescent="0.35">
      <c r="A7" s="789"/>
      <c r="B7" s="727" t="str">
        <f t="shared" ref="B7:B57" si="0">IF($D$1=1,M7,IF($D$1=2,N7,IF($D$1=3,O7,IF($D$1=4,P7,IF($D$1=5,Q7,0)))))</f>
        <v>BRW antracit</v>
      </c>
      <c r="C7" s="726">
        <f t="shared" ref="C7:C57" si="1">IF($D$1=1,E7,IF($D$1=2,G7,IF($D$1=3,I7,IF($D$1=4,K7,IF($D$1=5,G7,0)))))</f>
        <v>458.30880000000002</v>
      </c>
      <c r="D7" s="726">
        <f t="shared" ref="D7:D57" si="2">IF($D$1=1,F7,IF($D$1=2,H7,IF($D$1=3,J7,IF($D$1=4,L7,IF($D$1=5,H7,0)))))</f>
        <v>114.5154</v>
      </c>
      <c r="E7" s="725">
        <v>458.30880000000002</v>
      </c>
      <c r="F7" s="725">
        <v>114.5154</v>
      </c>
      <c r="G7" s="730">
        <v>12.761179856115108</v>
      </c>
      <c r="H7" s="730">
        <v>3.4963192211538465</v>
      </c>
      <c r="I7" s="730">
        <v>61.358000000000004</v>
      </c>
      <c r="J7" s="730">
        <v>17.104615384615386</v>
      </c>
      <c r="K7" s="732">
        <v>4746.9565217391309</v>
      </c>
      <c r="L7" s="732">
        <v>1208.4782608695652</v>
      </c>
      <c r="M7" s="734" t="s">
        <v>1400</v>
      </c>
      <c r="N7" s="623" t="s">
        <v>1400</v>
      </c>
      <c r="O7" s="621" t="s">
        <v>1409</v>
      </c>
      <c r="P7" s="624" t="s">
        <v>1400</v>
      </c>
      <c r="Q7" s="610" t="s">
        <v>1762</v>
      </c>
    </row>
    <row r="8" spans="1:17" ht="15" thickBot="1" x14ac:dyDescent="0.35">
      <c r="A8" s="789"/>
      <c r="B8" s="727" t="str">
        <f t="shared" si="0"/>
        <v>BRW bílá mat</v>
      </c>
      <c r="C8" s="726">
        <f t="shared" si="1"/>
        <v>458.30880000000002</v>
      </c>
      <c r="D8" s="726">
        <f t="shared" si="2"/>
        <v>114.5154</v>
      </c>
      <c r="E8" s="725">
        <v>458.30880000000002</v>
      </c>
      <c r="F8" s="725">
        <v>114.5154</v>
      </c>
      <c r="G8" s="730">
        <v>12.756604316546762</v>
      </c>
      <c r="H8" s="730">
        <v>3.4963192211538465</v>
      </c>
      <c r="I8" s="730">
        <v>61.336000000000006</v>
      </c>
      <c r="J8" s="730">
        <v>17.104615384615386</v>
      </c>
      <c r="K8" s="732">
        <v>4746.9565217391309</v>
      </c>
      <c r="L8" s="732">
        <v>1208.4782608695652</v>
      </c>
      <c r="M8" s="734" t="s">
        <v>1656</v>
      </c>
      <c r="N8" s="623" t="s">
        <v>1657</v>
      </c>
      <c r="O8" s="621" t="s">
        <v>2568</v>
      </c>
      <c r="P8" s="624" t="s">
        <v>1659</v>
      </c>
      <c r="Q8" s="610" t="s">
        <v>1763</v>
      </c>
    </row>
    <row r="9" spans="1:17" ht="15" thickBot="1" x14ac:dyDescent="0.35">
      <c r="A9" s="789"/>
      <c r="B9" s="727" t="str">
        <f t="shared" si="0"/>
        <v>BRW bílá lesk</v>
      </c>
      <c r="C9" s="726">
        <f t="shared" si="1"/>
        <v>458.30880000000002</v>
      </c>
      <c r="D9" s="726">
        <f t="shared" si="2"/>
        <v>114.5154</v>
      </c>
      <c r="E9" s="725">
        <v>458.30880000000002</v>
      </c>
      <c r="F9" s="725">
        <v>114.5154</v>
      </c>
      <c r="G9" s="730">
        <v>12.756604316546762</v>
      </c>
      <c r="H9" s="730">
        <v>3.4986000000000002</v>
      </c>
      <c r="I9" s="730">
        <v>52.971999999999994</v>
      </c>
      <c r="J9" s="730">
        <v>17.105399999999999</v>
      </c>
      <c r="K9" s="732">
        <v>4746.68</v>
      </c>
      <c r="L9" s="732">
        <v>1208.7</v>
      </c>
      <c r="M9" s="734" t="s">
        <v>1660</v>
      </c>
      <c r="N9" s="623" t="s">
        <v>1661</v>
      </c>
      <c r="O9" s="621" t="s">
        <v>2569</v>
      </c>
      <c r="P9" s="624" t="s">
        <v>1663</v>
      </c>
      <c r="Q9" s="610" t="s">
        <v>1764</v>
      </c>
    </row>
    <row r="10" spans="1:17" ht="15" thickBot="1" x14ac:dyDescent="0.35">
      <c r="A10" s="789"/>
      <c r="B10" s="727" t="str">
        <f t="shared" si="0"/>
        <v>BRW hnědá</v>
      </c>
      <c r="C10" s="726">
        <f t="shared" si="1"/>
        <v>368.20440000000002</v>
      </c>
      <c r="D10" s="726">
        <f t="shared" si="2"/>
        <v>114.5154</v>
      </c>
      <c r="E10" s="725">
        <v>368.20440000000002</v>
      </c>
      <c r="F10" s="725">
        <v>114.5154</v>
      </c>
      <c r="G10" s="730">
        <v>8.4238193803076946</v>
      </c>
      <c r="H10" s="730">
        <v>3.4963192211538465</v>
      </c>
      <c r="I10" s="730">
        <v>35.860000000000007</v>
      </c>
      <c r="J10" s="730">
        <v>17.104615384615386</v>
      </c>
      <c r="K10" s="732">
        <v>3813.6956521739135</v>
      </c>
      <c r="L10" s="732">
        <v>1208.4782608695652</v>
      </c>
      <c r="M10" s="734" t="s">
        <v>1410</v>
      </c>
      <c r="N10" s="623" t="s">
        <v>1410</v>
      </c>
      <c r="O10" s="621" t="s">
        <v>1401</v>
      </c>
      <c r="P10" s="624" t="s">
        <v>1411</v>
      </c>
      <c r="Q10" s="610" t="s">
        <v>1765</v>
      </c>
    </row>
    <row r="11" spans="1:17" ht="15" thickBot="1" x14ac:dyDescent="0.35">
      <c r="A11" s="789"/>
      <c r="B11" s="727" t="str">
        <f t="shared" si="0"/>
        <v>BRW broušené</v>
      </c>
      <c r="C11" s="726">
        <f t="shared" si="1"/>
        <v>422.71200000000005</v>
      </c>
      <c r="D11" s="726">
        <f t="shared" si="2"/>
        <v>114.5154</v>
      </c>
      <c r="E11" s="725">
        <v>422.71200000000005</v>
      </c>
      <c r="F11" s="725">
        <v>114.5154</v>
      </c>
      <c r="G11" s="730">
        <v>12.300885173076924</v>
      </c>
      <c r="H11" s="730">
        <v>3.4963192211538465</v>
      </c>
      <c r="I11" s="730">
        <v>52.272000000000006</v>
      </c>
      <c r="J11" s="730">
        <v>17.104615384615386</v>
      </c>
      <c r="K11" s="732">
        <v>4378.2608695652179</v>
      </c>
      <c r="L11" s="732">
        <v>1208.4782608695652</v>
      </c>
      <c r="M11" s="735" t="s">
        <v>992</v>
      </c>
      <c r="N11" s="625" t="s">
        <v>993</v>
      </c>
      <c r="O11" s="621" t="s">
        <v>2570</v>
      </c>
      <c r="P11" s="626" t="s">
        <v>995</v>
      </c>
      <c r="Q11" s="610" t="s">
        <v>1766</v>
      </c>
    </row>
    <row r="12" spans="1:17" ht="15" thickBot="1" x14ac:dyDescent="0.35">
      <c r="A12" s="789"/>
      <c r="B12" s="727" t="str">
        <f t="shared" si="0"/>
        <v>BRW černá mat</v>
      </c>
      <c r="C12" s="726">
        <f t="shared" si="1"/>
        <v>368.20440000000002</v>
      </c>
      <c r="D12" s="726">
        <f t="shared" si="2"/>
        <v>114.5154</v>
      </c>
      <c r="E12" s="725">
        <v>368.20440000000002</v>
      </c>
      <c r="F12" s="725">
        <v>114.5154</v>
      </c>
      <c r="G12" s="730">
        <v>8.4238193803076946</v>
      </c>
      <c r="H12" s="730">
        <v>3.4963192211538465</v>
      </c>
      <c r="I12" s="730">
        <v>35.860000000000007</v>
      </c>
      <c r="J12" s="730">
        <v>17.104615384615386</v>
      </c>
      <c r="K12" s="732">
        <v>3813.6956521739135</v>
      </c>
      <c r="L12" s="732">
        <v>1208.4782608695652</v>
      </c>
      <c r="M12" s="735" t="s">
        <v>1648</v>
      </c>
      <c r="N12" s="625" t="s">
        <v>1649</v>
      </c>
      <c r="O12" s="621" t="s">
        <v>2571</v>
      </c>
      <c r="P12" s="626" t="s">
        <v>1651</v>
      </c>
      <c r="Q12" s="610" t="s">
        <v>1767</v>
      </c>
    </row>
    <row r="13" spans="1:17" ht="15" thickBot="1" x14ac:dyDescent="0.35">
      <c r="A13" s="789"/>
      <c r="B13" s="727" t="str">
        <f t="shared" si="0"/>
        <v>BRW zlatá</v>
      </c>
      <c r="C13" s="726">
        <f t="shared" si="1"/>
        <v>439.94879999999989</v>
      </c>
      <c r="D13" s="726">
        <f t="shared" si="2"/>
        <v>114.5154</v>
      </c>
      <c r="E13" s="725">
        <v>439.94879999999989</v>
      </c>
      <c r="F13" s="725">
        <v>114.5154</v>
      </c>
      <c r="G13" s="730">
        <v>14.714935251798561</v>
      </c>
      <c r="H13" s="730">
        <v>3.4963192211538465</v>
      </c>
      <c r="I13" s="730">
        <v>70.751999999999995</v>
      </c>
      <c r="J13" s="730">
        <v>17.104615384615386</v>
      </c>
      <c r="K13" s="732">
        <v>5065.8965607771061</v>
      </c>
      <c r="L13" s="732">
        <v>1208.4782608695652</v>
      </c>
      <c r="M13" s="736" t="s">
        <v>2984</v>
      </c>
      <c r="N13" s="627" t="s">
        <v>2984</v>
      </c>
      <c r="O13" s="628" t="s">
        <v>2985</v>
      </c>
      <c r="P13" s="628" t="s">
        <v>2986</v>
      </c>
      <c r="Q13" s="629" t="s">
        <v>2987</v>
      </c>
    </row>
    <row r="14" spans="1:17" ht="15" thickBot="1" x14ac:dyDescent="0.35">
      <c r="A14" s="789"/>
      <c r="B14" s="727" t="str">
        <f t="shared" si="0"/>
        <v>BRW černá broušená</v>
      </c>
      <c r="C14" s="726">
        <f t="shared" si="1"/>
        <v>383.77800000000008</v>
      </c>
      <c r="D14" s="726">
        <f t="shared" si="2"/>
        <v>114.5154</v>
      </c>
      <c r="E14" s="725">
        <v>383.77800000000008</v>
      </c>
      <c r="F14" s="725">
        <v>114.5154</v>
      </c>
      <c r="G14" s="730">
        <v>8.4526161720000026</v>
      </c>
      <c r="H14" s="730">
        <v>3.4963192211538465</v>
      </c>
      <c r="I14" s="730">
        <v>36.256000000000007</v>
      </c>
      <c r="J14" s="730">
        <v>17.104615384615386</v>
      </c>
      <c r="K14" s="732">
        <v>3975</v>
      </c>
      <c r="L14" s="732">
        <v>1208.4782608695652</v>
      </c>
      <c r="M14" s="735" t="s">
        <v>996</v>
      </c>
      <c r="N14" s="625" t="s">
        <v>997</v>
      </c>
      <c r="O14" s="621" t="s">
        <v>998</v>
      </c>
      <c r="P14" s="626" t="s">
        <v>999</v>
      </c>
      <c r="Q14" s="610" t="s">
        <v>1769</v>
      </c>
    </row>
    <row r="15" spans="1:17" ht="15" thickBot="1" x14ac:dyDescent="0.35">
      <c r="A15" s="789"/>
      <c r="B15" s="727" t="str">
        <f t="shared" si="0"/>
        <v>BRW světlá nerez (ACIER GRATA)</v>
      </c>
      <c r="C15" s="726">
        <f t="shared" si="1"/>
        <v>380.44080000000002</v>
      </c>
      <c r="D15" s="726">
        <f t="shared" si="2"/>
        <v>114.5154</v>
      </c>
      <c r="E15" s="725">
        <v>380.44080000000002</v>
      </c>
      <c r="F15" s="725">
        <v>114.5154</v>
      </c>
      <c r="G15" s="730">
        <v>10.473410071942446</v>
      </c>
      <c r="H15" s="730">
        <v>3.4963192211538465</v>
      </c>
      <c r="I15" s="730">
        <v>50.358000000000004</v>
      </c>
      <c r="J15" s="730">
        <v>17.104615384615386</v>
      </c>
      <c r="K15" s="732">
        <v>3940.4347826086964</v>
      </c>
      <c r="L15" s="732">
        <v>1208.4782608695652</v>
      </c>
      <c r="M15" s="735" t="s">
        <v>1412</v>
      </c>
      <c r="N15" s="625" t="s">
        <v>1413</v>
      </c>
      <c r="O15" s="621" t="s">
        <v>1414</v>
      </c>
      <c r="P15" s="626" t="s">
        <v>1415</v>
      </c>
      <c r="Q15" s="610" t="s">
        <v>2653</v>
      </c>
    </row>
    <row r="16" spans="1:17" ht="15" thickBot="1" x14ac:dyDescent="0.35">
      <c r="A16" s="789"/>
      <c r="B16" s="727" t="str">
        <f t="shared" si="0"/>
        <v>BRW champagne</v>
      </c>
      <c r="C16" s="726">
        <f t="shared" si="1"/>
        <v>368.20440000000002</v>
      </c>
      <c r="D16" s="726">
        <f t="shared" si="2"/>
        <v>114.5154</v>
      </c>
      <c r="E16" s="725">
        <v>368.20440000000002</v>
      </c>
      <c r="F16" s="725">
        <v>114.5154</v>
      </c>
      <c r="G16" s="730">
        <v>8.424035897538463</v>
      </c>
      <c r="H16" s="730">
        <v>3.4963192211538465</v>
      </c>
      <c r="I16" s="730">
        <v>35.970000000000006</v>
      </c>
      <c r="J16" s="730">
        <v>17.104615384615386</v>
      </c>
      <c r="K16" s="732">
        <v>3813.6956521739135</v>
      </c>
      <c r="L16" s="732">
        <v>1208.4782608695652</v>
      </c>
      <c r="M16" s="735" t="s">
        <v>42</v>
      </c>
      <c r="N16" s="625" t="s">
        <v>42</v>
      </c>
      <c r="O16" s="621" t="s">
        <v>2572</v>
      </c>
      <c r="P16" s="626" t="s">
        <v>624</v>
      </c>
      <c r="Q16" s="610" t="s">
        <v>42</v>
      </c>
    </row>
    <row r="17" spans="1:17" ht="15" thickBot="1" x14ac:dyDescent="0.35">
      <c r="A17" s="789"/>
      <c r="B17" s="727" t="str">
        <f t="shared" si="0"/>
        <v>BRW tmavá nerez br. (Inox lija)</v>
      </c>
      <c r="C17" s="726">
        <f t="shared" si="1"/>
        <v>380.44080000000002</v>
      </c>
      <c r="D17" s="726">
        <f t="shared" si="2"/>
        <v>114.5154</v>
      </c>
      <c r="E17" s="725">
        <v>380.44080000000002</v>
      </c>
      <c r="F17" s="725">
        <v>114.5154</v>
      </c>
      <c r="G17" s="730">
        <v>8.6366016888461541</v>
      </c>
      <c r="H17" s="730">
        <v>3.4963192211538465</v>
      </c>
      <c r="I17" s="730">
        <v>36.916000000000004</v>
      </c>
      <c r="J17" s="730">
        <v>17.104615384615386</v>
      </c>
      <c r="K17" s="732">
        <v>3940.4347826086964</v>
      </c>
      <c r="L17" s="732">
        <v>1208.4782608695652</v>
      </c>
      <c r="M17" s="735" t="s">
        <v>1416</v>
      </c>
      <c r="N17" s="625" t="s">
        <v>1417</v>
      </c>
      <c r="O17" s="621" t="s">
        <v>2573</v>
      </c>
      <c r="P17" s="626" t="s">
        <v>625</v>
      </c>
      <c r="Q17" s="610" t="s">
        <v>2776</v>
      </c>
    </row>
    <row r="18" spans="1:17" ht="15" thickBot="1" x14ac:dyDescent="0.35">
      <c r="A18" s="789"/>
      <c r="B18" s="727" t="str">
        <f t="shared" si="0"/>
        <v>Corleone (elox.)</v>
      </c>
      <c r="C18" s="726">
        <f t="shared" si="1"/>
        <v>422.71200000000005</v>
      </c>
      <c r="D18" s="726">
        <f t="shared" si="2"/>
        <v>164.94420000000002</v>
      </c>
      <c r="E18" s="725">
        <v>422.71200000000005</v>
      </c>
      <c r="F18" s="725">
        <v>164.94420000000002</v>
      </c>
      <c r="G18" s="730">
        <v>10.289873133692309</v>
      </c>
      <c r="H18" s="730">
        <v>5.1526760365384625</v>
      </c>
      <c r="I18" s="730">
        <v>37.532000000000004</v>
      </c>
      <c r="J18" s="730">
        <v>24.636923076923075</v>
      </c>
      <c r="K18" s="732">
        <v>4378.2608695652179</v>
      </c>
      <c r="L18" s="732">
        <v>1740.6521739130435</v>
      </c>
      <c r="M18" s="735" t="s">
        <v>1000</v>
      </c>
      <c r="N18" s="625" t="s">
        <v>1000</v>
      </c>
      <c r="O18" s="621" t="s">
        <v>1000</v>
      </c>
      <c r="P18" s="626" t="s">
        <v>1000</v>
      </c>
      <c r="Q18" s="610" t="s">
        <v>1000</v>
      </c>
    </row>
    <row r="19" spans="1:17" ht="15" thickBot="1" x14ac:dyDescent="0.35">
      <c r="A19" s="789"/>
      <c r="B19" s="727" t="str">
        <f t="shared" si="0"/>
        <v>Corleone černé mat</v>
      </c>
      <c r="C19" s="726">
        <f t="shared" si="1"/>
        <v>545.07600000000002</v>
      </c>
      <c r="D19" s="726">
        <f t="shared" si="2"/>
        <v>164.94420000000002</v>
      </c>
      <c r="E19" s="725">
        <v>545.07600000000002</v>
      </c>
      <c r="F19" s="725">
        <v>164.94420000000002</v>
      </c>
      <c r="G19" s="730">
        <v>14.013211692615387</v>
      </c>
      <c r="H19" s="730">
        <v>5.1526760365384625</v>
      </c>
      <c r="I19" s="730">
        <v>58.300000000000004</v>
      </c>
      <c r="J19" s="730">
        <v>24.636923076923075</v>
      </c>
      <c r="K19" s="732">
        <v>5645.6521739130449</v>
      </c>
      <c r="L19" s="732">
        <v>1740.6521739130435</v>
      </c>
      <c r="M19" s="735" t="s">
        <v>1682</v>
      </c>
      <c r="N19" s="625" t="s">
        <v>1683</v>
      </c>
      <c r="O19" s="621" t="s">
        <v>2574</v>
      </c>
      <c r="P19" s="626" t="s">
        <v>1685</v>
      </c>
      <c r="Q19" s="610" t="s">
        <v>1773</v>
      </c>
    </row>
    <row r="20" spans="1:17" ht="15" thickBot="1" x14ac:dyDescent="0.35">
      <c r="A20" s="789"/>
      <c r="B20" s="727" t="str">
        <f t="shared" si="0"/>
        <v>Corleone champagne</v>
      </c>
      <c r="C20" s="726">
        <f t="shared" si="1"/>
        <v>545.07600000000002</v>
      </c>
      <c r="D20" s="726">
        <f t="shared" si="2"/>
        <v>164.94420000000002</v>
      </c>
      <c r="E20" s="725">
        <v>545.07600000000002</v>
      </c>
      <c r="F20" s="725">
        <v>164.94420000000002</v>
      </c>
      <c r="G20" s="730">
        <v>13.82679035692308</v>
      </c>
      <c r="H20" s="730">
        <v>5.1526760365384625</v>
      </c>
      <c r="I20" s="730">
        <v>64.614000000000004</v>
      </c>
      <c r="J20" s="730">
        <v>24.636923076923075</v>
      </c>
      <c r="K20" s="732">
        <v>5645.6521739130449</v>
      </c>
      <c r="L20" s="732">
        <v>1740.6521739130435</v>
      </c>
      <c r="M20" s="735" t="s">
        <v>1001</v>
      </c>
      <c r="N20" s="625" t="s">
        <v>1001</v>
      </c>
      <c r="O20" s="621" t="s">
        <v>2575</v>
      </c>
      <c r="P20" s="626" t="s">
        <v>1003</v>
      </c>
      <c r="Q20" s="610" t="s">
        <v>1001</v>
      </c>
    </row>
    <row r="21" spans="1:17" ht="15" thickBot="1" x14ac:dyDescent="0.35">
      <c r="A21" s="789"/>
      <c r="B21" s="727" t="str">
        <f t="shared" si="0"/>
        <v>Imola (elox.)</v>
      </c>
      <c r="C21" s="726">
        <f t="shared" si="1"/>
        <v>416.03760000000005</v>
      </c>
      <c r="D21" s="726">
        <f t="shared" si="2"/>
        <v>159.69120000000001</v>
      </c>
      <c r="E21" s="725">
        <v>416.03760000000005</v>
      </c>
      <c r="F21" s="725">
        <v>159.69120000000001</v>
      </c>
      <c r="G21" s="730">
        <v>10.165321596692309</v>
      </c>
      <c r="H21" s="730">
        <v>5.1526760365384625</v>
      </c>
      <c r="I21" s="730">
        <v>47.52000000000001</v>
      </c>
      <c r="J21" s="730">
        <v>23.85230769230769</v>
      </c>
      <c r="K21" s="732">
        <v>4309.1304347826099</v>
      </c>
      <c r="L21" s="732">
        <v>1685.217391304348</v>
      </c>
      <c r="M21" s="735" t="s">
        <v>1004</v>
      </c>
      <c r="N21" s="625" t="s">
        <v>1004</v>
      </c>
      <c r="O21" s="621" t="s">
        <v>1004</v>
      </c>
      <c r="P21" s="626" t="s">
        <v>1004</v>
      </c>
      <c r="Q21" s="610" t="s">
        <v>1004</v>
      </c>
    </row>
    <row r="22" spans="1:17" ht="15" thickBot="1" x14ac:dyDescent="0.35">
      <c r="A22" s="789"/>
      <c r="B22" s="727" t="str">
        <f t="shared" si="0"/>
        <v>Imola černá mat</v>
      </c>
      <c r="C22" s="726">
        <f t="shared" si="1"/>
        <v>545.07600000000002</v>
      </c>
      <c r="D22" s="726">
        <f t="shared" si="2"/>
        <v>164.94420000000002</v>
      </c>
      <c r="E22" s="725">
        <v>545.07600000000002</v>
      </c>
      <c r="F22" s="725">
        <v>164.94420000000002</v>
      </c>
      <c r="G22" s="730">
        <v>13.674000000000001</v>
      </c>
      <c r="H22" s="730">
        <v>5.1526760365384625</v>
      </c>
      <c r="I22" s="730">
        <v>61.116000000000007</v>
      </c>
      <c r="J22" s="730">
        <v>24.636923076923075</v>
      </c>
      <c r="K22" s="732">
        <v>5645.6521739130449</v>
      </c>
      <c r="L22" s="732">
        <v>1740.6521739130435</v>
      </c>
      <c r="M22" s="735" t="s">
        <v>1628</v>
      </c>
      <c r="N22" s="625" t="s">
        <v>1629</v>
      </c>
      <c r="O22" s="621" t="s">
        <v>2576</v>
      </c>
      <c r="P22" s="626" t="s">
        <v>1631</v>
      </c>
      <c r="Q22" s="610" t="s">
        <v>1775</v>
      </c>
    </row>
    <row r="23" spans="1:17" ht="15" thickBot="1" x14ac:dyDescent="0.35">
      <c r="A23" s="789"/>
      <c r="B23" s="727" t="str">
        <f t="shared" si="0"/>
        <v>Imola bílá mat</v>
      </c>
      <c r="C23" s="726">
        <f t="shared" si="1"/>
        <v>843.19920000000002</v>
      </c>
      <c r="D23" s="726">
        <f t="shared" si="2"/>
        <v>164.94420000000002</v>
      </c>
      <c r="E23" s="725">
        <v>843.19920000000002</v>
      </c>
      <c r="F23" s="725">
        <v>164.94420000000002</v>
      </c>
      <c r="G23" s="730">
        <v>21.157600000000002</v>
      </c>
      <c r="H23" s="730">
        <v>5.1509999999999998</v>
      </c>
      <c r="I23" s="730">
        <v>92.95</v>
      </c>
      <c r="J23" s="730">
        <v>24.632999999999999</v>
      </c>
      <c r="K23" s="732">
        <v>8733.34</v>
      </c>
      <c r="L23" s="732">
        <v>1741.14</v>
      </c>
      <c r="M23" s="734" t="s">
        <v>1677</v>
      </c>
      <c r="N23" s="623" t="s">
        <v>1678</v>
      </c>
      <c r="O23" s="621" t="s">
        <v>2577</v>
      </c>
      <c r="P23" s="624" t="s">
        <v>1680</v>
      </c>
      <c r="Q23" s="610" t="s">
        <v>1776</v>
      </c>
    </row>
    <row r="24" spans="1:17" ht="15" thickBot="1" x14ac:dyDescent="0.35">
      <c r="A24" s="789"/>
      <c r="B24" s="727" t="str">
        <f t="shared" si="0"/>
        <v>Modena (elox.)</v>
      </c>
      <c r="C24" s="726">
        <f t="shared" si="1"/>
        <v>377.56800000000004</v>
      </c>
      <c r="D24" s="726">
        <f t="shared" si="2"/>
        <v>153.38759999999999</v>
      </c>
      <c r="E24" s="725">
        <v>377.56800000000004</v>
      </c>
      <c r="F24" s="725">
        <v>153.38759999999999</v>
      </c>
      <c r="G24" s="730">
        <v>12.628489208633095</v>
      </c>
      <c r="H24" s="730">
        <v>5.1526760365384625</v>
      </c>
      <c r="I24" s="730">
        <v>60.720000000000006</v>
      </c>
      <c r="J24" s="730">
        <v>22.91076923076923</v>
      </c>
      <c r="K24" s="732">
        <v>4347.5977946967714</v>
      </c>
      <c r="L24" s="732">
        <v>1618.6956521739135</v>
      </c>
      <c r="M24" s="735" t="s">
        <v>1005</v>
      </c>
      <c r="N24" s="625" t="s">
        <v>1005</v>
      </c>
      <c r="O24" s="621" t="s">
        <v>1005</v>
      </c>
      <c r="P24" s="626" t="s">
        <v>1005</v>
      </c>
      <c r="Q24" s="610" t="s">
        <v>1005</v>
      </c>
    </row>
    <row r="25" spans="1:17" ht="15" thickBot="1" x14ac:dyDescent="0.35">
      <c r="A25" s="789"/>
      <c r="B25" s="727" t="str">
        <f t="shared" si="0"/>
        <v>Modena černá mat</v>
      </c>
      <c r="C25" s="726">
        <f t="shared" si="1"/>
        <v>434.94840000000005</v>
      </c>
      <c r="D25" s="726">
        <f t="shared" si="2"/>
        <v>153.38759999999999</v>
      </c>
      <c r="E25" s="725">
        <v>434.94840000000005</v>
      </c>
      <c r="F25" s="725">
        <v>153.38759999999999</v>
      </c>
      <c r="G25" s="730">
        <v>12.460999665230771</v>
      </c>
      <c r="H25" s="730">
        <v>5.1526760365384625</v>
      </c>
      <c r="I25" s="730">
        <v>57.464000000000006</v>
      </c>
      <c r="J25" s="730">
        <v>22.91076923076923</v>
      </c>
      <c r="K25" s="732">
        <v>4505</v>
      </c>
      <c r="L25" s="732">
        <v>1618.6956521739135</v>
      </c>
      <c r="M25" s="735" t="s">
        <v>1640</v>
      </c>
      <c r="N25" s="625" t="s">
        <v>1641</v>
      </c>
      <c r="O25" s="621" t="s">
        <v>2578</v>
      </c>
      <c r="P25" s="626" t="s">
        <v>1643</v>
      </c>
      <c r="Q25" s="610" t="s">
        <v>1778</v>
      </c>
    </row>
    <row r="26" spans="1:17" ht="15" thickBot="1" x14ac:dyDescent="0.35">
      <c r="A26" s="789"/>
      <c r="B26" s="727" t="str">
        <f t="shared" si="0"/>
        <v>Verona zlatá</v>
      </c>
      <c r="C26" s="726">
        <f t="shared" si="1"/>
        <v>379.07279999999997</v>
      </c>
      <c r="D26" s="726">
        <f t="shared" si="2"/>
        <v>114.5154</v>
      </c>
      <c r="E26" s="725">
        <v>379.07279999999997</v>
      </c>
      <c r="F26" s="725">
        <v>114.5154</v>
      </c>
      <c r="G26" s="730">
        <v>12.678820143884892</v>
      </c>
      <c r="H26" s="730">
        <v>3.4963192211538465</v>
      </c>
      <c r="I26" s="730">
        <v>60.962000000000003</v>
      </c>
      <c r="J26" s="730">
        <v>17.104615384615386</v>
      </c>
      <c r="K26" s="732">
        <v>4364.9251772118669</v>
      </c>
      <c r="L26" s="732">
        <v>1208.4782608695652</v>
      </c>
      <c r="M26" s="736" t="s">
        <v>2988</v>
      </c>
      <c r="N26" s="627" t="s">
        <v>2988</v>
      </c>
      <c r="O26" s="628" t="s">
        <v>2989</v>
      </c>
      <c r="P26" s="628" t="s">
        <v>2990</v>
      </c>
      <c r="Q26" s="629" t="s">
        <v>2991</v>
      </c>
    </row>
    <row r="27" spans="1:17" ht="15" thickBot="1" x14ac:dyDescent="0.35">
      <c r="A27" s="789"/>
      <c r="B27" s="727" t="str">
        <f t="shared" si="0"/>
        <v>Modena černá broušená</v>
      </c>
      <c r="C27" s="726">
        <f t="shared" si="1"/>
        <v>545.07600000000002</v>
      </c>
      <c r="D27" s="726">
        <f t="shared" si="2"/>
        <v>153.38759999999999</v>
      </c>
      <c r="E27" s="725">
        <v>545.07600000000002</v>
      </c>
      <c r="F27" s="725">
        <v>153.38759999999999</v>
      </c>
      <c r="G27" s="730">
        <v>12.333362757692308</v>
      </c>
      <c r="H27" s="730">
        <v>5.1526760365384625</v>
      </c>
      <c r="I27" s="730">
        <v>54.516000000000005</v>
      </c>
      <c r="J27" s="730">
        <v>22.91076923076923</v>
      </c>
      <c r="K27" s="732">
        <v>5645.6521739130449</v>
      </c>
      <c r="L27" s="732">
        <v>1618.6956521739135</v>
      </c>
      <c r="M27" s="734" t="s">
        <v>688</v>
      </c>
      <c r="N27" s="623" t="s">
        <v>689</v>
      </c>
      <c r="O27" s="621" t="s">
        <v>690</v>
      </c>
      <c r="P27" s="624" t="s">
        <v>691</v>
      </c>
      <c r="Q27" s="610" t="s">
        <v>2945</v>
      </c>
    </row>
    <row r="28" spans="1:17" ht="15" thickBot="1" x14ac:dyDescent="0.35">
      <c r="A28" s="789"/>
      <c r="B28" s="727" t="str">
        <f t="shared" si="0"/>
        <v>Modena tmavá nerez br. (inox lija)</v>
      </c>
      <c r="C28" s="726">
        <f t="shared" si="1"/>
        <v>549.52560000000005</v>
      </c>
      <c r="D28" s="726">
        <f t="shared" si="2"/>
        <v>153.38759999999999</v>
      </c>
      <c r="E28" s="725">
        <v>549.52560000000005</v>
      </c>
      <c r="F28" s="725">
        <v>153.38759999999999</v>
      </c>
      <c r="G28" s="730">
        <v>12.333362757692308</v>
      </c>
      <c r="H28" s="730">
        <v>5.1526760365384625</v>
      </c>
      <c r="I28" s="730">
        <v>54.516000000000005</v>
      </c>
      <c r="J28" s="730">
        <v>22.91076923076923</v>
      </c>
      <c r="K28" s="732">
        <v>5691.7391304347839</v>
      </c>
      <c r="L28" s="732">
        <v>1618.6956521739135</v>
      </c>
      <c r="M28" s="734" t="s">
        <v>1418</v>
      </c>
      <c r="N28" s="623" t="s">
        <v>1419</v>
      </c>
      <c r="O28" s="621" t="s">
        <v>2579</v>
      </c>
      <c r="P28" s="624" t="s">
        <v>687</v>
      </c>
      <c r="Q28" s="610" t="s">
        <v>2946</v>
      </c>
    </row>
    <row r="29" spans="1:17" ht="15" thickBot="1" x14ac:dyDescent="0.35">
      <c r="A29" s="789"/>
      <c r="B29" s="727" t="str">
        <f t="shared" si="0"/>
        <v>Palio (elox.)</v>
      </c>
      <c r="C29" s="726">
        <f t="shared" si="1"/>
        <v>410.47560000000004</v>
      </c>
      <c r="D29" s="726">
        <f t="shared" si="2"/>
        <v>148.13460000000001</v>
      </c>
      <c r="E29" s="725">
        <v>410.47560000000004</v>
      </c>
      <c r="F29" s="725">
        <v>148.13460000000001</v>
      </c>
      <c r="G29" s="730">
        <v>10.938721145000002</v>
      </c>
      <c r="H29" s="730">
        <v>4.7385868326923077</v>
      </c>
      <c r="I29" s="730">
        <v>48.796000000000006</v>
      </c>
      <c r="J29" s="730">
        <v>22.126153846153848</v>
      </c>
      <c r="K29" s="732">
        <v>4251.521739130435</v>
      </c>
      <c r="L29" s="732">
        <v>1563.2608695652175</v>
      </c>
      <c r="M29" s="735" t="s">
        <v>1006</v>
      </c>
      <c r="N29" s="623" t="s">
        <v>1006</v>
      </c>
      <c r="O29" s="621" t="s">
        <v>1006</v>
      </c>
      <c r="P29" s="624" t="s">
        <v>1006</v>
      </c>
      <c r="Q29" s="610" t="s">
        <v>1006</v>
      </c>
    </row>
    <row r="30" spans="1:17" ht="15" thickBot="1" x14ac:dyDescent="0.35">
      <c r="A30" s="789"/>
      <c r="B30" s="727" t="str">
        <f t="shared" si="0"/>
        <v>Palio černá mat</v>
      </c>
      <c r="C30" s="726">
        <f t="shared" si="1"/>
        <v>410.47560000000004</v>
      </c>
      <c r="D30" s="726">
        <f t="shared" si="2"/>
        <v>148.13460000000001</v>
      </c>
      <c r="E30" s="725">
        <v>410.47560000000004</v>
      </c>
      <c r="F30" s="725">
        <v>148.13460000000001</v>
      </c>
      <c r="G30" s="730">
        <v>12.628489208633095</v>
      </c>
      <c r="H30" s="730">
        <v>4.7385868326923077</v>
      </c>
      <c r="I30" s="730">
        <v>60.720000000000006</v>
      </c>
      <c r="J30" s="730">
        <v>22.126153846153848</v>
      </c>
      <c r="K30" s="732">
        <v>4347.5977946967714</v>
      </c>
      <c r="L30" s="732">
        <v>1563.2608695652175</v>
      </c>
      <c r="M30" s="735" t="s">
        <v>2118</v>
      </c>
      <c r="N30" s="623" t="s">
        <v>2324</v>
      </c>
      <c r="O30" s="621" t="s">
        <v>2580</v>
      </c>
      <c r="P30" s="624" t="s">
        <v>2325</v>
      </c>
      <c r="Q30" s="610" t="s">
        <v>2777</v>
      </c>
    </row>
    <row r="31" spans="1:17" ht="15" thickBot="1" x14ac:dyDescent="0.35">
      <c r="A31" s="789"/>
      <c r="B31" s="727" t="str">
        <f t="shared" si="0"/>
        <v>Pisa (elox.)</v>
      </c>
      <c r="C31" s="726">
        <f t="shared" si="1"/>
        <v>400.46400000000006</v>
      </c>
      <c r="D31" s="726">
        <f t="shared" si="2"/>
        <v>164.94420000000002</v>
      </c>
      <c r="E31" s="725">
        <v>400.46400000000006</v>
      </c>
      <c r="F31" s="725">
        <v>164.94420000000002</v>
      </c>
      <c r="G31" s="730">
        <v>9.9078284800000027</v>
      </c>
      <c r="H31" s="730">
        <v>5.2503385846153847</v>
      </c>
      <c r="I31" s="730">
        <v>46.31</v>
      </c>
      <c r="J31" s="730">
        <v>24.636923076923075</v>
      </c>
      <c r="K31" s="732">
        <v>4147.826086956522</v>
      </c>
      <c r="L31" s="732">
        <v>1740.6521739130435</v>
      </c>
      <c r="M31" s="735" t="s">
        <v>1007</v>
      </c>
      <c r="N31" s="623" t="s">
        <v>1007</v>
      </c>
      <c r="O31" s="621" t="s">
        <v>1007</v>
      </c>
      <c r="P31" s="624" t="s">
        <v>1007</v>
      </c>
      <c r="Q31" s="610" t="s">
        <v>1007</v>
      </c>
    </row>
    <row r="32" spans="1:17" ht="15" thickBot="1" x14ac:dyDescent="0.35">
      <c r="A32" s="789"/>
      <c r="B32" s="727" t="str">
        <f t="shared" si="0"/>
        <v>Pisa černá mat</v>
      </c>
      <c r="C32" s="726">
        <f t="shared" si="1"/>
        <v>507.25440000000003</v>
      </c>
      <c r="D32" s="726">
        <f t="shared" si="2"/>
        <v>164.94420000000002</v>
      </c>
      <c r="E32" s="725">
        <v>507.25440000000003</v>
      </c>
      <c r="F32" s="725">
        <v>164.94420000000002</v>
      </c>
      <c r="G32" s="730">
        <v>12.349763937923079</v>
      </c>
      <c r="H32" s="730">
        <v>5.2503385846153847</v>
      </c>
      <c r="I32" s="730">
        <v>57.728000000000002</v>
      </c>
      <c r="J32" s="730">
        <v>24.636923076923075</v>
      </c>
      <c r="K32" s="732">
        <v>5253.913043478261</v>
      </c>
      <c r="L32" s="732">
        <v>1740.6521739130435</v>
      </c>
      <c r="M32" s="735" t="s">
        <v>1632</v>
      </c>
      <c r="N32" s="625" t="s">
        <v>1633</v>
      </c>
      <c r="O32" s="621" t="s">
        <v>2581</v>
      </c>
      <c r="P32" s="626" t="s">
        <v>1635</v>
      </c>
      <c r="Q32" s="610" t="s">
        <v>1784</v>
      </c>
    </row>
    <row r="33" spans="1:17" ht="15" thickBot="1" x14ac:dyDescent="0.35">
      <c r="A33" s="789"/>
      <c r="B33" s="727" t="str">
        <f t="shared" si="0"/>
        <v>Vivaro zlatá</v>
      </c>
      <c r="C33" s="726">
        <f t="shared" si="1"/>
        <v>494.80559999999997</v>
      </c>
      <c r="D33" s="726">
        <f t="shared" si="2"/>
        <v>148.13460000000001</v>
      </c>
      <c r="E33" s="725">
        <v>494.80559999999997</v>
      </c>
      <c r="F33" s="725">
        <v>148.13460000000001</v>
      </c>
      <c r="G33" s="730">
        <v>16.549726618705037</v>
      </c>
      <c r="H33" s="730">
        <v>4.7385868326923077</v>
      </c>
      <c r="I33" s="730">
        <v>79.574000000000012</v>
      </c>
      <c r="J33" s="730">
        <v>22.126153846153848</v>
      </c>
      <c r="K33" s="732">
        <v>5697.5584142819644</v>
      </c>
      <c r="L33" s="732">
        <v>1563.2608695652175</v>
      </c>
      <c r="M33" s="736" t="s">
        <v>2992</v>
      </c>
      <c r="N33" s="627" t="s">
        <v>2992</v>
      </c>
      <c r="O33" s="628" t="s">
        <v>2993</v>
      </c>
      <c r="P33" s="628" t="s">
        <v>2994</v>
      </c>
      <c r="Q33" s="629" t="s">
        <v>2995</v>
      </c>
    </row>
    <row r="34" spans="1:17" ht="15" thickBot="1" x14ac:dyDescent="0.35">
      <c r="A34" s="789"/>
      <c r="B34" s="727" t="str">
        <f t="shared" si="0"/>
        <v>Ravena (elox.)</v>
      </c>
      <c r="C34" s="726">
        <f t="shared" si="1"/>
        <v>300.34800000000007</v>
      </c>
      <c r="D34" s="726">
        <f t="shared" si="2"/>
        <v>114.5154</v>
      </c>
      <c r="E34" s="725">
        <v>300.34800000000007</v>
      </c>
      <c r="F34" s="725">
        <v>114.5154</v>
      </c>
      <c r="G34" s="730">
        <v>9.0856042961538481</v>
      </c>
      <c r="H34" s="730">
        <v>3.4963192211538465</v>
      </c>
      <c r="I34" s="730">
        <v>30.206000000000003</v>
      </c>
      <c r="J34" s="730">
        <v>17.104615384615386</v>
      </c>
      <c r="K34" s="732">
        <v>3110.8695652173919</v>
      </c>
      <c r="L34" s="732">
        <v>1208.4782608695652</v>
      </c>
      <c r="M34" s="735" t="s">
        <v>1420</v>
      </c>
      <c r="N34" s="625" t="s">
        <v>1008</v>
      </c>
      <c r="O34" s="621" t="s">
        <v>1008</v>
      </c>
      <c r="P34" s="626" t="s">
        <v>1008</v>
      </c>
      <c r="Q34" s="610" t="s">
        <v>1420</v>
      </c>
    </row>
    <row r="35" spans="1:17" ht="15" thickBot="1" x14ac:dyDescent="0.35">
      <c r="A35" s="789"/>
      <c r="B35" s="727" t="str">
        <f t="shared" si="0"/>
        <v>Siena (elox.)</v>
      </c>
      <c r="C35" s="726">
        <f t="shared" si="1"/>
        <v>410.47560000000004</v>
      </c>
      <c r="D35" s="726">
        <f t="shared" si="2"/>
        <v>148.13460000000001</v>
      </c>
      <c r="E35" s="725">
        <v>410.47560000000004</v>
      </c>
      <c r="F35" s="725">
        <v>148.13460000000001</v>
      </c>
      <c r="G35" s="730">
        <v>10.938721145000002</v>
      </c>
      <c r="H35" s="730">
        <v>4.7385868326923077</v>
      </c>
      <c r="I35" s="730">
        <v>48.796000000000006</v>
      </c>
      <c r="J35" s="730">
        <v>22.126153846153848</v>
      </c>
      <c r="K35" s="732">
        <v>4251.521739130435</v>
      </c>
      <c r="L35" s="732">
        <v>1563.2608695652175</v>
      </c>
      <c r="M35" s="735" t="s">
        <v>1009</v>
      </c>
      <c r="N35" s="625" t="s">
        <v>1009</v>
      </c>
      <c r="O35" s="621" t="s">
        <v>1009</v>
      </c>
      <c r="P35" s="626" t="s">
        <v>1009</v>
      </c>
      <c r="Q35" s="610" t="s">
        <v>1009</v>
      </c>
    </row>
    <row r="36" spans="1:17" ht="15" thickBot="1" x14ac:dyDescent="0.35">
      <c r="A36" s="789"/>
      <c r="B36" s="727" t="str">
        <f t="shared" si="0"/>
        <v>Siena černá mat</v>
      </c>
      <c r="C36" s="726">
        <f t="shared" si="1"/>
        <v>410.47560000000004</v>
      </c>
      <c r="D36" s="726">
        <f t="shared" si="2"/>
        <v>148.13460000000001</v>
      </c>
      <c r="E36" s="725">
        <v>410.47560000000004</v>
      </c>
      <c r="F36" s="725">
        <v>148.13460000000001</v>
      </c>
      <c r="G36" s="730">
        <v>12.628489208633095</v>
      </c>
      <c r="H36" s="730">
        <v>4.7385868326923077</v>
      </c>
      <c r="I36" s="730">
        <v>60.720000000000006</v>
      </c>
      <c r="J36" s="730">
        <v>22.126153846153848</v>
      </c>
      <c r="K36" s="732">
        <v>4347.5977946967714</v>
      </c>
      <c r="L36" s="732">
        <v>1563.2608695652175</v>
      </c>
      <c r="M36" s="735" t="s">
        <v>2120</v>
      </c>
      <c r="N36" s="625" t="s">
        <v>2326</v>
      </c>
      <c r="O36" s="621" t="s">
        <v>2582</v>
      </c>
      <c r="P36" s="626" t="s">
        <v>2327</v>
      </c>
      <c r="Q36" s="610" t="s">
        <v>2778</v>
      </c>
    </row>
    <row r="37" spans="1:17" ht="15" thickBot="1" x14ac:dyDescent="0.35">
      <c r="A37" s="789"/>
      <c r="B37" s="727" t="str">
        <f t="shared" si="0"/>
        <v>Verona (elox.)</v>
      </c>
      <c r="C37" s="726">
        <f t="shared" si="1"/>
        <v>278.10000000000002</v>
      </c>
      <c r="D37" s="726">
        <f t="shared" si="2"/>
        <v>94.554000000000002</v>
      </c>
      <c r="E37" s="725">
        <v>278.10000000000002</v>
      </c>
      <c r="F37" s="725">
        <v>94.554000000000002</v>
      </c>
      <c r="G37" s="730">
        <v>6.6627764838461543</v>
      </c>
      <c r="H37" s="730">
        <v>3.4963192211538465</v>
      </c>
      <c r="I37" s="730">
        <v>27.962000000000003</v>
      </c>
      <c r="J37" s="730">
        <v>14.123076923076924</v>
      </c>
      <c r="K37" s="732">
        <v>2880.4347826086955</v>
      </c>
      <c r="L37" s="732">
        <v>997.82608695652175</v>
      </c>
      <c r="M37" s="735" t="s">
        <v>1010</v>
      </c>
      <c r="N37" s="625" t="s">
        <v>1010</v>
      </c>
      <c r="O37" s="621" t="s">
        <v>1010</v>
      </c>
      <c r="P37" s="626" t="s">
        <v>1010</v>
      </c>
      <c r="Q37" s="610" t="s">
        <v>1010</v>
      </c>
    </row>
    <row r="38" spans="1:17" ht="15" thickBot="1" x14ac:dyDescent="0.35">
      <c r="A38" s="789"/>
      <c r="B38" s="727" t="str">
        <f t="shared" si="0"/>
        <v>Verona broušený hliník</v>
      </c>
      <c r="C38" s="726">
        <f t="shared" si="1"/>
        <v>482.78160000000008</v>
      </c>
      <c r="D38" s="726">
        <f t="shared" si="2"/>
        <v>114.5154</v>
      </c>
      <c r="E38" s="725">
        <v>482.78160000000008</v>
      </c>
      <c r="F38" s="725">
        <v>114.5154</v>
      </c>
      <c r="G38" s="730">
        <v>10.054518903846153</v>
      </c>
      <c r="H38" s="730">
        <v>3.4963192211538465</v>
      </c>
      <c r="I38" s="730">
        <v>44.131999999999998</v>
      </c>
      <c r="J38" s="730">
        <v>17.104615384615386</v>
      </c>
      <c r="K38" s="732">
        <v>5000.4347826086969</v>
      </c>
      <c r="L38" s="732">
        <v>1208.4782608695652</v>
      </c>
      <c r="M38" s="735" t="s">
        <v>1421</v>
      </c>
      <c r="N38" s="625" t="s">
        <v>700</v>
      </c>
      <c r="O38" s="621" t="s">
        <v>2583</v>
      </c>
      <c r="P38" s="626" t="s">
        <v>702</v>
      </c>
      <c r="Q38" s="610" t="s">
        <v>2947</v>
      </c>
    </row>
    <row r="39" spans="1:17" ht="15" thickBot="1" x14ac:dyDescent="0.35">
      <c r="A39" s="789"/>
      <c r="B39" s="727" t="str">
        <f t="shared" si="0"/>
        <v>Verona černá lesk</v>
      </c>
      <c r="C39" s="726">
        <f t="shared" si="1"/>
        <v>403.80119999999999</v>
      </c>
      <c r="D39" s="726">
        <f t="shared" si="2"/>
        <v>114.5154</v>
      </c>
      <c r="E39" s="725">
        <v>403.80119999999999</v>
      </c>
      <c r="F39" s="725">
        <v>114.5154</v>
      </c>
      <c r="G39" s="730">
        <v>9.2350011853846166</v>
      </c>
      <c r="H39" s="730">
        <v>3.4963192211538465</v>
      </c>
      <c r="I39" s="730">
        <v>43.472000000000008</v>
      </c>
      <c r="J39" s="730">
        <v>17.104615384615386</v>
      </c>
      <c r="K39" s="732">
        <v>4182.3913043478269</v>
      </c>
      <c r="L39" s="732">
        <v>1208.4782608695652</v>
      </c>
      <c r="M39" s="735" t="s">
        <v>696</v>
      </c>
      <c r="N39" s="625" t="s">
        <v>697</v>
      </c>
      <c r="O39" s="621" t="s">
        <v>698</v>
      </c>
      <c r="P39" s="626" t="s">
        <v>699</v>
      </c>
      <c r="Q39" s="610" t="s">
        <v>1790</v>
      </c>
    </row>
    <row r="40" spans="1:17" ht="15" thickBot="1" x14ac:dyDescent="0.35">
      <c r="A40" s="789"/>
      <c r="B40" s="727" t="str">
        <f t="shared" si="0"/>
        <v>Verona černá mat</v>
      </c>
      <c r="C40" s="726">
        <f t="shared" si="1"/>
        <v>403.80119999999999</v>
      </c>
      <c r="D40" s="726">
        <f t="shared" si="2"/>
        <v>114.5154</v>
      </c>
      <c r="E40" s="725">
        <v>403.80119999999999</v>
      </c>
      <c r="F40" s="725">
        <v>114.5154</v>
      </c>
      <c r="G40" s="730">
        <v>9.2350011853846166</v>
      </c>
      <c r="H40" s="730">
        <v>3.4963192211538465</v>
      </c>
      <c r="I40" s="730">
        <v>38.433999999999997</v>
      </c>
      <c r="J40" s="730">
        <v>17.104615384615386</v>
      </c>
      <c r="K40" s="732">
        <v>4182.3913043478269</v>
      </c>
      <c r="L40" s="732">
        <v>1208.4782608695652</v>
      </c>
      <c r="M40" s="735" t="s">
        <v>1616</v>
      </c>
      <c r="N40" s="625" t="s">
        <v>1617</v>
      </c>
      <c r="O40" s="621" t="s">
        <v>2584</v>
      </c>
      <c r="P40" s="626" t="s">
        <v>1619</v>
      </c>
      <c r="Q40" s="610" t="s">
        <v>1791</v>
      </c>
    </row>
    <row r="41" spans="1:17" ht="15" thickBot="1" x14ac:dyDescent="0.35">
      <c r="A41" s="789"/>
      <c r="B41" s="727" t="str">
        <f t="shared" si="0"/>
        <v>Verona hnědá</v>
      </c>
      <c r="C41" s="726">
        <f t="shared" si="1"/>
        <v>403.80119999999999</v>
      </c>
      <c r="D41" s="726">
        <f t="shared" si="2"/>
        <v>114.5154</v>
      </c>
      <c r="E41" s="725">
        <v>403.80119999999999</v>
      </c>
      <c r="F41" s="725">
        <v>114.5154</v>
      </c>
      <c r="G41" s="730">
        <v>9.9884028776978404</v>
      </c>
      <c r="H41" s="730">
        <v>3.4963192211538465</v>
      </c>
      <c r="I41" s="730">
        <v>48.026000000000003</v>
      </c>
      <c r="J41" s="730">
        <v>17.104615384615386</v>
      </c>
      <c r="K41" s="732">
        <v>4182.3913043478269</v>
      </c>
      <c r="L41" s="732">
        <v>1208.4782608695652</v>
      </c>
      <c r="M41" s="734" t="s">
        <v>1422</v>
      </c>
      <c r="N41" s="623" t="s">
        <v>1422</v>
      </c>
      <c r="O41" s="621" t="s">
        <v>1423</v>
      </c>
      <c r="P41" s="624" t="s">
        <v>1424</v>
      </c>
      <c r="Q41" s="610" t="s">
        <v>1792</v>
      </c>
    </row>
    <row r="42" spans="1:17" ht="15" thickBot="1" x14ac:dyDescent="0.35">
      <c r="A42" s="789"/>
      <c r="B42" s="727" t="str">
        <f t="shared" si="0"/>
        <v>Verona champagne</v>
      </c>
      <c r="C42" s="726">
        <f t="shared" si="1"/>
        <v>373.76640000000003</v>
      </c>
      <c r="D42" s="726">
        <f t="shared" si="2"/>
        <v>114.5154</v>
      </c>
      <c r="E42" s="725">
        <v>373.76640000000003</v>
      </c>
      <c r="F42" s="725">
        <v>114.5154</v>
      </c>
      <c r="G42" s="730">
        <v>8.5770594503846169</v>
      </c>
      <c r="H42" s="730">
        <v>3.4963192211538465</v>
      </c>
      <c r="I42" s="730">
        <v>36.938000000000002</v>
      </c>
      <c r="J42" s="730">
        <v>17.104615384615386</v>
      </c>
      <c r="K42" s="732">
        <v>3871.3043478260879</v>
      </c>
      <c r="L42" s="732">
        <v>1208.4782608695652</v>
      </c>
      <c r="M42" s="734" t="s">
        <v>693</v>
      </c>
      <c r="N42" s="623" t="s">
        <v>693</v>
      </c>
      <c r="O42" s="621" t="s">
        <v>2585</v>
      </c>
      <c r="P42" s="624" t="s">
        <v>695</v>
      </c>
      <c r="Q42" s="610" t="s">
        <v>693</v>
      </c>
    </row>
    <row r="43" spans="1:17" ht="15" thickBot="1" x14ac:dyDescent="0.35">
      <c r="A43" s="789"/>
      <c r="B43" s="727" t="str">
        <f t="shared" si="0"/>
        <v>Verona tmavá nerez broušená</v>
      </c>
      <c r="C43" s="726">
        <f t="shared" si="1"/>
        <v>495.01800000000003</v>
      </c>
      <c r="D43" s="726">
        <f t="shared" si="2"/>
        <v>114.5154</v>
      </c>
      <c r="E43" s="725">
        <v>495.01800000000003</v>
      </c>
      <c r="F43" s="725">
        <v>114.5154</v>
      </c>
      <c r="G43" s="730">
        <v>10.341404234615386</v>
      </c>
      <c r="H43" s="730">
        <v>3.4963192211538465</v>
      </c>
      <c r="I43" s="730">
        <v>45.496000000000002</v>
      </c>
      <c r="J43" s="730">
        <v>17.104615384615386</v>
      </c>
      <c r="K43" s="732">
        <v>5127.173913043478</v>
      </c>
      <c r="L43" s="732">
        <v>1208.4782608695652</v>
      </c>
      <c r="M43" s="735" t="s">
        <v>1425</v>
      </c>
      <c r="N43" s="625" t="s">
        <v>703</v>
      </c>
      <c r="O43" s="621" t="s">
        <v>2586</v>
      </c>
      <c r="P43" s="626" t="s">
        <v>705</v>
      </c>
      <c r="Q43" s="610" t="s">
        <v>2948</v>
      </c>
    </row>
    <row r="44" spans="1:17" ht="15" thickBot="1" x14ac:dyDescent="0.35">
      <c r="A44" s="789"/>
      <c r="B44" s="727" t="str">
        <f t="shared" si="0"/>
        <v>Verona světlá nerez (Acier grata)</v>
      </c>
      <c r="C44" s="726">
        <f t="shared" si="1"/>
        <v>495.01800000000003</v>
      </c>
      <c r="D44" s="726">
        <f t="shared" si="2"/>
        <v>114.5154</v>
      </c>
      <c r="E44" s="725">
        <v>495.01800000000003</v>
      </c>
      <c r="F44" s="725">
        <v>114.5154</v>
      </c>
      <c r="G44" s="730">
        <v>10.032867180769232</v>
      </c>
      <c r="H44" s="730">
        <v>3.4963192211538465</v>
      </c>
      <c r="I44" s="730">
        <v>43.736000000000004</v>
      </c>
      <c r="J44" s="730">
        <v>17.104615384615386</v>
      </c>
      <c r="K44" s="732">
        <v>5127.173913043478</v>
      </c>
      <c r="L44" s="732">
        <v>1208.4782608695652</v>
      </c>
      <c r="M44" s="735" t="s">
        <v>1426</v>
      </c>
      <c r="N44" s="625" t="s">
        <v>1427</v>
      </c>
      <c r="O44" s="621" t="s">
        <v>2587</v>
      </c>
      <c r="P44" s="626" t="s">
        <v>1429</v>
      </c>
      <c r="Q44" s="610" t="s">
        <v>1794</v>
      </c>
    </row>
    <row r="45" spans="1:17" ht="15" thickBot="1" x14ac:dyDescent="0.35">
      <c r="A45" s="789"/>
      <c r="B45" s="727" t="str">
        <f t="shared" si="0"/>
        <v>Vivaro (elox.)</v>
      </c>
      <c r="C45" s="726">
        <f t="shared" si="1"/>
        <v>403.80119999999999</v>
      </c>
      <c r="D45" s="726">
        <f t="shared" si="2"/>
        <v>159.69120000000001</v>
      </c>
      <c r="E45" s="725">
        <v>403.80119999999999</v>
      </c>
      <c r="F45" s="725">
        <v>159.69120000000001</v>
      </c>
      <c r="G45" s="730">
        <v>10.849786692461539</v>
      </c>
      <c r="H45" s="730">
        <v>5.1526760365384625</v>
      </c>
      <c r="I45" s="730">
        <v>46.574000000000005</v>
      </c>
      <c r="J45" s="730">
        <v>23.85230769230769</v>
      </c>
      <c r="K45" s="732">
        <v>4182.3913043478269</v>
      </c>
      <c r="L45" s="732">
        <v>1685.217391304348</v>
      </c>
      <c r="M45" s="735" t="s">
        <v>1011</v>
      </c>
      <c r="N45" s="625" t="s">
        <v>1011</v>
      </c>
      <c r="O45" s="621" t="s">
        <v>1011</v>
      </c>
      <c r="P45" s="626" t="s">
        <v>1011</v>
      </c>
      <c r="Q45" s="610" t="s">
        <v>1011</v>
      </c>
    </row>
    <row r="46" spans="1:17" ht="15" thickBot="1" x14ac:dyDescent="0.35">
      <c r="A46" s="789"/>
      <c r="B46" s="727" t="str">
        <f t="shared" si="0"/>
        <v>Vivaro černá mat</v>
      </c>
      <c r="C46" s="726">
        <f t="shared" si="1"/>
        <v>511.70400000000006</v>
      </c>
      <c r="D46" s="726">
        <f t="shared" si="2"/>
        <v>159.69120000000001</v>
      </c>
      <c r="E46" s="725">
        <v>511.70400000000006</v>
      </c>
      <c r="F46" s="725">
        <v>159.69120000000001</v>
      </c>
      <c r="G46" s="730">
        <v>15.69885246346154</v>
      </c>
      <c r="H46" s="730">
        <v>5.1526760365384625</v>
      </c>
      <c r="I46" s="730">
        <v>70.224000000000004</v>
      </c>
      <c r="J46" s="730">
        <v>23.85230769230769</v>
      </c>
      <c r="K46" s="732">
        <v>5300.0000000000009</v>
      </c>
      <c r="L46" s="732">
        <v>1685.217391304348</v>
      </c>
      <c r="M46" s="735" t="s">
        <v>1624</v>
      </c>
      <c r="N46" s="625" t="s">
        <v>1625</v>
      </c>
      <c r="O46" s="621" t="s">
        <v>2588</v>
      </c>
      <c r="P46" s="626" t="s">
        <v>1627</v>
      </c>
      <c r="Q46" s="610" t="s">
        <v>1796</v>
      </c>
    </row>
    <row r="47" spans="1:17" ht="15" thickBot="1" x14ac:dyDescent="0.35">
      <c r="A47" s="789"/>
      <c r="B47" s="727" t="str">
        <f t="shared" si="0"/>
        <v>Imola zlatá</v>
      </c>
      <c r="C47" s="726">
        <f t="shared" si="1"/>
        <v>500.68799999999999</v>
      </c>
      <c r="D47" s="726">
        <f t="shared" si="2"/>
        <v>159.69120000000001</v>
      </c>
      <c r="E47" s="725">
        <v>500.68799999999999</v>
      </c>
      <c r="F47" s="725">
        <v>159.69120000000001</v>
      </c>
      <c r="G47" s="730">
        <v>16.746474820143888</v>
      </c>
      <c r="H47" s="730">
        <v>5.1526760365384625</v>
      </c>
      <c r="I47" s="730">
        <v>80.52000000000001</v>
      </c>
      <c r="J47" s="730">
        <v>23.85230769230769</v>
      </c>
      <c r="K47" s="732">
        <v>5765.2927277500667</v>
      </c>
      <c r="L47" s="732">
        <v>1685.217391304348</v>
      </c>
      <c r="M47" s="736" t="s">
        <v>2996</v>
      </c>
      <c r="N47" s="627" t="s">
        <v>2996</v>
      </c>
      <c r="O47" s="630" t="s">
        <v>2997</v>
      </c>
      <c r="P47" s="631" t="s">
        <v>2998</v>
      </c>
      <c r="Q47" s="629" t="s">
        <v>2999</v>
      </c>
    </row>
    <row r="48" spans="1:17" ht="15" thickBot="1" x14ac:dyDescent="0.35">
      <c r="A48" s="789"/>
      <c r="B48" s="727" t="str">
        <f t="shared" si="0"/>
        <v>Vivaro tmavá nerez br. (inox lija)</v>
      </c>
      <c r="C48" s="726">
        <f t="shared" si="1"/>
        <v>567.32400000000007</v>
      </c>
      <c r="D48" s="726">
        <f t="shared" si="2"/>
        <v>159.69120000000001</v>
      </c>
      <c r="E48" s="725">
        <v>567.32400000000007</v>
      </c>
      <c r="F48" s="725">
        <v>159.69120000000001</v>
      </c>
      <c r="G48" s="730">
        <v>13.961031040000004</v>
      </c>
      <c r="H48" s="730">
        <v>5.1526760365384625</v>
      </c>
      <c r="I48" s="730">
        <v>61.996000000000002</v>
      </c>
      <c r="J48" s="730">
        <v>23.85230769230769</v>
      </c>
      <c r="K48" s="732">
        <v>5876.0869565217399</v>
      </c>
      <c r="L48" s="732">
        <v>1685.217391304348</v>
      </c>
      <c r="M48" s="735" t="s">
        <v>1430</v>
      </c>
      <c r="N48" s="625" t="s">
        <v>1430</v>
      </c>
      <c r="O48" s="621" t="s">
        <v>2589</v>
      </c>
      <c r="P48" s="626" t="s">
        <v>708</v>
      </c>
      <c r="Q48" s="610" t="s">
        <v>2779</v>
      </c>
    </row>
    <row r="49" spans="1:17" ht="15" thickBot="1" x14ac:dyDescent="0.35">
      <c r="A49" s="789"/>
      <c r="B49" s="727" t="str">
        <f t="shared" si="0"/>
        <v>Vivaro bílá mat</v>
      </c>
      <c r="C49" s="726">
        <f t="shared" si="1"/>
        <v>612.45359999999994</v>
      </c>
      <c r="D49" s="726">
        <f t="shared" si="2"/>
        <v>159.69120000000001</v>
      </c>
      <c r="E49" s="725">
        <v>612.45359999999994</v>
      </c>
      <c r="F49" s="725">
        <v>159.69120000000001</v>
      </c>
      <c r="G49" s="730">
        <v>20.484690647482015</v>
      </c>
      <c r="H49" s="730">
        <v>5.1526760365384625</v>
      </c>
      <c r="I49" s="730">
        <v>98.494000000000014</v>
      </c>
      <c r="J49" s="730">
        <v>23.85230769230769</v>
      </c>
      <c r="K49" s="732">
        <v>7052.2446836440013</v>
      </c>
      <c r="L49" s="732">
        <v>1685.217391304348</v>
      </c>
      <c r="M49" s="734" t="s">
        <v>1664</v>
      </c>
      <c r="N49" s="623" t="s">
        <v>1665</v>
      </c>
      <c r="O49" s="621" t="s">
        <v>2590</v>
      </c>
      <c r="P49" s="624" t="s">
        <v>1667</v>
      </c>
      <c r="Q49" s="610" t="s">
        <v>1798</v>
      </c>
    </row>
    <row r="50" spans="1:17" x14ac:dyDescent="0.3">
      <c r="A50" s="789"/>
      <c r="B50" s="727" t="str">
        <f t="shared" si="0"/>
        <v>Vivaro bílá lesk</v>
      </c>
      <c r="C50" s="726">
        <f t="shared" si="1"/>
        <v>612.45359999999994</v>
      </c>
      <c r="D50" s="726">
        <f t="shared" si="2"/>
        <v>159.69120000000001</v>
      </c>
      <c r="E50" s="725">
        <v>612.45359999999994</v>
      </c>
      <c r="F50" s="725">
        <v>159.69120000000001</v>
      </c>
      <c r="G50" s="730">
        <v>20.484690647482015</v>
      </c>
      <c r="H50" s="730">
        <v>5.1509999999999998</v>
      </c>
      <c r="I50" s="730">
        <v>85.063000000000002</v>
      </c>
      <c r="J50" s="730">
        <v>23.8476</v>
      </c>
      <c r="K50" s="732">
        <v>7052.2446836440013</v>
      </c>
      <c r="L50" s="732">
        <v>1685.04</v>
      </c>
      <c r="M50" s="734" t="s">
        <v>1668</v>
      </c>
      <c r="N50" s="623" t="s">
        <v>1669</v>
      </c>
      <c r="O50" s="621" t="s">
        <v>2591</v>
      </c>
      <c r="P50" s="624" t="s">
        <v>1671</v>
      </c>
      <c r="Q50" s="610" t="s">
        <v>1799</v>
      </c>
    </row>
    <row r="51" spans="1:17" x14ac:dyDescent="0.3">
      <c r="A51" s="789"/>
      <c r="B51" s="727" t="str">
        <f t="shared" si="0"/>
        <v>Varna (elox.)</v>
      </c>
      <c r="C51" s="726">
        <f t="shared" si="1"/>
        <v>260.3304</v>
      </c>
      <c r="D51" s="726">
        <f t="shared" si="2"/>
        <v>114.5154</v>
      </c>
      <c r="E51" s="725">
        <v>260.3304</v>
      </c>
      <c r="F51" s="725">
        <v>114.5154</v>
      </c>
      <c r="G51" s="730">
        <v>8.7873999999999999</v>
      </c>
      <c r="H51" s="730">
        <v>4.2227999999999994</v>
      </c>
      <c r="I51" s="730">
        <v>41.866000000000007</v>
      </c>
      <c r="J51" s="730">
        <v>19.4208</v>
      </c>
      <c r="K51" s="732">
        <v>3219.0821999999998</v>
      </c>
      <c r="L51" s="732">
        <v>1548.7374</v>
      </c>
      <c r="M51" s="737" t="s">
        <v>3351</v>
      </c>
      <c r="N51" s="633" t="s">
        <v>2084</v>
      </c>
      <c r="O51" s="632" t="s">
        <v>2485</v>
      </c>
      <c r="P51" s="634" t="s">
        <v>2486</v>
      </c>
      <c r="Q51" s="610" t="s">
        <v>2084</v>
      </c>
    </row>
    <row r="52" spans="1:17" x14ac:dyDescent="0.3">
      <c r="A52" s="789"/>
      <c r="B52" s="727" t="str">
        <f t="shared" si="0"/>
        <v>Rocca (elox.)</v>
      </c>
      <c r="C52" s="726">
        <f t="shared" si="1"/>
        <v>241.31519999999998</v>
      </c>
      <c r="D52" s="726">
        <f t="shared" si="2"/>
        <v>94.554000000000002</v>
      </c>
      <c r="E52" s="725">
        <v>241.31519999999998</v>
      </c>
      <c r="F52" s="725">
        <v>94.554000000000002</v>
      </c>
      <c r="G52" s="730">
        <v>8.3103999999999996</v>
      </c>
      <c r="H52" s="730">
        <v>3.5598000000000001</v>
      </c>
      <c r="I52" s="730">
        <v>38.808000000000007</v>
      </c>
      <c r="J52" s="730">
        <v>15.9732</v>
      </c>
      <c r="K52" s="732">
        <v>2974.1586000000002</v>
      </c>
      <c r="L52" s="732">
        <v>1274.8673999999999</v>
      </c>
      <c r="M52" s="737" t="s">
        <v>3352</v>
      </c>
      <c r="N52" s="632" t="s">
        <v>714</v>
      </c>
      <c r="O52" s="632" t="s">
        <v>714</v>
      </c>
      <c r="P52" s="632" t="s">
        <v>714</v>
      </c>
      <c r="Q52" s="610" t="s">
        <v>714</v>
      </c>
    </row>
    <row r="53" spans="1:17" x14ac:dyDescent="0.3">
      <c r="A53" s="789"/>
      <c r="B53" s="727" t="str">
        <f t="shared" si="0"/>
        <v>Předěl</v>
      </c>
      <c r="C53" s="726">
        <f t="shared" si="1"/>
        <v>394.09</v>
      </c>
      <c r="D53" s="726">
        <f t="shared" si="2"/>
        <v>0</v>
      </c>
      <c r="E53" s="725">
        <v>394.09</v>
      </c>
      <c r="F53" s="725"/>
      <c r="G53" s="730">
        <v>14.54</v>
      </c>
      <c r="H53" s="731"/>
      <c r="I53" s="730">
        <v>66.88</v>
      </c>
      <c r="J53" s="731"/>
      <c r="K53" s="732">
        <v>5327.41</v>
      </c>
      <c r="L53" s="731"/>
      <c r="M53" s="728" t="s">
        <v>2447</v>
      </c>
      <c r="N53" s="728" t="s">
        <v>2447</v>
      </c>
      <c r="O53" s="728" t="s">
        <v>2447</v>
      </c>
      <c r="P53" s="728" t="s">
        <v>2447</v>
      </c>
      <c r="Q53" s="729" t="s">
        <v>2447</v>
      </c>
    </row>
    <row r="54" spans="1:17" ht="15" thickBot="1" x14ac:dyDescent="0.35">
      <c r="A54" s="789"/>
      <c r="B54" s="727" t="str">
        <f t="shared" si="0"/>
        <v>Rocca černá mat</v>
      </c>
      <c r="C54" s="726">
        <f t="shared" si="1"/>
        <v>391.18917600000003</v>
      </c>
      <c r="D54" s="726">
        <f t="shared" si="2"/>
        <v>159.69120000000001</v>
      </c>
      <c r="E54" s="725">
        <v>391.18917600000003</v>
      </c>
      <c r="F54" s="725">
        <v>159.69120000000001</v>
      </c>
      <c r="G54" s="730">
        <v>14.098000000000001</v>
      </c>
      <c r="H54" s="730">
        <v>5.1509999999999998</v>
      </c>
      <c r="I54" s="730">
        <v>61.600000000000009</v>
      </c>
      <c r="J54" s="730">
        <v>23.8476</v>
      </c>
      <c r="K54" s="732">
        <v>5161.5216</v>
      </c>
      <c r="L54" s="732">
        <v>1685.04</v>
      </c>
      <c r="M54" s="737" t="s">
        <v>3353</v>
      </c>
      <c r="N54" s="639" t="s">
        <v>2487</v>
      </c>
      <c r="O54" s="638" t="s">
        <v>2488</v>
      </c>
      <c r="P54" s="634" t="s">
        <v>2489</v>
      </c>
      <c r="Q54" s="610" t="s">
        <v>2780</v>
      </c>
    </row>
    <row r="55" spans="1:17" x14ac:dyDescent="0.3">
      <c r="A55" s="789"/>
      <c r="B55" s="727" t="str">
        <f t="shared" si="0"/>
        <v>Pisa bílá lesk</v>
      </c>
      <c r="C55" s="726">
        <f t="shared" si="1"/>
        <v>507.25440000000003</v>
      </c>
      <c r="D55" s="726">
        <f t="shared" si="2"/>
        <v>164.94420000000002</v>
      </c>
      <c r="E55" s="725">
        <v>507.25440000000003</v>
      </c>
      <c r="F55" s="725">
        <v>164.94420000000002</v>
      </c>
      <c r="G55" s="730">
        <v>12.349763937923079</v>
      </c>
      <c r="H55" s="730">
        <v>5.2503385846153847</v>
      </c>
      <c r="I55" s="730">
        <v>57.728000000000002</v>
      </c>
      <c r="J55" s="730">
        <v>24.636923076923075</v>
      </c>
      <c r="K55" s="732">
        <v>5253.913043478261</v>
      </c>
      <c r="L55" s="732">
        <v>1740.6521739130435</v>
      </c>
      <c r="M55" s="734" t="s">
        <v>3337</v>
      </c>
      <c r="N55" s="623" t="s">
        <v>3338</v>
      </c>
      <c r="O55" s="621" t="s">
        <v>3339</v>
      </c>
      <c r="P55" s="624" t="s">
        <v>3340</v>
      </c>
      <c r="Q55" s="610" t="s">
        <v>3341</v>
      </c>
    </row>
    <row r="56" spans="1:17" x14ac:dyDescent="0.3">
      <c r="A56" s="789"/>
      <c r="B56" s="727" t="str">
        <f t="shared" si="0"/>
        <v>Varna černá</v>
      </c>
      <c r="C56" s="726">
        <f t="shared" si="1"/>
        <v>372.09599999999995</v>
      </c>
      <c r="D56" s="726">
        <f t="shared" si="2"/>
        <v>110.16</v>
      </c>
      <c r="E56" s="725">
        <v>372.09599999999995</v>
      </c>
      <c r="F56" s="725">
        <v>110.16</v>
      </c>
      <c r="G56" s="730">
        <v>12.8154</v>
      </c>
      <c r="H56" s="730">
        <v>4.1514000000000006</v>
      </c>
      <c r="I56" s="730">
        <v>59.84</v>
      </c>
      <c r="J56" s="730">
        <v>18.604799999999997</v>
      </c>
      <c r="K56" s="732">
        <v>4585.6872000000003</v>
      </c>
      <c r="L56" s="732">
        <v>1485.3648000000001</v>
      </c>
      <c r="M56" s="638" t="s">
        <v>2490</v>
      </c>
      <c r="N56" s="639" t="s">
        <v>2491</v>
      </c>
      <c r="O56" s="638" t="s">
        <v>2492</v>
      </c>
      <c r="P56" s="634" t="s">
        <v>2493</v>
      </c>
      <c r="Q56" s="610" t="s">
        <v>2781</v>
      </c>
    </row>
    <row r="57" spans="1:17" ht="15" thickBot="1" x14ac:dyDescent="0.35">
      <c r="A57" s="790"/>
      <c r="B57" s="727" t="str">
        <f t="shared" si="0"/>
        <v>Pisa zlatá</v>
      </c>
      <c r="C57" s="726">
        <f t="shared" si="1"/>
        <v>493.16399999999993</v>
      </c>
      <c r="D57" s="726">
        <f t="shared" si="2"/>
        <v>159.69120000000001</v>
      </c>
      <c r="E57" s="725">
        <v>493.16399999999993</v>
      </c>
      <c r="F57" s="725">
        <v>159.69120000000001</v>
      </c>
      <c r="G57" s="730">
        <v>16.49482014388489</v>
      </c>
      <c r="H57" s="730">
        <v>5.1509999999999998</v>
      </c>
      <c r="I57" s="730">
        <v>79.31</v>
      </c>
      <c r="J57" s="730">
        <v>23.8476</v>
      </c>
      <c r="K57" s="732">
        <v>5678.6558151745867</v>
      </c>
      <c r="L57" s="732">
        <v>1685.04</v>
      </c>
      <c r="M57" s="640" t="s">
        <v>3000</v>
      </c>
      <c r="N57" s="640" t="s">
        <v>3000</v>
      </c>
      <c r="O57" s="640" t="s">
        <v>3001</v>
      </c>
      <c r="P57" s="640" t="s">
        <v>3002</v>
      </c>
      <c r="Q57" s="640" t="s">
        <v>3003</v>
      </c>
    </row>
    <row r="58" spans="1:17" s="641" customFormat="1" x14ac:dyDescent="0.3">
      <c r="B58" s="642"/>
      <c r="C58" s="643"/>
      <c r="D58" s="643"/>
      <c r="E58" s="643"/>
      <c r="F58" s="643"/>
      <c r="G58" s="644"/>
      <c r="H58" s="644"/>
      <c r="I58" s="644"/>
      <c r="J58" s="644"/>
      <c r="K58" s="645"/>
      <c r="L58" s="645"/>
      <c r="M58" s="639"/>
      <c r="N58" s="639"/>
      <c r="O58" s="646"/>
      <c r="P58" s="639"/>
      <c r="Q58" s="610"/>
    </row>
    <row r="59" spans="1:17" s="641" customFormat="1" ht="15" thickBot="1" x14ac:dyDescent="0.35">
      <c r="B59" s="642"/>
      <c r="C59" s="643" t="s">
        <v>2441</v>
      </c>
      <c r="D59" s="643" t="s">
        <v>2442</v>
      </c>
      <c r="E59" s="643"/>
      <c r="F59" s="643"/>
      <c r="G59" s="644"/>
      <c r="H59" s="644"/>
      <c r="I59" s="644"/>
      <c r="J59" s="644"/>
      <c r="K59" s="645"/>
      <c r="L59" s="645"/>
      <c r="M59" s="639"/>
      <c r="N59" s="639"/>
      <c r="O59" s="646"/>
      <c r="P59" s="639"/>
      <c r="Q59" s="610"/>
    </row>
    <row r="60" spans="1:17" s="641" customFormat="1" ht="15" thickBot="1" x14ac:dyDescent="0.35">
      <c r="A60" s="794" t="s">
        <v>2443</v>
      </c>
      <c r="B60" s="647" t="str">
        <f t="shared" ref="B60:B70" si="3">IF($D$1=1,M60,IF($D$1=2,N60,IF($D$1=3,O60,IF($D$1=4,P60,IF($D$1=5,Q60,0)))))</f>
        <v>Varna (Vlevo a Vpravo) + Siena (Nahoře a dole)</v>
      </c>
      <c r="C60" s="648" t="s">
        <v>2084</v>
      </c>
      <c r="D60" s="649" t="str">
        <f>$B$35</f>
        <v>Siena (elox.)</v>
      </c>
      <c r="E60" s="650"/>
      <c r="F60" s="650"/>
      <c r="G60" s="651"/>
      <c r="H60" s="651"/>
      <c r="I60" s="651"/>
      <c r="J60" s="651"/>
      <c r="K60" s="652"/>
      <c r="L60" s="652"/>
      <c r="M60" s="653" t="s">
        <v>2283</v>
      </c>
      <c r="N60" s="653" t="s">
        <v>2328</v>
      </c>
      <c r="O60" s="654" t="s">
        <v>2334</v>
      </c>
      <c r="P60" s="655" t="s">
        <v>2340</v>
      </c>
      <c r="Q60" s="610" t="s">
        <v>2654</v>
      </c>
    </row>
    <row r="61" spans="1:17" s="641" customFormat="1" ht="15" thickBot="1" x14ac:dyDescent="0.35">
      <c r="A61" s="795"/>
      <c r="B61" s="647" t="str">
        <f t="shared" si="3"/>
        <v>Siena (Vlevo a vpravo) + Varna (Nahoře a dole)</v>
      </c>
      <c r="C61" s="656" t="str">
        <f>$B$35</f>
        <v>Siena (elox.)</v>
      </c>
      <c r="D61" s="657" t="s">
        <v>2084</v>
      </c>
      <c r="E61" s="658"/>
      <c r="F61" s="658"/>
      <c r="G61" s="644"/>
      <c r="H61" s="644"/>
      <c r="I61" s="644"/>
      <c r="J61" s="644"/>
      <c r="K61" s="645"/>
      <c r="L61" s="645"/>
      <c r="M61" s="639" t="s">
        <v>2284</v>
      </c>
      <c r="N61" s="639" t="s">
        <v>2329</v>
      </c>
      <c r="O61" s="646" t="s">
        <v>2335</v>
      </c>
      <c r="P61" s="659" t="s">
        <v>2341</v>
      </c>
      <c r="Q61" s="610" t="s">
        <v>2655</v>
      </c>
    </row>
    <row r="62" spans="1:17" s="641" customFormat="1" ht="15" thickBot="1" x14ac:dyDescent="0.35">
      <c r="A62" s="795"/>
      <c r="B62" s="647" t="str">
        <f t="shared" si="3"/>
        <v>Varna černá (Vlevo a Vpravo) + Siena černá (Nahoře a dole)</v>
      </c>
      <c r="C62" s="660" t="str">
        <f>$B$56</f>
        <v>Varna černá</v>
      </c>
      <c r="D62" s="661" t="str">
        <f>$B$36</f>
        <v>Siena černá mat</v>
      </c>
      <c r="M62" s="639" t="s">
        <v>2477</v>
      </c>
      <c r="N62" s="639" t="s">
        <v>2479</v>
      </c>
      <c r="O62" s="646" t="s">
        <v>2481</v>
      </c>
      <c r="P62" s="659" t="s">
        <v>2483</v>
      </c>
      <c r="Q62" s="610" t="s">
        <v>2656</v>
      </c>
    </row>
    <row r="63" spans="1:17" s="641" customFormat="1" ht="15" thickBot="1" x14ac:dyDescent="0.35">
      <c r="A63" s="795"/>
      <c r="B63" s="647" t="str">
        <f t="shared" si="3"/>
        <v>Siena černá (Vlevo a vpravo) + Varna černá (Nahoře a dole)</v>
      </c>
      <c r="C63" s="662" t="str">
        <f>$B$36</f>
        <v>Siena černá mat</v>
      </c>
      <c r="D63" s="663" t="str">
        <f>$B$56</f>
        <v>Varna černá</v>
      </c>
      <c r="M63" s="639" t="s">
        <v>2478</v>
      </c>
      <c r="N63" s="639" t="s">
        <v>2480</v>
      </c>
      <c r="O63" s="646" t="s">
        <v>2482</v>
      </c>
      <c r="P63" s="659" t="s">
        <v>2484</v>
      </c>
      <c r="Q63" s="610" t="s">
        <v>2657</v>
      </c>
    </row>
    <row r="64" spans="1:17" s="641" customFormat="1" ht="15" thickBot="1" x14ac:dyDescent="0.35">
      <c r="A64" s="795"/>
      <c r="B64" s="647" t="str">
        <f t="shared" si="3"/>
        <v>Varna (Vlevo a Vpravo) + Palio (Nahoře a dole)</v>
      </c>
      <c r="C64" s="648" t="s">
        <v>2084</v>
      </c>
      <c r="D64" s="649" t="str">
        <f>$B$29</f>
        <v>Palio (elox.)</v>
      </c>
      <c r="E64" s="658"/>
      <c r="F64" s="658"/>
      <c r="G64" s="644"/>
      <c r="H64" s="644"/>
      <c r="I64" s="644"/>
      <c r="J64" s="644"/>
      <c r="K64" s="645"/>
      <c r="L64" s="645"/>
      <c r="M64" s="639" t="s">
        <v>2285</v>
      </c>
      <c r="N64" s="639" t="s">
        <v>2330</v>
      </c>
      <c r="O64" s="646" t="s">
        <v>2336</v>
      </c>
      <c r="P64" s="659" t="s">
        <v>2342</v>
      </c>
      <c r="Q64" s="610" t="s">
        <v>2658</v>
      </c>
    </row>
    <row r="65" spans="1:17" s="641" customFormat="1" ht="15" thickBot="1" x14ac:dyDescent="0.35">
      <c r="A65" s="796"/>
      <c r="B65" s="647" t="str">
        <f t="shared" si="3"/>
        <v>Palio (Vlevo a vpravo) + Varna (Nahoře a dole)</v>
      </c>
      <c r="C65" s="656" t="str">
        <f>$B$29</f>
        <v>Palio (elox.)</v>
      </c>
      <c r="D65" s="657" t="s">
        <v>2084</v>
      </c>
      <c r="E65" s="658"/>
      <c r="F65" s="658"/>
      <c r="G65" s="644"/>
      <c r="H65" s="644"/>
      <c r="I65" s="644"/>
      <c r="J65" s="644"/>
      <c r="K65" s="645"/>
      <c r="L65" s="645"/>
      <c r="M65" s="639" t="s">
        <v>2286</v>
      </c>
      <c r="N65" s="639" t="s">
        <v>2331</v>
      </c>
      <c r="O65" s="646" t="s">
        <v>2337</v>
      </c>
      <c r="P65" s="659" t="s">
        <v>2343</v>
      </c>
      <c r="Q65" s="610" t="s">
        <v>2659</v>
      </c>
    </row>
    <row r="66" spans="1:17" s="641" customFormat="1" ht="15" thickBot="1" x14ac:dyDescent="0.35">
      <c r="A66" s="664"/>
      <c r="B66" s="647" t="str">
        <f t="shared" si="3"/>
        <v>Varna (Vlevo a Vpravo) + Rocca (Nahoře a dole)</v>
      </c>
      <c r="C66" s="648" t="s">
        <v>2084</v>
      </c>
      <c r="D66" s="649" t="s">
        <v>714</v>
      </c>
      <c r="E66" s="658"/>
      <c r="F66" s="658"/>
      <c r="G66" s="644"/>
      <c r="H66" s="644"/>
      <c r="I66" s="644"/>
      <c r="J66" s="644"/>
      <c r="K66" s="645"/>
      <c r="L66" s="645"/>
      <c r="M66" s="639" t="s">
        <v>2287</v>
      </c>
      <c r="N66" s="639" t="s">
        <v>2332</v>
      </c>
      <c r="O66" s="646" t="s">
        <v>2338</v>
      </c>
      <c r="P66" s="659" t="s">
        <v>2344</v>
      </c>
      <c r="Q66" s="610" t="s">
        <v>2660</v>
      </c>
    </row>
    <row r="67" spans="1:17" s="641" customFormat="1" ht="15" thickBot="1" x14ac:dyDescent="0.35">
      <c r="A67" s="664"/>
      <c r="B67" s="647" t="str">
        <f t="shared" si="3"/>
        <v>Rocca (Vlevo a vpravo) + Varna (Nahoře a dole)</v>
      </c>
      <c r="C67" s="656" t="s">
        <v>714</v>
      </c>
      <c r="D67" s="657" t="s">
        <v>2084</v>
      </c>
      <c r="E67" s="665"/>
      <c r="F67" s="665"/>
      <c r="G67" s="666"/>
      <c r="H67" s="666"/>
      <c r="I67" s="666"/>
      <c r="J67" s="666"/>
      <c r="K67" s="667"/>
      <c r="L67" s="667"/>
      <c r="M67" s="668" t="s">
        <v>2288</v>
      </c>
      <c r="N67" s="668" t="s">
        <v>2333</v>
      </c>
      <c r="O67" s="669" t="s">
        <v>2339</v>
      </c>
      <c r="P67" s="670" t="s">
        <v>2345</v>
      </c>
      <c r="Q67" s="610" t="s">
        <v>2661</v>
      </c>
    </row>
    <row r="68" spans="1:17" s="641" customFormat="1" ht="15" thickBot="1" x14ac:dyDescent="0.35">
      <c r="A68" s="664"/>
      <c r="B68" s="647" t="str">
        <f t="shared" si="3"/>
        <v>Varna černá (Vlevo a Vpravo) + Rocca černá (Nahoře a dole)</v>
      </c>
      <c r="C68" s="660" t="str">
        <f>$B$56</f>
        <v>Varna černá</v>
      </c>
      <c r="D68" s="661" t="str">
        <f>$B$54</f>
        <v>Rocca černá mat</v>
      </c>
      <c r="E68" s="658"/>
      <c r="F68" s="658"/>
      <c r="G68" s="644"/>
      <c r="H68" s="644"/>
      <c r="I68" s="644"/>
      <c r="J68" s="644"/>
      <c r="K68" s="645"/>
      <c r="L68" s="645"/>
      <c r="M68" s="639" t="s">
        <v>2494</v>
      </c>
      <c r="N68" s="639" t="s">
        <v>2496</v>
      </c>
      <c r="O68" s="646" t="s">
        <v>2498</v>
      </c>
      <c r="P68" s="659" t="s">
        <v>2500</v>
      </c>
      <c r="Q68" s="610" t="s">
        <v>2662</v>
      </c>
    </row>
    <row r="69" spans="1:17" s="641" customFormat="1" ht="15" thickBot="1" x14ac:dyDescent="0.35">
      <c r="A69" s="664"/>
      <c r="B69" s="647" t="str">
        <f t="shared" si="3"/>
        <v>Rocca černá (Vlevo a vpravo) + Varna černá (Nahoře a dole)</v>
      </c>
      <c r="C69" s="662" t="str">
        <f>$B$54</f>
        <v>Rocca černá mat</v>
      </c>
      <c r="D69" s="663" t="str">
        <f>$B$56</f>
        <v>Varna černá</v>
      </c>
      <c r="E69" s="658"/>
      <c r="F69" s="658"/>
      <c r="G69" s="644"/>
      <c r="H69" s="644"/>
      <c r="I69" s="644"/>
      <c r="J69" s="644"/>
      <c r="K69" s="645"/>
      <c r="L69" s="645"/>
      <c r="M69" s="668" t="s">
        <v>2495</v>
      </c>
      <c r="N69" s="668" t="s">
        <v>2497</v>
      </c>
      <c r="O69" s="669" t="s">
        <v>2499</v>
      </c>
      <c r="P69" s="670" t="s">
        <v>2501</v>
      </c>
      <c r="Q69" s="610" t="s">
        <v>2663</v>
      </c>
    </row>
    <row r="70" spans="1:17" s="641" customFormat="1" ht="15" thickBot="1" x14ac:dyDescent="0.35">
      <c r="A70" s="664"/>
      <c r="B70" s="647" t="str">
        <f t="shared" si="3"/>
        <v>Palio černá (Vlevo a vpravo) + Varna černá (Nahoře a dole)</v>
      </c>
      <c r="C70" s="643" t="str">
        <f>$B$30</f>
        <v>Palio černá mat</v>
      </c>
      <c r="D70" s="643" t="str">
        <f>$B$56</f>
        <v>Varna černá</v>
      </c>
      <c r="E70" s="658"/>
      <c r="F70" s="658"/>
      <c r="G70" s="644"/>
      <c r="H70" s="644"/>
      <c r="I70" s="644"/>
      <c r="J70" s="644"/>
      <c r="K70" s="645"/>
      <c r="L70" s="645"/>
      <c r="M70" s="639" t="s">
        <v>2755</v>
      </c>
      <c r="N70" s="668" t="s">
        <v>2756</v>
      </c>
      <c r="O70" s="669" t="s">
        <v>2757</v>
      </c>
      <c r="P70" s="670" t="s">
        <v>2758</v>
      </c>
      <c r="Q70" s="610" t="s">
        <v>2759</v>
      </c>
    </row>
    <row r="71" spans="1:17" s="641" customFormat="1" x14ac:dyDescent="0.3">
      <c r="A71" s="664"/>
      <c r="B71" s="671"/>
      <c r="C71" s="643"/>
      <c r="D71" s="643"/>
      <c r="E71" s="658"/>
      <c r="F71" s="658"/>
      <c r="G71" s="644"/>
      <c r="H71" s="644"/>
      <c r="I71" s="644"/>
      <c r="J71" s="644"/>
      <c r="K71" s="645"/>
      <c r="L71" s="645"/>
      <c r="M71" s="639"/>
      <c r="N71" s="639"/>
      <c r="O71" s="646"/>
      <c r="P71" s="639"/>
      <c r="Q71" s="610"/>
    </row>
    <row r="72" spans="1:17" s="641" customFormat="1" x14ac:dyDescent="0.3">
      <c r="B72" s="642"/>
      <c r="C72" s="643"/>
      <c r="D72" s="643"/>
      <c r="E72" s="643"/>
      <c r="F72" s="643"/>
      <c r="G72" s="644"/>
      <c r="H72" s="644"/>
      <c r="I72" s="644"/>
      <c r="J72" s="644"/>
      <c r="K72" s="645"/>
      <c r="L72" s="645"/>
      <c r="M72" s="639"/>
      <c r="N72" s="639"/>
      <c r="O72" s="646"/>
      <c r="P72" s="639"/>
      <c r="Q72" s="610"/>
    </row>
    <row r="73" spans="1:17" s="641" customFormat="1" x14ac:dyDescent="0.3">
      <c r="B73" s="617" t="s">
        <v>38</v>
      </c>
      <c r="C73" s="618" t="s">
        <v>39</v>
      </c>
      <c r="D73" s="619"/>
      <c r="E73" s="618" t="s">
        <v>363</v>
      </c>
      <c r="F73" s="619"/>
      <c r="G73" s="618" t="s">
        <v>364</v>
      </c>
      <c r="H73" s="619"/>
      <c r="I73" s="618" t="s">
        <v>135</v>
      </c>
      <c r="J73" s="619"/>
      <c r="K73" s="618" t="s">
        <v>136</v>
      </c>
      <c r="L73" s="619"/>
      <c r="M73" s="639"/>
      <c r="N73" s="639"/>
      <c r="O73" s="646"/>
      <c r="P73" s="639"/>
      <c r="Q73" s="610"/>
    </row>
    <row r="74" spans="1:17" s="641" customFormat="1" x14ac:dyDescent="0.3">
      <c r="B74" s="642" t="str">
        <f>B543</f>
        <v>Transparentní</v>
      </c>
      <c r="C74" s="672">
        <f t="shared" ref="C74:C80" si="4">IF($D$1=1,E74,IF($D$1=2,G74,IF($D$1=3,I74,IF($D$1=4,K74,0))))</f>
        <v>82.209959999999995</v>
      </c>
      <c r="D74" s="632"/>
      <c r="E74" s="635">
        <v>82.209959999999995</v>
      </c>
      <c r="F74" s="632"/>
      <c r="G74" s="636">
        <v>3.03</v>
      </c>
      <c r="H74" s="632"/>
      <c r="I74" s="636">
        <v>13.95</v>
      </c>
      <c r="J74" s="632"/>
      <c r="K74" s="637">
        <v>1111.19</v>
      </c>
      <c r="L74" s="632"/>
      <c r="M74" s="639"/>
      <c r="N74" s="639"/>
      <c r="O74" s="646"/>
      <c r="P74" s="639"/>
      <c r="Q74" s="610"/>
    </row>
    <row r="75" spans="1:17" s="641" customFormat="1" x14ac:dyDescent="0.3">
      <c r="B75" s="642" t="str">
        <f>B544</f>
        <v>Bílá</v>
      </c>
      <c r="C75" s="672">
        <f t="shared" si="4"/>
        <v>63.081900000000005</v>
      </c>
      <c r="D75" s="632"/>
      <c r="E75" s="635">
        <v>63.081900000000005</v>
      </c>
      <c r="F75" s="632"/>
      <c r="G75" s="636">
        <v>2.33</v>
      </c>
      <c r="H75" s="632"/>
      <c r="I75" s="636">
        <v>10.7</v>
      </c>
      <c r="J75" s="632"/>
      <c r="K75" s="636">
        <v>852.64</v>
      </c>
      <c r="L75" s="632"/>
      <c r="M75" s="639"/>
      <c r="N75" s="639"/>
      <c r="O75" s="646"/>
      <c r="P75" s="639"/>
      <c r="Q75" s="610"/>
    </row>
    <row r="76" spans="1:17" s="641" customFormat="1" x14ac:dyDescent="0.3">
      <c r="B76" s="642" t="str">
        <f>B545</f>
        <v>Černá</v>
      </c>
      <c r="C76" s="672">
        <f t="shared" si="4"/>
        <v>82.209959999999995</v>
      </c>
      <c r="D76" s="632"/>
      <c r="E76" s="635">
        <v>82.209959999999995</v>
      </c>
      <c r="F76" s="632"/>
      <c r="G76" s="636">
        <v>3.03</v>
      </c>
      <c r="H76" s="632"/>
      <c r="I76" s="636">
        <v>13.95</v>
      </c>
      <c r="J76" s="632"/>
      <c r="K76" s="637">
        <v>1111.19</v>
      </c>
      <c r="L76" s="632"/>
      <c r="M76" s="639"/>
      <c r="N76" s="639"/>
      <c r="O76" s="646"/>
      <c r="P76" s="639"/>
      <c r="Q76" s="610"/>
    </row>
    <row r="77" spans="1:17" s="641" customFormat="1" ht="15" thickBot="1" x14ac:dyDescent="0.35">
      <c r="B77" s="642" t="s">
        <v>2456</v>
      </c>
      <c r="C77" s="672">
        <f t="shared" si="4"/>
        <v>406.98</v>
      </c>
      <c r="D77" s="643"/>
      <c r="E77" s="643">
        <v>406.98</v>
      </c>
      <c r="F77" s="643"/>
      <c r="G77" s="644">
        <v>15.03</v>
      </c>
      <c r="H77" s="644"/>
      <c r="I77" s="644">
        <v>69.06</v>
      </c>
      <c r="J77" s="644"/>
      <c r="K77" s="645">
        <v>5500.27</v>
      </c>
      <c r="L77" s="645"/>
      <c r="M77" s="639"/>
      <c r="N77" s="639"/>
      <c r="O77" s="646"/>
      <c r="P77" s="639"/>
      <c r="Q77" s="610"/>
    </row>
    <row r="78" spans="1:17" s="641" customFormat="1" ht="15" thickBot="1" x14ac:dyDescent="0.35">
      <c r="B78" s="620" t="str">
        <f>IF($D$1=1,M78,IF($D$1=2,N78,IF($D$1=3,O78,IF($D$1=4,P78,IF($D$1=5,Q78,0)))))</f>
        <v>Lesk</v>
      </c>
      <c r="C78" s="672">
        <f>IF($D$1=1,E78,IF($D$1=2,G78,IF($D$1=3,I78,IF($D$1=4,K78,0))))</f>
        <v>40.700000000000003</v>
      </c>
      <c r="E78" s="643">
        <v>40.700000000000003</v>
      </c>
      <c r="G78" s="644">
        <v>1.5</v>
      </c>
      <c r="I78" s="644">
        <v>6.9</v>
      </c>
      <c r="K78" s="644">
        <v>550.05999999999995</v>
      </c>
      <c r="M78" s="639" t="s">
        <v>3344</v>
      </c>
      <c r="N78" s="639" t="s">
        <v>3344</v>
      </c>
      <c r="O78" s="646" t="s">
        <v>3348</v>
      </c>
      <c r="P78" s="639" t="s">
        <v>3349</v>
      </c>
      <c r="Q78" s="610" t="s">
        <v>3346</v>
      </c>
    </row>
    <row r="79" spans="1:17" s="641" customFormat="1" x14ac:dyDescent="0.3">
      <c r="B79" s="620" t="str">
        <f>IF($D$1=1,M79,IF($D$1=2,N79,IF($D$1=3,O79,IF($D$1=4,P79,IF($D$1=5,Q79,0)))))</f>
        <v>Mat</v>
      </c>
      <c r="C79" s="672">
        <f>IF($D$1=1,E79,IF($D$1=2,G79,IF($D$1=3,I79,IF($D$1=4,K79,0))))</f>
        <v>20.350000000000001</v>
      </c>
      <c r="E79" s="643">
        <v>20.350000000000001</v>
      </c>
      <c r="G79" s="644">
        <v>0.75</v>
      </c>
      <c r="I79" s="644">
        <v>3.45</v>
      </c>
      <c r="K79" s="644">
        <v>275.02999999999997</v>
      </c>
      <c r="M79" s="639" t="s">
        <v>3345</v>
      </c>
      <c r="N79" s="639" t="s">
        <v>3345</v>
      </c>
      <c r="O79" s="646" t="s">
        <v>3350</v>
      </c>
      <c r="P79" s="639" t="s">
        <v>3347</v>
      </c>
      <c r="Q79" s="610" t="s">
        <v>3347</v>
      </c>
    </row>
    <row r="80" spans="1:17" s="641" customFormat="1" x14ac:dyDescent="0.3">
      <c r="B80" s="642" t="s">
        <v>2457</v>
      </c>
      <c r="C80" s="672">
        <f t="shared" si="4"/>
        <v>20.350000000000001</v>
      </c>
      <c r="E80" s="643">
        <v>20.350000000000001</v>
      </c>
      <c r="G80" s="644">
        <v>0.75</v>
      </c>
      <c r="I80" s="644">
        <v>3.45</v>
      </c>
      <c r="K80" s="644">
        <v>275.02999999999997</v>
      </c>
      <c r="Q80" s="610"/>
    </row>
    <row r="81" spans="1:17" ht="15" thickBot="1" x14ac:dyDescent="0.35">
      <c r="B81" s="673" t="s">
        <v>19</v>
      </c>
      <c r="C81" s="779" t="s">
        <v>43</v>
      </c>
      <c r="D81" s="779"/>
      <c r="E81" s="779" t="s">
        <v>43</v>
      </c>
      <c r="F81" s="779"/>
      <c r="G81" s="779" t="s">
        <v>43</v>
      </c>
      <c r="H81" s="779"/>
      <c r="I81" s="779" t="s">
        <v>43</v>
      </c>
      <c r="J81" s="779"/>
      <c r="K81" s="779" t="s">
        <v>43</v>
      </c>
      <c r="L81" s="780"/>
      <c r="M81" s="612"/>
    </row>
    <row r="82" spans="1:17" ht="15" thickBot="1" x14ac:dyDescent="0.35">
      <c r="A82" s="791" t="s">
        <v>2428</v>
      </c>
      <c r="B82" s="647" t="str">
        <f t="shared" ref="B82:B146" si="5">IF($D$1=1,M82,IF($D$1=2,N82,IF($D$1=3,O82,IF($D$1=4,P82,IF($D$1=5,Q82,0)))))</f>
        <v>Čiré</v>
      </c>
      <c r="C82" s="781">
        <f>IF($D$1=1,E82,IF($D$1=2,G82,IF($D$1=3,I82,IF($D$1=4,K82,0))))</f>
        <v>564.98399999999992</v>
      </c>
      <c r="D82" s="781">
        <f>IF($D$1=1,F82,IF($D$1=2,H82,IF($D$1=3,J82,IF($D$1=4,L82,0))))</f>
        <v>0</v>
      </c>
      <c r="E82" s="782">
        <v>564.98399999999992</v>
      </c>
      <c r="F82" s="783"/>
      <c r="G82" s="784">
        <v>20.776000000000003</v>
      </c>
      <c r="H82" s="785"/>
      <c r="I82" s="784">
        <v>90.86</v>
      </c>
      <c r="J82" s="785"/>
      <c r="K82" s="786">
        <v>6505.6445261223416</v>
      </c>
      <c r="L82" s="787"/>
      <c r="M82" s="674" t="s">
        <v>717</v>
      </c>
      <c r="N82" s="675" t="s">
        <v>718</v>
      </c>
      <c r="O82" s="675" t="s">
        <v>719</v>
      </c>
      <c r="P82" s="676" t="s">
        <v>720</v>
      </c>
      <c r="Q82" s="610" t="s">
        <v>2724</v>
      </c>
    </row>
    <row r="83" spans="1:17" ht="15" thickBot="1" x14ac:dyDescent="0.35">
      <c r="A83" s="792"/>
      <c r="B83" s="647" t="str">
        <f t="shared" si="5"/>
        <v>Kalené</v>
      </c>
      <c r="C83" s="781"/>
      <c r="D83" s="781"/>
      <c r="E83" s="782" t="e">
        <v>#N/A</v>
      </c>
      <c r="F83" s="783"/>
      <c r="G83" s="784" t="e">
        <v>#N/A</v>
      </c>
      <c r="H83" s="785"/>
      <c r="I83" s="784" t="e">
        <v>#N/A</v>
      </c>
      <c r="J83" s="785"/>
      <c r="K83" s="786" t="e">
        <v>#N/A</v>
      </c>
      <c r="L83" s="787"/>
      <c r="M83" s="677" t="s">
        <v>2123</v>
      </c>
      <c r="N83" s="678" t="s">
        <v>2123</v>
      </c>
      <c r="O83" s="675" t="s">
        <v>2317</v>
      </c>
      <c r="P83" s="679" t="s">
        <v>2318</v>
      </c>
      <c r="Q83" s="610" t="s">
        <v>2782</v>
      </c>
    </row>
    <row r="84" spans="1:17" ht="15" thickBot="1" x14ac:dyDescent="0.35">
      <c r="A84" s="792"/>
      <c r="B84" s="647" t="str">
        <f t="shared" si="5"/>
        <v>Folie</v>
      </c>
      <c r="C84" s="781"/>
      <c r="D84" s="781"/>
      <c r="E84" s="782" t="e">
        <v>#N/A</v>
      </c>
      <c r="F84" s="783"/>
      <c r="G84" s="784" t="e">
        <v>#N/A</v>
      </c>
      <c r="H84" s="785"/>
      <c r="I84" s="784" t="e">
        <v>#N/A</v>
      </c>
      <c r="J84" s="785"/>
      <c r="K84" s="786" t="e">
        <v>#N/A</v>
      </c>
      <c r="L84" s="787"/>
      <c r="M84" s="677" t="s">
        <v>2066</v>
      </c>
      <c r="N84" s="680" t="s">
        <v>2066</v>
      </c>
      <c r="O84" s="675" t="s">
        <v>2322</v>
      </c>
      <c r="P84" s="679" t="s">
        <v>2323</v>
      </c>
      <c r="Q84" s="610" t="s">
        <v>2783</v>
      </c>
    </row>
    <row r="85" spans="1:17" ht="15" thickBot="1" x14ac:dyDescent="0.35">
      <c r="A85" s="792"/>
      <c r="B85" s="647" t="str">
        <f t="shared" si="5"/>
        <v>Bez úprav</v>
      </c>
      <c r="C85" s="781"/>
      <c r="D85" s="781"/>
      <c r="E85" s="782" t="e">
        <v>#N/A</v>
      </c>
      <c r="F85" s="783"/>
      <c r="G85" s="784" t="e">
        <v>#N/A</v>
      </c>
      <c r="H85" s="785"/>
      <c r="I85" s="784" t="e">
        <v>#N/A</v>
      </c>
      <c r="J85" s="785"/>
      <c r="K85" s="786" t="e">
        <v>#N/A</v>
      </c>
      <c r="L85" s="787"/>
      <c r="M85" s="677" t="s">
        <v>2320</v>
      </c>
      <c r="N85" s="677" t="s">
        <v>2320</v>
      </c>
      <c r="O85" s="675" t="s">
        <v>2321</v>
      </c>
      <c r="P85" s="679" t="s">
        <v>2319</v>
      </c>
      <c r="Q85" s="610" t="s">
        <v>2784</v>
      </c>
    </row>
    <row r="86" spans="1:17" ht="15" thickBot="1" x14ac:dyDescent="0.35">
      <c r="A86" s="792"/>
      <c r="B86" s="647" t="str">
        <f t="shared" si="5"/>
        <v>Čiré kalené (dodání 3 týdny)</v>
      </c>
      <c r="C86" s="781" t="e">
        <f>IF($D$1=1,E86,IF($D$1=2,G86,IF($D$1=3,I86,IF($D$1=4,K86,0))))</f>
        <v>#N/A</v>
      </c>
      <c r="D86" s="781">
        <f>IF($D$1=1,F86,IF($D$1=2,H86,IF($D$1=3,J86,IF($D$1=4,L86,0))))</f>
        <v>0</v>
      </c>
      <c r="E86" s="782" t="e">
        <v>#N/A</v>
      </c>
      <c r="F86" s="783"/>
      <c r="G86" s="784" t="e">
        <v>#N/A</v>
      </c>
      <c r="H86" s="785"/>
      <c r="I86" s="784">
        <v>0</v>
      </c>
      <c r="J86" s="785"/>
      <c r="K86" s="786" t="e">
        <v>#N/A</v>
      </c>
      <c r="L86" s="787"/>
      <c r="M86" s="677" t="s">
        <v>962</v>
      </c>
      <c r="N86" s="678" t="s">
        <v>963</v>
      </c>
      <c r="O86" s="675" t="s">
        <v>964</v>
      </c>
      <c r="P86" s="679" t="s">
        <v>974</v>
      </c>
      <c r="Q86" s="610" t="s">
        <v>2785</v>
      </c>
    </row>
    <row r="87" spans="1:17" ht="15" thickBot="1" x14ac:dyDescent="0.35">
      <c r="A87" s="792"/>
      <c r="B87" s="647" t="str">
        <f t="shared" si="5"/>
        <v>Satinato</v>
      </c>
      <c r="C87" s="781">
        <f t="shared" ref="C87:D140" si="6">IF($D$1=1,E87,IF($D$1=2,G87,IF($D$1=3,I87,IF($D$1=4,K87,0))))</f>
        <v>1557.3600000000001</v>
      </c>
      <c r="D87" s="781">
        <f t="shared" si="6"/>
        <v>0</v>
      </c>
      <c r="E87" s="782">
        <v>1557.3600000000001</v>
      </c>
      <c r="F87" s="783"/>
      <c r="G87" s="784">
        <v>59.36</v>
      </c>
      <c r="H87" s="785"/>
      <c r="I87" s="784">
        <v>175.40600000000003</v>
      </c>
      <c r="J87" s="785"/>
      <c r="K87" s="786">
        <v>13652.8</v>
      </c>
      <c r="L87" s="787"/>
      <c r="M87" s="681" t="s">
        <v>722</v>
      </c>
      <c r="N87" s="682" t="s">
        <v>722</v>
      </c>
      <c r="O87" s="675" t="s">
        <v>722</v>
      </c>
      <c r="P87" s="683" t="s">
        <v>722</v>
      </c>
      <c r="Q87" s="610" t="s">
        <v>722</v>
      </c>
    </row>
    <row r="88" spans="1:17" ht="15" thickBot="1" x14ac:dyDescent="0.35">
      <c r="A88" s="792"/>
      <c r="B88" s="647" t="str">
        <f t="shared" si="5"/>
        <v>Satinato kalené (dodání 3 týdny)</v>
      </c>
      <c r="C88" s="781" t="e">
        <f t="shared" si="6"/>
        <v>#N/A</v>
      </c>
      <c r="D88" s="781">
        <f t="shared" si="6"/>
        <v>0</v>
      </c>
      <c r="E88" s="782" t="e">
        <v>#N/A</v>
      </c>
      <c r="F88" s="783"/>
      <c r="G88" s="784" t="e">
        <v>#N/A</v>
      </c>
      <c r="H88" s="785"/>
      <c r="I88" s="784">
        <v>0</v>
      </c>
      <c r="J88" s="785"/>
      <c r="K88" s="786" t="e">
        <v>#N/A</v>
      </c>
      <c r="L88" s="787"/>
      <c r="M88" s="681" t="s">
        <v>961</v>
      </c>
      <c r="N88" s="682" t="s">
        <v>966</v>
      </c>
      <c r="O88" s="675" t="s">
        <v>965</v>
      </c>
      <c r="P88" s="683" t="s">
        <v>975</v>
      </c>
      <c r="Q88" s="610" t="s">
        <v>2786</v>
      </c>
    </row>
    <row r="89" spans="1:17" ht="15" thickBot="1" x14ac:dyDescent="0.35">
      <c r="A89" s="792"/>
      <c r="B89" s="647" t="str">
        <f t="shared" si="5"/>
        <v>Satinato hnědé</v>
      </c>
      <c r="C89" s="781">
        <f t="shared" si="6"/>
        <v>1955.5992000000001</v>
      </c>
      <c r="D89" s="781">
        <f t="shared" si="6"/>
        <v>0</v>
      </c>
      <c r="E89" s="782">
        <v>1955.5992000000001</v>
      </c>
      <c r="F89" s="783"/>
      <c r="G89" s="784">
        <v>74.539199999999994</v>
      </c>
      <c r="H89" s="785"/>
      <c r="I89" s="784">
        <v>220.11</v>
      </c>
      <c r="J89" s="785"/>
      <c r="K89" s="786">
        <v>17144.016</v>
      </c>
      <c r="L89" s="787"/>
      <c r="M89" s="681" t="s">
        <v>1431</v>
      </c>
      <c r="N89" s="681" t="s">
        <v>1719</v>
      </c>
      <c r="O89" s="675" t="s">
        <v>1722</v>
      </c>
      <c r="P89" s="684" t="s">
        <v>1720</v>
      </c>
      <c r="Q89" s="610" t="s">
        <v>1803</v>
      </c>
    </row>
    <row r="90" spans="1:17" ht="15" thickBot="1" x14ac:dyDescent="0.35">
      <c r="A90" s="792"/>
      <c r="B90" s="647" t="str">
        <f t="shared" si="5"/>
        <v>Satinato grafit</v>
      </c>
      <c r="C90" s="781">
        <f t="shared" si="6"/>
        <v>1955.5992000000001</v>
      </c>
      <c r="D90" s="781">
        <f t="shared" si="6"/>
        <v>0</v>
      </c>
      <c r="E90" s="782">
        <v>1955.5992000000001</v>
      </c>
      <c r="F90" s="783"/>
      <c r="G90" s="784">
        <v>74.539199999999994</v>
      </c>
      <c r="H90" s="785"/>
      <c r="I90" s="784">
        <v>220.11</v>
      </c>
      <c r="J90" s="785"/>
      <c r="K90" s="786">
        <v>17144.016</v>
      </c>
      <c r="L90" s="787"/>
      <c r="M90" s="681" t="s">
        <v>1432</v>
      </c>
      <c r="N90" s="681" t="s">
        <v>1432</v>
      </c>
      <c r="O90" s="675" t="s">
        <v>1432</v>
      </c>
      <c r="P90" s="684" t="s">
        <v>1432</v>
      </c>
      <c r="Q90" s="610" t="s">
        <v>1804</v>
      </c>
    </row>
    <row r="91" spans="1:17" ht="15" thickBot="1" x14ac:dyDescent="0.35">
      <c r="A91" s="792"/>
      <c r="B91" s="647" t="str">
        <f t="shared" si="5"/>
        <v>Screen</v>
      </c>
      <c r="C91" s="781">
        <f>IF($D$1=1,E91,IF($D$1=2,G91,IF($D$1=3,I91,IF($D$1=4,K91,0))))</f>
        <v>1532.8872000000003</v>
      </c>
      <c r="D91" s="781">
        <f>IF($D$1=1,F91,IF($D$1=2,H91,IF($D$1=3,J91,IF($D$1=4,L91,0))))</f>
        <v>0</v>
      </c>
      <c r="E91" s="782">
        <v>1532.8872000000003</v>
      </c>
      <c r="F91" s="783"/>
      <c r="G91" s="784">
        <v>58.427199999999999</v>
      </c>
      <c r="H91" s="785"/>
      <c r="I91" s="784">
        <v>195.22800000000001</v>
      </c>
      <c r="J91" s="785"/>
      <c r="K91" s="786">
        <v>13978.472039905486</v>
      </c>
      <c r="L91" s="787"/>
      <c r="M91" s="681" t="s">
        <v>1433</v>
      </c>
      <c r="N91" s="681" t="s">
        <v>1433</v>
      </c>
      <c r="O91" s="675" t="s">
        <v>1433</v>
      </c>
      <c r="P91" s="684" t="s">
        <v>1433</v>
      </c>
      <c r="Q91" s="610" t="s">
        <v>1433</v>
      </c>
    </row>
    <row r="92" spans="1:17" ht="15" thickBot="1" x14ac:dyDescent="0.35">
      <c r="A92" s="792"/>
      <c r="B92" s="647" t="str">
        <f t="shared" si="5"/>
        <v>Venus VG10</v>
      </c>
      <c r="C92" s="781">
        <f t="shared" si="6"/>
        <v>2851.0812000000001</v>
      </c>
      <c r="D92" s="781">
        <f t="shared" si="6"/>
        <v>0</v>
      </c>
      <c r="E92" s="782">
        <v>2851.0812000000001</v>
      </c>
      <c r="F92" s="783"/>
      <c r="G92" s="784">
        <v>108.6712</v>
      </c>
      <c r="H92" s="785"/>
      <c r="I92" s="784">
        <v>361.988</v>
      </c>
      <c r="J92" s="785"/>
      <c r="K92" s="786">
        <v>25918.613809398794</v>
      </c>
      <c r="L92" s="787"/>
      <c r="M92" s="681" t="s">
        <v>1434</v>
      </c>
      <c r="N92" s="681" t="s">
        <v>1434</v>
      </c>
      <c r="O92" s="675" t="s">
        <v>1434</v>
      </c>
      <c r="P92" s="684" t="s">
        <v>1434</v>
      </c>
      <c r="Q92" s="610" t="s">
        <v>1434</v>
      </c>
    </row>
    <row r="93" spans="1:17" ht="15" thickBot="1" x14ac:dyDescent="0.35">
      <c r="A93" s="792"/>
      <c r="B93" s="647" t="str">
        <f t="shared" si="5"/>
        <v>Stopsol bronz</v>
      </c>
      <c r="C93" s="781">
        <f t="shared" si="6"/>
        <v>2607.4656000000004</v>
      </c>
      <c r="D93" s="781">
        <f t="shared" si="6"/>
        <v>0</v>
      </c>
      <c r="E93" s="782">
        <v>2607.4656000000004</v>
      </c>
      <c r="F93" s="783"/>
      <c r="G93" s="784">
        <v>99.385600000000011</v>
      </c>
      <c r="H93" s="785"/>
      <c r="I93" s="784">
        <v>333.85</v>
      </c>
      <c r="J93" s="785"/>
      <c r="K93" s="786">
        <v>23903.911787870831</v>
      </c>
      <c r="L93" s="787"/>
      <c r="M93" s="681" t="s">
        <v>1435</v>
      </c>
      <c r="N93" s="681" t="s">
        <v>1435</v>
      </c>
      <c r="O93" s="675" t="s">
        <v>1723</v>
      </c>
      <c r="P93" s="684" t="s">
        <v>1435</v>
      </c>
      <c r="Q93" s="610" t="s">
        <v>1805</v>
      </c>
    </row>
    <row r="94" spans="1:17" ht="15" thickBot="1" x14ac:dyDescent="0.35">
      <c r="A94" s="792"/>
      <c r="B94" s="647" t="str">
        <f t="shared" si="5"/>
        <v>Lakomat</v>
      </c>
      <c r="C94" s="781">
        <f>IF($D$1=1,E94,IF($D$1=2,G94,IF($D$1=3,I94,IF($D$1=4,K94,0))))</f>
        <v>1448.3448000000001</v>
      </c>
      <c r="D94" s="781">
        <f>IF($D$1=1,F94,IF($D$1=2,H94,IF($D$1=3,J94,IF($D$1=4,L94,0))))</f>
        <v>0</v>
      </c>
      <c r="E94" s="782">
        <v>1448.3448000000001</v>
      </c>
      <c r="F94" s="783"/>
      <c r="G94" s="784">
        <v>55.204799999999999</v>
      </c>
      <c r="H94" s="785"/>
      <c r="I94" s="784">
        <v>164.054</v>
      </c>
      <c r="J94" s="785"/>
      <c r="K94" s="786">
        <v>12697.103999999999</v>
      </c>
      <c r="L94" s="787"/>
      <c r="M94" s="681" t="s">
        <v>723</v>
      </c>
      <c r="N94" s="682" t="s">
        <v>723</v>
      </c>
      <c r="O94" s="675" t="s">
        <v>723</v>
      </c>
      <c r="P94" s="683" t="s">
        <v>723</v>
      </c>
      <c r="Q94" s="610" t="s">
        <v>2787</v>
      </c>
    </row>
    <row r="95" spans="1:17" ht="15" thickBot="1" x14ac:dyDescent="0.35">
      <c r="A95" s="792"/>
      <c r="B95" s="647" t="str">
        <f t="shared" si="5"/>
        <v>Pisek</v>
      </c>
      <c r="C95" s="781">
        <f t="shared" si="6"/>
        <v>1206.954</v>
      </c>
      <c r="D95" s="781">
        <f t="shared" si="6"/>
        <v>0</v>
      </c>
      <c r="E95" s="782">
        <v>1206.954</v>
      </c>
      <c r="F95" s="783"/>
      <c r="G95" s="784">
        <v>46.003999999999998</v>
      </c>
      <c r="H95" s="785"/>
      <c r="I95" s="784">
        <v>188.89200000000002</v>
      </c>
      <c r="J95" s="785"/>
      <c r="K95" s="786">
        <v>13524.809661328432</v>
      </c>
      <c r="L95" s="787"/>
      <c r="M95" s="681" t="s">
        <v>721</v>
      </c>
      <c r="N95" s="682" t="s">
        <v>1728</v>
      </c>
      <c r="O95" s="675" t="s">
        <v>1727</v>
      </c>
      <c r="P95" s="683" t="s">
        <v>1726</v>
      </c>
      <c r="Q95" s="610" t="s">
        <v>1806</v>
      </c>
    </row>
    <row r="96" spans="1:17" ht="15" thickBot="1" x14ac:dyDescent="0.35">
      <c r="A96" s="792"/>
      <c r="B96" s="647" t="str">
        <f t="shared" si="5"/>
        <v>Antisol bronz</v>
      </c>
      <c r="C96" s="781">
        <f t="shared" si="6"/>
        <v>1001.1600000000001</v>
      </c>
      <c r="D96" s="781">
        <f t="shared" si="6"/>
        <v>0</v>
      </c>
      <c r="E96" s="782">
        <v>1001.1600000000001</v>
      </c>
      <c r="F96" s="783"/>
      <c r="G96" s="784">
        <v>38.160000000000004</v>
      </c>
      <c r="H96" s="785"/>
      <c r="I96" s="784">
        <v>118.77800000000002</v>
      </c>
      <c r="J96" s="785"/>
      <c r="K96" s="786">
        <v>8776.8000000000011</v>
      </c>
      <c r="L96" s="787"/>
      <c r="M96" s="681" t="s">
        <v>733</v>
      </c>
      <c r="N96" s="682" t="s">
        <v>733</v>
      </c>
      <c r="O96" s="675" t="s">
        <v>2592</v>
      </c>
      <c r="P96" s="683" t="s">
        <v>733</v>
      </c>
      <c r="Q96" s="610" t="s">
        <v>1807</v>
      </c>
    </row>
    <row r="97" spans="1:17" ht="15" thickBot="1" x14ac:dyDescent="0.35">
      <c r="A97" s="792"/>
      <c r="B97" s="647" t="str">
        <f t="shared" si="5"/>
        <v>Antisol grafit</v>
      </c>
      <c r="C97" s="781">
        <f t="shared" si="6"/>
        <v>1001.1600000000001</v>
      </c>
      <c r="D97" s="781">
        <f t="shared" si="6"/>
        <v>0</v>
      </c>
      <c r="E97" s="782">
        <v>1001.1600000000001</v>
      </c>
      <c r="F97" s="783"/>
      <c r="G97" s="784">
        <v>38.160000000000004</v>
      </c>
      <c r="H97" s="785"/>
      <c r="I97" s="784">
        <v>118.77800000000002</v>
      </c>
      <c r="J97" s="785"/>
      <c r="K97" s="786">
        <v>8776.8000000000011</v>
      </c>
      <c r="L97" s="787"/>
      <c r="M97" s="681" t="s">
        <v>734</v>
      </c>
      <c r="N97" s="682" t="s">
        <v>734</v>
      </c>
      <c r="O97" s="675" t="s">
        <v>734</v>
      </c>
      <c r="P97" s="683" t="s">
        <v>734</v>
      </c>
      <c r="Q97" s="610" t="s">
        <v>1808</v>
      </c>
    </row>
    <row r="98" spans="1:17" ht="15" thickBot="1" x14ac:dyDescent="0.35">
      <c r="A98" s="792"/>
      <c r="B98" s="647" t="str">
        <f t="shared" si="5"/>
        <v>Zrcadlo</v>
      </c>
      <c r="C98" s="781">
        <f t="shared" si="6"/>
        <v>912.16800000000012</v>
      </c>
      <c r="D98" s="781">
        <f t="shared" si="6"/>
        <v>0</v>
      </c>
      <c r="E98" s="782">
        <v>912.16800000000012</v>
      </c>
      <c r="F98" s="783"/>
      <c r="G98" s="784">
        <v>34.768000000000001</v>
      </c>
      <c r="H98" s="785"/>
      <c r="I98" s="784">
        <v>139.06200000000001</v>
      </c>
      <c r="J98" s="785"/>
      <c r="K98" s="786">
        <v>9956.9440798109736</v>
      </c>
      <c r="L98" s="787"/>
      <c r="M98" s="681" t="s">
        <v>724</v>
      </c>
      <c r="N98" s="682" t="s">
        <v>725</v>
      </c>
      <c r="O98" s="675" t="s">
        <v>726</v>
      </c>
      <c r="P98" s="683" t="s">
        <v>626</v>
      </c>
      <c r="Q98" s="610" t="s">
        <v>1809</v>
      </c>
    </row>
    <row r="99" spans="1:17" ht="15" thickBot="1" x14ac:dyDescent="0.35">
      <c r="A99" s="792"/>
      <c r="B99" s="647" t="str">
        <f t="shared" si="5"/>
        <v>Zrcadlo hnědé</v>
      </c>
      <c r="C99" s="781">
        <f t="shared" si="6"/>
        <v>1219.1904000000002</v>
      </c>
      <c r="D99" s="781">
        <f t="shared" si="6"/>
        <v>0</v>
      </c>
      <c r="E99" s="782">
        <v>1219.1904000000002</v>
      </c>
      <c r="F99" s="783"/>
      <c r="G99" s="784">
        <v>46.470400000000005</v>
      </c>
      <c r="H99" s="785"/>
      <c r="I99" s="784">
        <v>185.81200000000001</v>
      </c>
      <c r="J99" s="785"/>
      <c r="K99" s="786">
        <v>13304.279338409031</v>
      </c>
      <c r="L99" s="787"/>
      <c r="M99" s="681" t="s">
        <v>1688</v>
      </c>
      <c r="N99" s="682" t="s">
        <v>1721</v>
      </c>
      <c r="O99" s="675" t="s">
        <v>1724</v>
      </c>
      <c r="P99" s="683" t="s">
        <v>1725</v>
      </c>
      <c r="Q99" s="610" t="s">
        <v>1810</v>
      </c>
    </row>
    <row r="100" spans="1:17" ht="15" thickBot="1" x14ac:dyDescent="0.35">
      <c r="A100" s="792"/>
      <c r="B100" s="647" t="str">
        <f t="shared" si="5"/>
        <v>Zrcadlo grafit</v>
      </c>
      <c r="C100" s="781">
        <f t="shared" si="6"/>
        <v>1219.1904000000002</v>
      </c>
      <c r="D100" s="781">
        <f t="shared" si="6"/>
        <v>0</v>
      </c>
      <c r="E100" s="782">
        <v>1219.1904000000002</v>
      </c>
      <c r="F100" s="783"/>
      <c r="G100" s="784">
        <v>46.470400000000005</v>
      </c>
      <c r="H100" s="785"/>
      <c r="I100" s="784">
        <v>185.81200000000001</v>
      </c>
      <c r="J100" s="785"/>
      <c r="K100" s="786">
        <v>13304.279338409031</v>
      </c>
      <c r="L100" s="787"/>
      <c r="M100" s="681" t="s">
        <v>1689</v>
      </c>
      <c r="N100" s="682" t="s">
        <v>1690</v>
      </c>
      <c r="O100" s="675" t="s">
        <v>1691</v>
      </c>
      <c r="P100" s="683" t="s">
        <v>1692</v>
      </c>
      <c r="Q100" s="610" t="s">
        <v>2788</v>
      </c>
    </row>
    <row r="101" spans="1:17" ht="15" thickBot="1" x14ac:dyDescent="0.35">
      <c r="A101" s="792"/>
      <c r="B101" s="647" t="str">
        <f t="shared" si="5"/>
        <v>Zrcadlo + bezpečnostní fólie</v>
      </c>
      <c r="C101" s="781" t="e">
        <f t="shared" si="6"/>
        <v>#N/A</v>
      </c>
      <c r="D101" s="781">
        <f t="shared" si="6"/>
        <v>0</v>
      </c>
      <c r="E101" s="782" t="e">
        <v>#N/A</v>
      </c>
      <c r="F101" s="783"/>
      <c r="G101" s="784" t="e">
        <v>#N/A</v>
      </c>
      <c r="H101" s="785"/>
      <c r="I101" s="784">
        <v>0</v>
      </c>
      <c r="J101" s="785"/>
      <c r="K101" s="786" t="e">
        <v>#N/A</v>
      </c>
      <c r="L101" s="787"/>
      <c r="M101" s="681" t="s">
        <v>748</v>
      </c>
      <c r="N101" s="682" t="s">
        <v>1014</v>
      </c>
      <c r="O101" s="675" t="s">
        <v>2593</v>
      </c>
      <c r="P101" s="683" t="s">
        <v>976</v>
      </c>
      <c r="Q101" s="610" t="s">
        <v>2789</v>
      </c>
    </row>
    <row r="102" spans="1:17" ht="15" thickBot="1" x14ac:dyDescent="0.35">
      <c r="A102" s="792"/>
      <c r="B102" s="647" t="str">
        <f t="shared" si="5"/>
        <v>Krizet</v>
      </c>
      <c r="C102" s="781">
        <f t="shared" si="6"/>
        <v>1532.8872000000003</v>
      </c>
      <c r="D102" s="781">
        <f t="shared" si="6"/>
        <v>0</v>
      </c>
      <c r="E102" s="782">
        <v>1532.8872000000003</v>
      </c>
      <c r="F102" s="783"/>
      <c r="G102" s="784">
        <v>58.427199999999999</v>
      </c>
      <c r="H102" s="785"/>
      <c r="I102" s="784">
        <v>195.22800000000001</v>
      </c>
      <c r="J102" s="785"/>
      <c r="K102" s="786">
        <v>13978.472039905486</v>
      </c>
      <c r="L102" s="787"/>
      <c r="M102" s="685" t="s">
        <v>1693</v>
      </c>
      <c r="N102" s="685" t="s">
        <v>1693</v>
      </c>
      <c r="O102" s="675" t="s">
        <v>1693</v>
      </c>
      <c r="P102" s="686" t="s">
        <v>1693</v>
      </c>
      <c r="Q102" s="610" t="s">
        <v>1693</v>
      </c>
    </row>
    <row r="103" spans="1:17" ht="15" thickBot="1" x14ac:dyDescent="0.35">
      <c r="A103" s="792"/>
      <c r="B103" s="647" t="str">
        <f t="shared" si="5"/>
        <v>Master (Carre)</v>
      </c>
      <c r="C103" s="781">
        <f t="shared" si="6"/>
        <v>1532.8872000000003</v>
      </c>
      <c r="D103" s="781">
        <f t="shared" si="6"/>
        <v>0</v>
      </c>
      <c r="E103" s="782">
        <v>1532.8872000000003</v>
      </c>
      <c r="F103" s="783"/>
      <c r="G103" s="784">
        <v>58.427199999999999</v>
      </c>
      <c r="H103" s="785"/>
      <c r="I103" s="784">
        <v>193.84200000000001</v>
      </c>
      <c r="J103" s="785"/>
      <c r="K103" s="786">
        <v>13879.233394591756</v>
      </c>
      <c r="L103" s="787"/>
      <c r="M103" s="685" t="s">
        <v>727</v>
      </c>
      <c r="N103" s="682" t="s">
        <v>727</v>
      </c>
      <c r="O103" s="675" t="s">
        <v>727</v>
      </c>
      <c r="P103" s="683" t="s">
        <v>727</v>
      </c>
      <c r="Q103" s="610" t="s">
        <v>727</v>
      </c>
    </row>
    <row r="104" spans="1:17" ht="15" thickBot="1" x14ac:dyDescent="0.35">
      <c r="A104" s="792"/>
      <c r="B104" s="647" t="str">
        <f t="shared" si="5"/>
        <v xml:space="preserve">Master  Lens </v>
      </c>
      <c r="C104" s="781">
        <f t="shared" si="6"/>
        <v>1532.8872000000003</v>
      </c>
      <c r="D104" s="781">
        <f t="shared" si="6"/>
        <v>0</v>
      </c>
      <c r="E104" s="782">
        <v>1532.8872000000003</v>
      </c>
      <c r="F104" s="783"/>
      <c r="G104" s="784">
        <v>58.427199999999999</v>
      </c>
      <c r="H104" s="785"/>
      <c r="I104" s="784">
        <v>193.84200000000001</v>
      </c>
      <c r="J104" s="785"/>
      <c r="K104" s="786">
        <v>13879.233394591756</v>
      </c>
      <c r="L104" s="787"/>
      <c r="M104" s="685" t="s">
        <v>728</v>
      </c>
      <c r="N104" s="682" t="s">
        <v>728</v>
      </c>
      <c r="O104" s="675" t="s">
        <v>728</v>
      </c>
      <c r="P104" s="683" t="s">
        <v>728</v>
      </c>
      <c r="Q104" s="610" t="s">
        <v>2664</v>
      </c>
    </row>
    <row r="105" spans="1:17" ht="15" thickBot="1" x14ac:dyDescent="0.35">
      <c r="A105" s="792"/>
      <c r="B105" s="647" t="str">
        <f t="shared" si="5"/>
        <v>Master  Ligne</v>
      </c>
      <c r="C105" s="781">
        <f t="shared" si="6"/>
        <v>1532.8872000000003</v>
      </c>
      <c r="D105" s="781">
        <f t="shared" si="6"/>
        <v>0</v>
      </c>
      <c r="E105" s="782">
        <v>1532.8872000000003</v>
      </c>
      <c r="F105" s="783"/>
      <c r="G105" s="784">
        <v>58.427199999999999</v>
      </c>
      <c r="H105" s="785"/>
      <c r="I105" s="784">
        <v>193.84200000000001</v>
      </c>
      <c r="J105" s="785"/>
      <c r="K105" s="786">
        <v>13879.233394591756</v>
      </c>
      <c r="L105" s="787"/>
      <c r="M105" s="687" t="s">
        <v>729</v>
      </c>
      <c r="N105" s="682" t="s">
        <v>729</v>
      </c>
      <c r="O105" s="675" t="s">
        <v>729</v>
      </c>
      <c r="P105" s="683" t="s">
        <v>729</v>
      </c>
      <c r="Q105" s="610" t="s">
        <v>729</v>
      </c>
    </row>
    <row r="106" spans="1:17" ht="15" thickBot="1" x14ac:dyDescent="0.35">
      <c r="A106" s="792"/>
      <c r="B106" s="647" t="str">
        <f t="shared" si="5"/>
        <v>Master  Point</v>
      </c>
      <c r="C106" s="781">
        <f>IF($D$1=1,E106,IF($D$1=2,G106,IF($D$1=3,I106,IF($D$1=4,K106,0))))</f>
        <v>1532.8872000000003</v>
      </c>
      <c r="D106" s="781">
        <f>IF($D$1=1,F106,IF($D$1=2,H106,IF($D$1=3,J106,IF($D$1=4,L106,0))))</f>
        <v>0</v>
      </c>
      <c r="E106" s="782">
        <v>1532.8872000000003</v>
      </c>
      <c r="F106" s="783"/>
      <c r="G106" s="784">
        <v>58.427199999999999</v>
      </c>
      <c r="H106" s="785"/>
      <c r="I106" s="784">
        <v>193.84200000000001</v>
      </c>
      <c r="J106" s="785"/>
      <c r="K106" s="786">
        <v>13879.233394591756</v>
      </c>
      <c r="L106" s="787"/>
      <c r="M106" s="687" t="s">
        <v>730</v>
      </c>
      <c r="N106" s="682" t="s">
        <v>730</v>
      </c>
      <c r="O106" s="675" t="s">
        <v>730</v>
      </c>
      <c r="P106" s="683" t="s">
        <v>730</v>
      </c>
      <c r="Q106" s="610" t="s">
        <v>1815</v>
      </c>
    </row>
    <row r="107" spans="1:17" ht="15" thickBot="1" x14ac:dyDescent="0.35">
      <c r="A107" s="792"/>
      <c r="B107" s="647" t="str">
        <f t="shared" si="5"/>
        <v xml:space="preserve">Master  Ray </v>
      </c>
      <c r="C107" s="781" t="e">
        <f t="shared" si="6"/>
        <v>#N/A</v>
      </c>
      <c r="D107" s="781">
        <f t="shared" si="6"/>
        <v>0</v>
      </c>
      <c r="E107" s="782" t="e">
        <v>#N/A</v>
      </c>
      <c r="F107" s="783"/>
      <c r="G107" s="784" t="e">
        <v>#N/A</v>
      </c>
      <c r="H107" s="785"/>
      <c r="I107" s="784">
        <v>0</v>
      </c>
      <c r="J107" s="785"/>
      <c r="K107" s="786" t="e">
        <v>#N/A</v>
      </c>
      <c r="L107" s="787"/>
      <c r="M107" s="688" t="s">
        <v>731</v>
      </c>
      <c r="N107" s="682" t="s">
        <v>731</v>
      </c>
      <c r="O107" s="675" t="s">
        <v>731</v>
      </c>
      <c r="P107" s="683" t="s">
        <v>731</v>
      </c>
      <c r="Q107" s="610" t="s">
        <v>1816</v>
      </c>
    </row>
    <row r="108" spans="1:17" ht="15" thickBot="1" x14ac:dyDescent="0.35">
      <c r="A108" s="792"/>
      <c r="B108" s="647" t="str">
        <f t="shared" si="5"/>
        <v>Master  Shine</v>
      </c>
      <c r="C108" s="781">
        <f t="shared" si="6"/>
        <v>1532.8872000000003</v>
      </c>
      <c r="D108" s="781">
        <f t="shared" si="6"/>
        <v>0</v>
      </c>
      <c r="E108" s="782">
        <v>1532.8872000000003</v>
      </c>
      <c r="F108" s="783"/>
      <c r="G108" s="784">
        <v>58.427199999999999</v>
      </c>
      <c r="H108" s="785"/>
      <c r="I108" s="784">
        <v>193.84200000000001</v>
      </c>
      <c r="J108" s="785"/>
      <c r="K108" s="786">
        <v>13879.233394591756</v>
      </c>
      <c r="L108" s="787"/>
      <c r="M108" s="689" t="s">
        <v>732</v>
      </c>
      <c r="N108" s="690" t="s">
        <v>732</v>
      </c>
      <c r="O108" s="675" t="s">
        <v>732</v>
      </c>
      <c r="P108" s="691" t="s">
        <v>732</v>
      </c>
      <c r="Q108" s="610" t="s">
        <v>732</v>
      </c>
    </row>
    <row r="109" spans="1:17" ht="15" thickBot="1" x14ac:dyDescent="0.35">
      <c r="A109" s="792"/>
      <c r="B109" s="647" t="str">
        <f t="shared" si="5"/>
        <v>Lacobel RAL 1013</v>
      </c>
      <c r="C109" s="781">
        <f t="shared" si="6"/>
        <v>1957.8240000000001</v>
      </c>
      <c r="D109" s="781">
        <f t="shared" si="6"/>
        <v>0</v>
      </c>
      <c r="E109" s="782">
        <v>1957.8240000000001</v>
      </c>
      <c r="F109" s="783"/>
      <c r="G109" s="784">
        <v>74.624000000000009</v>
      </c>
      <c r="H109" s="785"/>
      <c r="I109" s="784">
        <v>226.22600000000003</v>
      </c>
      <c r="J109" s="785"/>
      <c r="K109" s="786">
        <v>17163.52</v>
      </c>
      <c r="L109" s="787"/>
      <c r="M109" s="692" t="s">
        <v>61</v>
      </c>
      <c r="N109" s="693" t="s">
        <v>61</v>
      </c>
      <c r="O109" s="675" t="s">
        <v>61</v>
      </c>
      <c r="P109" s="694" t="s">
        <v>61</v>
      </c>
      <c r="Q109" s="610" t="s">
        <v>61</v>
      </c>
    </row>
    <row r="110" spans="1:17" ht="15" thickBot="1" x14ac:dyDescent="0.35">
      <c r="A110" s="792"/>
      <c r="B110" s="647" t="str">
        <f t="shared" si="5"/>
        <v>Lacobel RAL 1014</v>
      </c>
      <c r="C110" s="781">
        <f t="shared" si="6"/>
        <v>1612.98</v>
      </c>
      <c r="D110" s="781">
        <f t="shared" si="6"/>
        <v>0</v>
      </c>
      <c r="E110" s="782">
        <v>1612.98</v>
      </c>
      <c r="F110" s="783"/>
      <c r="G110" s="784">
        <v>61.480000000000004</v>
      </c>
      <c r="H110" s="785"/>
      <c r="I110" s="784">
        <v>170.69800000000001</v>
      </c>
      <c r="J110" s="785"/>
      <c r="K110" s="786">
        <v>14140.4</v>
      </c>
      <c r="L110" s="787"/>
      <c r="M110" s="688" t="s">
        <v>62</v>
      </c>
      <c r="N110" s="693" t="s">
        <v>62</v>
      </c>
      <c r="O110" s="675" t="s">
        <v>62</v>
      </c>
      <c r="P110" s="694" t="s">
        <v>62</v>
      </c>
      <c r="Q110" s="610" t="s">
        <v>62</v>
      </c>
    </row>
    <row r="111" spans="1:17" ht="15" thickBot="1" x14ac:dyDescent="0.35">
      <c r="A111" s="792"/>
      <c r="B111" s="647" t="str">
        <f t="shared" si="5"/>
        <v>Lacobel RAL 1015</v>
      </c>
      <c r="C111" s="781">
        <f t="shared" si="6"/>
        <v>1612.98</v>
      </c>
      <c r="D111" s="781">
        <f t="shared" si="6"/>
        <v>0</v>
      </c>
      <c r="E111" s="782">
        <v>1612.98</v>
      </c>
      <c r="F111" s="783"/>
      <c r="G111" s="784">
        <v>61.480000000000004</v>
      </c>
      <c r="H111" s="785"/>
      <c r="I111" s="784">
        <v>169.86199999999999</v>
      </c>
      <c r="J111" s="785"/>
      <c r="K111" s="786">
        <v>14140.4</v>
      </c>
      <c r="L111" s="787"/>
      <c r="M111" s="688" t="s">
        <v>45</v>
      </c>
      <c r="N111" s="695" t="s">
        <v>45</v>
      </c>
      <c r="O111" s="675" t="s">
        <v>45</v>
      </c>
      <c r="P111" s="696" t="s">
        <v>45</v>
      </c>
      <c r="Q111" s="610" t="s">
        <v>45</v>
      </c>
    </row>
    <row r="112" spans="1:17" ht="15" thickBot="1" x14ac:dyDescent="0.35">
      <c r="A112" s="792"/>
      <c r="B112" s="647" t="str">
        <f t="shared" si="5"/>
        <v>Lacobel RAL 2001</v>
      </c>
      <c r="C112" s="781">
        <f t="shared" si="6"/>
        <v>1612.98</v>
      </c>
      <c r="D112" s="781">
        <f t="shared" si="6"/>
        <v>0</v>
      </c>
      <c r="E112" s="782">
        <v>1612.98</v>
      </c>
      <c r="F112" s="783"/>
      <c r="G112" s="784">
        <v>61.480000000000004</v>
      </c>
      <c r="H112" s="785"/>
      <c r="I112" s="784">
        <v>170.69800000000001</v>
      </c>
      <c r="J112" s="785"/>
      <c r="K112" s="786">
        <v>14140.4</v>
      </c>
      <c r="L112" s="787"/>
      <c r="M112" s="688" t="s">
        <v>51</v>
      </c>
      <c r="N112" s="697" t="s">
        <v>51</v>
      </c>
      <c r="O112" s="675" t="s">
        <v>51</v>
      </c>
      <c r="P112" s="698" t="s">
        <v>51</v>
      </c>
      <c r="Q112" s="610" t="s">
        <v>51</v>
      </c>
    </row>
    <row r="113" spans="1:17" ht="15" thickBot="1" x14ac:dyDescent="0.35">
      <c r="A113" s="792"/>
      <c r="B113" s="647" t="str">
        <f t="shared" si="5"/>
        <v>Lacobel RAL 3004</v>
      </c>
      <c r="C113" s="781">
        <f t="shared" si="6"/>
        <v>1612.98</v>
      </c>
      <c r="D113" s="781">
        <f t="shared" si="6"/>
        <v>0</v>
      </c>
      <c r="E113" s="782">
        <v>1612.98</v>
      </c>
      <c r="F113" s="783"/>
      <c r="G113" s="784">
        <v>61.480000000000004</v>
      </c>
      <c r="H113" s="785"/>
      <c r="I113" s="784">
        <v>170.69800000000001</v>
      </c>
      <c r="J113" s="785"/>
      <c r="K113" s="786">
        <v>14140.4</v>
      </c>
      <c r="L113" s="787"/>
      <c r="M113" s="688" t="s">
        <v>52</v>
      </c>
      <c r="N113" s="699" t="s">
        <v>52</v>
      </c>
      <c r="O113" s="675" t="s">
        <v>52</v>
      </c>
      <c r="P113" s="700" t="s">
        <v>52</v>
      </c>
      <c r="Q113" s="610" t="s">
        <v>52</v>
      </c>
    </row>
    <row r="114" spans="1:17" ht="15" thickBot="1" x14ac:dyDescent="0.35">
      <c r="A114" s="792"/>
      <c r="B114" s="647" t="str">
        <f t="shared" si="5"/>
        <v>Lacobel RAL 4006</v>
      </c>
      <c r="C114" s="781">
        <f t="shared" si="6"/>
        <v>1612.98</v>
      </c>
      <c r="D114" s="781">
        <f t="shared" si="6"/>
        <v>0</v>
      </c>
      <c r="E114" s="782">
        <v>1612.98</v>
      </c>
      <c r="F114" s="783"/>
      <c r="G114" s="784">
        <v>61.480000000000004</v>
      </c>
      <c r="H114" s="785"/>
      <c r="I114" s="784">
        <v>176.13200000000003</v>
      </c>
      <c r="J114" s="785"/>
      <c r="K114" s="786">
        <v>14140.4</v>
      </c>
      <c r="L114" s="787"/>
      <c r="M114" s="688" t="s">
        <v>53</v>
      </c>
      <c r="N114" s="695" t="s">
        <v>53</v>
      </c>
      <c r="O114" s="675" t="s">
        <v>53</v>
      </c>
      <c r="P114" s="696" t="s">
        <v>53</v>
      </c>
      <c r="Q114" s="610" t="s">
        <v>53</v>
      </c>
    </row>
    <row r="115" spans="1:17" ht="15" thickBot="1" x14ac:dyDescent="0.35">
      <c r="A115" s="792"/>
      <c r="B115" s="647" t="str">
        <f t="shared" si="5"/>
        <v>Lacobel RAL 5002</v>
      </c>
      <c r="C115" s="781">
        <f t="shared" si="6"/>
        <v>1612.98</v>
      </c>
      <c r="D115" s="781">
        <f t="shared" si="6"/>
        <v>0</v>
      </c>
      <c r="E115" s="782">
        <v>1612.98</v>
      </c>
      <c r="F115" s="783"/>
      <c r="G115" s="784">
        <v>61.480000000000004</v>
      </c>
      <c r="H115" s="785"/>
      <c r="I115" s="784">
        <v>170.69800000000001</v>
      </c>
      <c r="J115" s="785"/>
      <c r="K115" s="786">
        <v>14140.4</v>
      </c>
      <c r="L115" s="787"/>
      <c r="M115" s="688" t="s">
        <v>46</v>
      </c>
      <c r="N115" s="695" t="s">
        <v>46</v>
      </c>
      <c r="O115" s="675" t="s">
        <v>46</v>
      </c>
      <c r="P115" s="696" t="s">
        <v>46</v>
      </c>
      <c r="Q115" s="610" t="s">
        <v>46</v>
      </c>
    </row>
    <row r="116" spans="1:17" ht="15" thickBot="1" x14ac:dyDescent="0.35">
      <c r="A116" s="792"/>
      <c r="B116" s="647" t="str">
        <f t="shared" si="5"/>
        <v>Lacobel RAL 7035</v>
      </c>
      <c r="C116" s="781">
        <f t="shared" si="6"/>
        <v>1612.98</v>
      </c>
      <c r="D116" s="781">
        <f t="shared" si="6"/>
        <v>0</v>
      </c>
      <c r="E116" s="782">
        <v>1612.98</v>
      </c>
      <c r="F116" s="783"/>
      <c r="G116" s="784">
        <v>61.480000000000004</v>
      </c>
      <c r="H116" s="785"/>
      <c r="I116" s="784">
        <v>170.69800000000001</v>
      </c>
      <c r="J116" s="785"/>
      <c r="K116" s="786">
        <v>14140.4</v>
      </c>
      <c r="L116" s="787"/>
      <c r="M116" s="688" t="s">
        <v>56</v>
      </c>
      <c r="N116" s="695" t="s">
        <v>56</v>
      </c>
      <c r="O116" s="675" t="s">
        <v>56</v>
      </c>
      <c r="P116" s="696" t="s">
        <v>56</v>
      </c>
      <c r="Q116" s="610" t="s">
        <v>56</v>
      </c>
    </row>
    <row r="117" spans="1:17" ht="15" thickBot="1" x14ac:dyDescent="0.35">
      <c r="A117" s="792"/>
      <c r="B117" s="647" t="str">
        <f t="shared" si="5"/>
        <v>Lacobel RAL 8017</v>
      </c>
      <c r="C117" s="781">
        <f t="shared" si="6"/>
        <v>1612.98</v>
      </c>
      <c r="D117" s="781">
        <f t="shared" si="6"/>
        <v>0</v>
      </c>
      <c r="E117" s="782">
        <v>1612.98</v>
      </c>
      <c r="F117" s="783"/>
      <c r="G117" s="784">
        <v>61.480000000000004</v>
      </c>
      <c r="H117" s="785"/>
      <c r="I117" s="784">
        <v>172.744</v>
      </c>
      <c r="J117" s="785"/>
      <c r="K117" s="786">
        <v>14140.4</v>
      </c>
      <c r="L117" s="787"/>
      <c r="M117" s="688" t="s">
        <v>60</v>
      </c>
      <c r="N117" s="695" t="s">
        <v>60</v>
      </c>
      <c r="O117" s="675" t="s">
        <v>60</v>
      </c>
      <c r="P117" s="696" t="s">
        <v>60</v>
      </c>
      <c r="Q117" s="610" t="s">
        <v>60</v>
      </c>
    </row>
    <row r="118" spans="1:17" ht="15" thickBot="1" x14ac:dyDescent="0.35">
      <c r="A118" s="792"/>
      <c r="B118" s="647" t="str">
        <f t="shared" si="5"/>
        <v>Lacobel RAL 9003</v>
      </c>
      <c r="C118" s="781">
        <f t="shared" si="6"/>
        <v>1957.8240000000001</v>
      </c>
      <c r="D118" s="781">
        <f t="shared" si="6"/>
        <v>0</v>
      </c>
      <c r="E118" s="782">
        <v>1957.8240000000001</v>
      </c>
      <c r="F118" s="783"/>
      <c r="G118" s="784">
        <v>74.624000000000009</v>
      </c>
      <c r="H118" s="785"/>
      <c r="I118" s="784">
        <v>226.22600000000003</v>
      </c>
      <c r="J118" s="785"/>
      <c r="K118" s="786">
        <v>17163.52</v>
      </c>
      <c r="L118" s="787"/>
      <c r="M118" s="688" t="s">
        <v>63</v>
      </c>
      <c r="N118" s="695" t="s">
        <v>63</v>
      </c>
      <c r="O118" s="675" t="s">
        <v>63</v>
      </c>
      <c r="P118" s="696" t="s">
        <v>63</v>
      </c>
      <c r="Q118" s="610" t="s">
        <v>63</v>
      </c>
    </row>
    <row r="119" spans="1:17" ht="15" thickBot="1" x14ac:dyDescent="0.35">
      <c r="A119" s="792"/>
      <c r="B119" s="647" t="str">
        <f t="shared" si="5"/>
        <v>Lacobel RAL 9005</v>
      </c>
      <c r="C119" s="781">
        <f t="shared" si="6"/>
        <v>1612.98</v>
      </c>
      <c r="D119" s="781">
        <f t="shared" si="6"/>
        <v>0</v>
      </c>
      <c r="E119" s="782">
        <v>1612.98</v>
      </c>
      <c r="F119" s="783"/>
      <c r="G119" s="784">
        <v>61.480000000000004</v>
      </c>
      <c r="H119" s="785"/>
      <c r="I119" s="784">
        <v>170.69800000000001</v>
      </c>
      <c r="J119" s="785"/>
      <c r="K119" s="786">
        <v>14140.4</v>
      </c>
      <c r="L119" s="787"/>
      <c r="M119" s="688" t="s">
        <v>65</v>
      </c>
      <c r="N119" s="695" t="s">
        <v>65</v>
      </c>
      <c r="O119" s="675" t="s">
        <v>65</v>
      </c>
      <c r="P119" s="696" t="s">
        <v>65</v>
      </c>
      <c r="Q119" s="610" t="s">
        <v>65</v>
      </c>
    </row>
    <row r="120" spans="1:17" ht="15" thickBot="1" x14ac:dyDescent="0.35">
      <c r="A120" s="792"/>
      <c r="B120" s="647" t="str">
        <f t="shared" si="5"/>
        <v>Lacobel RAL 9006</v>
      </c>
      <c r="C120" s="781">
        <f t="shared" si="6"/>
        <v>1612.98</v>
      </c>
      <c r="D120" s="781">
        <f t="shared" si="6"/>
        <v>0</v>
      </c>
      <c r="E120" s="782">
        <v>1612.98</v>
      </c>
      <c r="F120" s="783"/>
      <c r="G120" s="784">
        <v>61.480000000000004</v>
      </c>
      <c r="H120" s="785"/>
      <c r="I120" s="784">
        <v>246.79600000000005</v>
      </c>
      <c r="J120" s="785"/>
      <c r="K120" s="786">
        <v>17670.779732213181</v>
      </c>
      <c r="L120" s="787"/>
      <c r="M120" s="688" t="s">
        <v>64</v>
      </c>
      <c r="N120" s="695" t="s">
        <v>64</v>
      </c>
      <c r="O120" s="675" t="s">
        <v>64</v>
      </c>
      <c r="P120" s="696" t="s">
        <v>64</v>
      </c>
      <c r="Q120" s="610" t="s">
        <v>64</v>
      </c>
    </row>
    <row r="121" spans="1:17" ht="15" thickBot="1" x14ac:dyDescent="0.35">
      <c r="A121" s="792"/>
      <c r="B121" s="647" t="str">
        <f t="shared" si="5"/>
        <v>Lacobel RAL 9007</v>
      </c>
      <c r="C121" s="781">
        <f t="shared" si="6"/>
        <v>1957.8240000000001</v>
      </c>
      <c r="D121" s="781">
        <f t="shared" si="6"/>
        <v>0</v>
      </c>
      <c r="E121" s="782">
        <v>1957.8240000000001</v>
      </c>
      <c r="F121" s="783"/>
      <c r="G121" s="784">
        <v>74.624000000000009</v>
      </c>
      <c r="H121" s="785"/>
      <c r="I121" s="784">
        <v>226.22600000000003</v>
      </c>
      <c r="J121" s="785"/>
      <c r="K121" s="786">
        <v>17163.52</v>
      </c>
      <c r="L121" s="787"/>
      <c r="M121" s="688" t="s">
        <v>1013</v>
      </c>
      <c r="N121" s="695" t="s">
        <v>1013</v>
      </c>
      <c r="O121" s="675" t="s">
        <v>1013</v>
      </c>
      <c r="P121" s="696" t="s">
        <v>1013</v>
      </c>
      <c r="Q121" s="610" t="s">
        <v>1013</v>
      </c>
    </row>
    <row r="122" spans="1:17" ht="15" thickBot="1" x14ac:dyDescent="0.35">
      <c r="A122" s="792"/>
      <c r="B122" s="647" t="str">
        <f t="shared" si="5"/>
        <v>Lacobel RAL 9010</v>
      </c>
      <c r="C122" s="781">
        <f t="shared" si="6"/>
        <v>1612.98</v>
      </c>
      <c r="D122" s="781">
        <f t="shared" si="6"/>
        <v>0</v>
      </c>
      <c r="E122" s="782">
        <v>1612.98</v>
      </c>
      <c r="F122" s="783"/>
      <c r="G122" s="784">
        <v>61.480000000000004</v>
      </c>
      <c r="H122" s="785"/>
      <c r="I122" s="784">
        <v>170.69800000000001</v>
      </c>
      <c r="J122" s="785"/>
      <c r="K122" s="786">
        <v>14140.4</v>
      </c>
      <c r="L122" s="787"/>
      <c r="M122" s="688" t="s">
        <v>47</v>
      </c>
      <c r="N122" s="695" t="s">
        <v>47</v>
      </c>
      <c r="O122" s="675" t="s">
        <v>47</v>
      </c>
      <c r="P122" s="696" t="s">
        <v>47</v>
      </c>
      <c r="Q122" s="610" t="s">
        <v>47</v>
      </c>
    </row>
    <row r="123" spans="1:17" ht="15" thickBot="1" x14ac:dyDescent="0.35">
      <c r="A123" s="792"/>
      <c r="B123" s="647" t="str">
        <f t="shared" si="5"/>
        <v>Lacobel REF 0128</v>
      </c>
      <c r="C123" s="781">
        <f t="shared" si="6"/>
        <v>1957.8240000000001</v>
      </c>
      <c r="D123" s="781">
        <f t="shared" si="6"/>
        <v>0</v>
      </c>
      <c r="E123" s="782">
        <v>1957.8240000000001</v>
      </c>
      <c r="F123" s="783"/>
      <c r="G123" s="784">
        <v>74.624000000000009</v>
      </c>
      <c r="H123" s="785"/>
      <c r="I123" s="784">
        <v>226.22600000000003</v>
      </c>
      <c r="J123" s="785"/>
      <c r="K123" s="786">
        <v>17163.52</v>
      </c>
      <c r="L123" s="787"/>
      <c r="M123" s="688" t="s">
        <v>54</v>
      </c>
      <c r="N123" s="695" t="s">
        <v>54</v>
      </c>
      <c r="O123" s="675" t="s">
        <v>54</v>
      </c>
      <c r="P123" s="696" t="s">
        <v>54</v>
      </c>
      <c r="Q123" s="610" t="s">
        <v>54</v>
      </c>
    </row>
    <row r="124" spans="1:17" ht="15" thickBot="1" x14ac:dyDescent="0.35">
      <c r="A124" s="792"/>
      <c r="B124" s="647" t="str">
        <f t="shared" si="5"/>
        <v>Lacobel REF 0327</v>
      </c>
      <c r="C124" s="781">
        <f t="shared" si="6"/>
        <v>1957.8240000000001</v>
      </c>
      <c r="D124" s="781">
        <f t="shared" si="6"/>
        <v>0</v>
      </c>
      <c r="E124" s="782">
        <v>1957.8240000000001</v>
      </c>
      <c r="F124" s="783"/>
      <c r="G124" s="784">
        <v>74.624000000000009</v>
      </c>
      <c r="H124" s="785"/>
      <c r="I124" s="784">
        <v>226.22600000000003</v>
      </c>
      <c r="J124" s="785"/>
      <c r="K124" s="786">
        <v>17163.52</v>
      </c>
      <c r="L124" s="787"/>
      <c r="M124" s="688" t="s">
        <v>66</v>
      </c>
      <c r="N124" s="695" t="s">
        <v>66</v>
      </c>
      <c r="O124" s="675" t="s">
        <v>66</v>
      </c>
      <c r="P124" s="696" t="s">
        <v>66</v>
      </c>
      <c r="Q124" s="610" t="s">
        <v>66</v>
      </c>
    </row>
    <row r="125" spans="1:17" ht="15" thickBot="1" x14ac:dyDescent="0.35">
      <c r="A125" s="792"/>
      <c r="B125" s="647" t="str">
        <f t="shared" si="5"/>
        <v>Lacobel REF 0337</v>
      </c>
      <c r="C125" s="781">
        <f t="shared" si="6"/>
        <v>1957.8240000000001</v>
      </c>
      <c r="D125" s="781">
        <f t="shared" si="6"/>
        <v>0</v>
      </c>
      <c r="E125" s="782">
        <v>1957.8240000000001</v>
      </c>
      <c r="F125" s="783"/>
      <c r="G125" s="784">
        <v>74.624000000000009</v>
      </c>
      <c r="H125" s="785"/>
      <c r="I125" s="784">
        <v>226.22600000000003</v>
      </c>
      <c r="J125" s="785"/>
      <c r="K125" s="786">
        <v>17163.52</v>
      </c>
      <c r="L125" s="787"/>
      <c r="M125" s="688" t="s">
        <v>57</v>
      </c>
      <c r="N125" s="695" t="s">
        <v>57</v>
      </c>
      <c r="O125" s="675" t="s">
        <v>57</v>
      </c>
      <c r="P125" s="696" t="s">
        <v>57</v>
      </c>
      <c r="Q125" s="610" t="s">
        <v>57</v>
      </c>
    </row>
    <row r="126" spans="1:17" ht="15" thickBot="1" x14ac:dyDescent="0.35">
      <c r="A126" s="792"/>
      <c r="B126" s="647" t="str">
        <f t="shared" si="5"/>
        <v>Lacobel REF 0627</v>
      </c>
      <c r="C126" s="781">
        <f t="shared" si="6"/>
        <v>1957.8240000000001</v>
      </c>
      <c r="D126" s="781">
        <f t="shared" si="6"/>
        <v>0</v>
      </c>
      <c r="E126" s="782">
        <v>1957.8240000000001</v>
      </c>
      <c r="F126" s="783"/>
      <c r="G126" s="784">
        <v>74.624000000000009</v>
      </c>
      <c r="H126" s="785"/>
      <c r="I126" s="784">
        <v>226.22600000000003</v>
      </c>
      <c r="J126" s="785"/>
      <c r="K126" s="786">
        <v>17163.52</v>
      </c>
      <c r="L126" s="787"/>
      <c r="M126" s="688" t="s">
        <v>58</v>
      </c>
      <c r="N126" s="695" t="s">
        <v>58</v>
      </c>
      <c r="O126" s="675" t="s">
        <v>58</v>
      </c>
      <c r="P126" s="696" t="s">
        <v>58</v>
      </c>
      <c r="Q126" s="610" t="s">
        <v>58</v>
      </c>
    </row>
    <row r="127" spans="1:17" ht="15" thickBot="1" x14ac:dyDescent="0.35">
      <c r="A127" s="792"/>
      <c r="B127" s="647" t="str">
        <f t="shared" si="5"/>
        <v>Lacobel REF 0667</v>
      </c>
      <c r="C127" s="781">
        <f t="shared" si="6"/>
        <v>1612.98</v>
      </c>
      <c r="D127" s="781">
        <f t="shared" si="6"/>
        <v>0</v>
      </c>
      <c r="E127" s="782">
        <v>1612.98</v>
      </c>
      <c r="F127" s="783"/>
      <c r="G127" s="784">
        <v>61.480000000000004</v>
      </c>
      <c r="H127" s="785"/>
      <c r="I127" s="784">
        <v>170.69800000000001</v>
      </c>
      <c r="J127" s="785"/>
      <c r="K127" s="786">
        <v>14140.4</v>
      </c>
      <c r="L127" s="787"/>
      <c r="M127" s="688" t="s">
        <v>48</v>
      </c>
      <c r="N127" s="695" t="s">
        <v>48</v>
      </c>
      <c r="O127" s="675" t="s">
        <v>48</v>
      </c>
      <c r="P127" s="696" t="s">
        <v>48</v>
      </c>
      <c r="Q127" s="610" t="s">
        <v>48</v>
      </c>
    </row>
    <row r="128" spans="1:17" ht="15" thickBot="1" x14ac:dyDescent="0.35">
      <c r="A128" s="792"/>
      <c r="B128" s="647" t="str">
        <f t="shared" si="5"/>
        <v>Lacobel REF 1164</v>
      </c>
      <c r="C128" s="781">
        <f t="shared" si="6"/>
        <v>1612.98</v>
      </c>
      <c r="D128" s="781">
        <f t="shared" si="6"/>
        <v>0</v>
      </c>
      <c r="E128" s="782">
        <v>1612.98</v>
      </c>
      <c r="F128" s="783"/>
      <c r="G128" s="784">
        <v>61.480000000000004</v>
      </c>
      <c r="H128" s="785"/>
      <c r="I128" s="784">
        <v>170.87400000000002</v>
      </c>
      <c r="J128" s="785"/>
      <c r="K128" s="786">
        <v>14140.4</v>
      </c>
      <c r="L128" s="787"/>
      <c r="M128" s="688" t="s">
        <v>49</v>
      </c>
      <c r="N128" s="695" t="s">
        <v>49</v>
      </c>
      <c r="O128" s="675" t="s">
        <v>49</v>
      </c>
      <c r="P128" s="696" t="s">
        <v>49</v>
      </c>
      <c r="Q128" s="610" t="s">
        <v>49</v>
      </c>
    </row>
    <row r="129" spans="1:17" ht="15" thickBot="1" x14ac:dyDescent="0.35">
      <c r="A129" s="792"/>
      <c r="B129" s="647" t="str">
        <f t="shared" si="5"/>
        <v>Lacobel REF 1236</v>
      </c>
      <c r="C129" s="781">
        <f t="shared" si="6"/>
        <v>1612.98</v>
      </c>
      <c r="D129" s="781">
        <f t="shared" si="6"/>
        <v>0</v>
      </c>
      <c r="E129" s="782">
        <v>1612.98</v>
      </c>
      <c r="F129" s="783"/>
      <c r="G129" s="784">
        <v>61.480000000000004</v>
      </c>
      <c r="H129" s="785"/>
      <c r="I129" s="784">
        <v>172.744</v>
      </c>
      <c r="J129" s="785"/>
      <c r="K129" s="786">
        <v>14140.4</v>
      </c>
      <c r="L129" s="787"/>
      <c r="M129" s="688" t="s">
        <v>55</v>
      </c>
      <c r="N129" s="695" t="s">
        <v>55</v>
      </c>
      <c r="O129" s="675" t="s">
        <v>55</v>
      </c>
      <c r="P129" s="696" t="s">
        <v>55</v>
      </c>
      <c r="Q129" s="610" t="s">
        <v>55</v>
      </c>
    </row>
    <row r="130" spans="1:17" ht="15" thickBot="1" x14ac:dyDescent="0.35">
      <c r="A130" s="792"/>
      <c r="B130" s="647" t="str">
        <f t="shared" si="5"/>
        <v>Lacobel REF 1435</v>
      </c>
      <c r="C130" s="781">
        <f t="shared" si="6"/>
        <v>1612.98</v>
      </c>
      <c r="D130" s="781">
        <f t="shared" si="6"/>
        <v>0</v>
      </c>
      <c r="E130" s="782">
        <v>1612.98</v>
      </c>
      <c r="F130" s="783"/>
      <c r="G130" s="784">
        <v>61.480000000000004</v>
      </c>
      <c r="H130" s="785"/>
      <c r="I130" s="784">
        <v>170.69800000000001</v>
      </c>
      <c r="J130" s="785"/>
      <c r="K130" s="786">
        <v>14140.4</v>
      </c>
      <c r="L130" s="787"/>
      <c r="M130" s="688" t="s">
        <v>50</v>
      </c>
      <c r="N130" s="695" t="s">
        <v>50</v>
      </c>
      <c r="O130" s="675" t="s">
        <v>50</v>
      </c>
      <c r="P130" s="696" t="s">
        <v>50</v>
      </c>
      <c r="Q130" s="610" t="s">
        <v>50</v>
      </c>
    </row>
    <row r="131" spans="1:17" ht="15" thickBot="1" x14ac:dyDescent="0.35">
      <c r="A131" s="792"/>
      <c r="B131" s="647" t="str">
        <f t="shared" si="5"/>
        <v>Lacobel REF 1586</v>
      </c>
      <c r="C131" s="781">
        <f t="shared" si="6"/>
        <v>1612.98</v>
      </c>
      <c r="D131" s="781">
        <f t="shared" si="6"/>
        <v>0</v>
      </c>
      <c r="E131" s="782">
        <v>1612.98</v>
      </c>
      <c r="F131" s="783"/>
      <c r="G131" s="784">
        <v>61.480000000000004</v>
      </c>
      <c r="H131" s="785"/>
      <c r="I131" s="784">
        <v>170.69800000000001</v>
      </c>
      <c r="J131" s="785"/>
      <c r="K131" s="786">
        <v>14140.4</v>
      </c>
      <c r="L131" s="787"/>
      <c r="M131" s="688" t="s">
        <v>67</v>
      </c>
      <c r="N131" s="695" t="s">
        <v>67</v>
      </c>
      <c r="O131" s="675" t="s">
        <v>67</v>
      </c>
      <c r="P131" s="696" t="s">
        <v>67</v>
      </c>
      <c r="Q131" s="610" t="s">
        <v>67</v>
      </c>
    </row>
    <row r="132" spans="1:17" ht="15" thickBot="1" x14ac:dyDescent="0.35">
      <c r="A132" s="792"/>
      <c r="B132" s="647" t="str">
        <f t="shared" si="5"/>
        <v>Lacobel REF 1603</v>
      </c>
      <c r="C132" s="781">
        <f t="shared" si="6"/>
        <v>1612.98</v>
      </c>
      <c r="D132" s="781">
        <f t="shared" si="6"/>
        <v>0</v>
      </c>
      <c r="E132" s="782">
        <v>1612.98</v>
      </c>
      <c r="F132" s="783"/>
      <c r="G132" s="784">
        <v>61.480000000000004</v>
      </c>
      <c r="H132" s="785"/>
      <c r="I132" s="784">
        <v>147.42099999999999</v>
      </c>
      <c r="J132" s="785"/>
      <c r="K132" s="786">
        <v>14140.4</v>
      </c>
      <c r="L132" s="787"/>
      <c r="M132" s="688" t="s">
        <v>44</v>
      </c>
      <c r="N132" s="695" t="s">
        <v>44</v>
      </c>
      <c r="O132" s="675" t="s">
        <v>44</v>
      </c>
      <c r="P132" s="696" t="s">
        <v>44</v>
      </c>
      <c r="Q132" s="610" t="s">
        <v>44</v>
      </c>
    </row>
    <row r="133" spans="1:17" ht="15" thickBot="1" x14ac:dyDescent="0.35">
      <c r="A133" s="792"/>
      <c r="B133" s="647" t="str">
        <f t="shared" si="5"/>
        <v>Lacobel REF 1604</v>
      </c>
      <c r="C133" s="781">
        <f t="shared" si="6"/>
        <v>1612.98</v>
      </c>
      <c r="D133" s="781">
        <f t="shared" si="6"/>
        <v>0</v>
      </c>
      <c r="E133" s="782">
        <v>1612.98</v>
      </c>
      <c r="F133" s="783"/>
      <c r="G133" s="784">
        <v>61.480000000000004</v>
      </c>
      <c r="H133" s="785"/>
      <c r="I133" s="784">
        <v>170.69800000000001</v>
      </c>
      <c r="J133" s="785"/>
      <c r="K133" s="786">
        <v>14140.4</v>
      </c>
      <c r="L133" s="787"/>
      <c r="M133" s="688" t="s">
        <v>59</v>
      </c>
      <c r="N133" s="695" t="s">
        <v>59</v>
      </c>
      <c r="O133" s="675" t="s">
        <v>59</v>
      </c>
      <c r="P133" s="696" t="s">
        <v>59</v>
      </c>
      <c r="Q133" s="610" t="s">
        <v>59</v>
      </c>
    </row>
    <row r="134" spans="1:17" ht="15" thickBot="1" x14ac:dyDescent="0.35">
      <c r="A134" s="792"/>
      <c r="B134" s="647" t="str">
        <f t="shared" si="5"/>
        <v>Matelac RAL 2001</v>
      </c>
      <c r="C134" s="781">
        <f t="shared" si="6"/>
        <v>2703.1320000000001</v>
      </c>
      <c r="D134" s="781">
        <f t="shared" si="6"/>
        <v>0</v>
      </c>
      <c r="E134" s="782">
        <v>2703.1320000000001</v>
      </c>
      <c r="F134" s="783"/>
      <c r="G134" s="784">
        <v>103.03200000000001</v>
      </c>
      <c r="H134" s="785"/>
      <c r="I134" s="784">
        <v>275.06299999999999</v>
      </c>
      <c r="J134" s="785"/>
      <c r="K134" s="786">
        <v>23697.360000000001</v>
      </c>
      <c r="L134" s="787"/>
      <c r="M134" s="688" t="s">
        <v>74</v>
      </c>
      <c r="N134" s="695" t="s">
        <v>74</v>
      </c>
      <c r="O134" s="675" t="s">
        <v>74</v>
      </c>
      <c r="P134" s="696" t="s">
        <v>74</v>
      </c>
      <c r="Q134" s="610" t="s">
        <v>74</v>
      </c>
    </row>
    <row r="135" spans="1:17" ht="15" thickBot="1" x14ac:dyDescent="0.35">
      <c r="A135" s="792"/>
      <c r="B135" s="647" t="str">
        <f t="shared" si="5"/>
        <v>Matelac RAL 3004</v>
      </c>
      <c r="C135" s="781">
        <f t="shared" si="6"/>
        <v>2703.1320000000001</v>
      </c>
      <c r="D135" s="781">
        <f t="shared" si="6"/>
        <v>0</v>
      </c>
      <c r="E135" s="782">
        <v>2703.1320000000001</v>
      </c>
      <c r="F135" s="783"/>
      <c r="G135" s="784">
        <v>103.03200000000001</v>
      </c>
      <c r="H135" s="785"/>
      <c r="I135" s="784">
        <v>318.49400000000003</v>
      </c>
      <c r="J135" s="785"/>
      <c r="K135" s="786">
        <v>23697.360000000001</v>
      </c>
      <c r="L135" s="787"/>
      <c r="M135" s="688" t="s">
        <v>76</v>
      </c>
      <c r="N135" s="695" t="s">
        <v>76</v>
      </c>
      <c r="O135" s="675" t="s">
        <v>76</v>
      </c>
      <c r="P135" s="696" t="s">
        <v>76</v>
      </c>
      <c r="Q135" s="610" t="s">
        <v>76</v>
      </c>
    </row>
    <row r="136" spans="1:17" ht="15" thickBot="1" x14ac:dyDescent="0.35">
      <c r="A136" s="792"/>
      <c r="B136" s="647" t="str">
        <f t="shared" si="5"/>
        <v>Matelac RAL 7021</v>
      </c>
      <c r="C136" s="781">
        <f t="shared" si="6"/>
        <v>2703.1320000000001</v>
      </c>
      <c r="D136" s="781">
        <f t="shared" si="6"/>
        <v>0</v>
      </c>
      <c r="E136" s="782">
        <v>2703.1320000000001</v>
      </c>
      <c r="F136" s="783"/>
      <c r="G136" s="784">
        <v>103.03200000000001</v>
      </c>
      <c r="H136" s="785"/>
      <c r="I136" s="784">
        <v>275.06299999999999</v>
      </c>
      <c r="J136" s="785"/>
      <c r="K136" s="786">
        <v>23697.360000000001</v>
      </c>
      <c r="L136" s="787"/>
      <c r="M136" s="688" t="s">
        <v>72</v>
      </c>
      <c r="N136" s="695" t="s">
        <v>72</v>
      </c>
      <c r="O136" s="675" t="s">
        <v>72</v>
      </c>
      <c r="P136" s="696" t="s">
        <v>72</v>
      </c>
      <c r="Q136" s="610" t="s">
        <v>72</v>
      </c>
    </row>
    <row r="137" spans="1:17" ht="15" thickBot="1" x14ac:dyDescent="0.35">
      <c r="A137" s="792"/>
      <c r="B137" s="647" t="str">
        <f t="shared" si="5"/>
        <v>Matelac RAL 9003</v>
      </c>
      <c r="C137" s="781">
        <f t="shared" si="6"/>
        <v>3148.0920000000001</v>
      </c>
      <c r="D137" s="781">
        <f t="shared" si="6"/>
        <v>0</v>
      </c>
      <c r="E137" s="782">
        <v>3148.0920000000001</v>
      </c>
      <c r="F137" s="783"/>
      <c r="G137" s="784">
        <v>119.992</v>
      </c>
      <c r="H137" s="785"/>
      <c r="I137" s="784">
        <v>340.56000000000006</v>
      </c>
      <c r="J137" s="785"/>
      <c r="K137" s="786">
        <v>27598.159999999996</v>
      </c>
      <c r="L137" s="787"/>
      <c r="M137" s="688" t="s">
        <v>69</v>
      </c>
      <c r="N137" s="695" t="s">
        <v>69</v>
      </c>
      <c r="O137" s="675" t="s">
        <v>69</v>
      </c>
      <c r="P137" s="696" t="s">
        <v>69</v>
      </c>
      <c r="Q137" s="610" t="s">
        <v>69</v>
      </c>
    </row>
    <row r="138" spans="1:17" ht="15" thickBot="1" x14ac:dyDescent="0.35">
      <c r="A138" s="792"/>
      <c r="B138" s="647" t="str">
        <f t="shared" si="5"/>
        <v>Matelac RAL 9005</v>
      </c>
      <c r="C138" s="781">
        <f t="shared" si="6"/>
        <v>2703.1320000000001</v>
      </c>
      <c r="D138" s="781">
        <f t="shared" si="6"/>
        <v>0</v>
      </c>
      <c r="E138" s="782">
        <v>2703.1320000000001</v>
      </c>
      <c r="F138" s="783"/>
      <c r="G138" s="784">
        <v>103.03200000000001</v>
      </c>
      <c r="H138" s="785"/>
      <c r="I138" s="784">
        <v>318.49400000000003</v>
      </c>
      <c r="J138" s="785"/>
      <c r="K138" s="786">
        <v>23697.360000000001</v>
      </c>
      <c r="L138" s="787"/>
      <c r="M138" s="688" t="s">
        <v>73</v>
      </c>
      <c r="N138" s="695" t="s">
        <v>73</v>
      </c>
      <c r="O138" s="675" t="s">
        <v>73</v>
      </c>
      <c r="P138" s="696" t="s">
        <v>73</v>
      </c>
      <c r="Q138" s="610" t="s">
        <v>73</v>
      </c>
    </row>
    <row r="139" spans="1:17" ht="15" thickBot="1" x14ac:dyDescent="0.35">
      <c r="A139" s="792"/>
      <c r="B139" s="647" t="str">
        <f t="shared" si="5"/>
        <v>Matelac RAL 9006</v>
      </c>
      <c r="C139" s="781">
        <f t="shared" si="6"/>
        <v>2703.1320000000001</v>
      </c>
      <c r="D139" s="781">
        <f t="shared" si="6"/>
        <v>0</v>
      </c>
      <c r="E139" s="782">
        <v>2703.1320000000001</v>
      </c>
      <c r="F139" s="783"/>
      <c r="G139" s="784">
        <v>103.03200000000001</v>
      </c>
      <c r="H139" s="785"/>
      <c r="I139" s="784">
        <v>318.49400000000003</v>
      </c>
      <c r="J139" s="785"/>
      <c r="K139" s="786">
        <v>23697.360000000001</v>
      </c>
      <c r="L139" s="787"/>
      <c r="M139" s="688" t="s">
        <v>71</v>
      </c>
      <c r="N139" s="695" t="s">
        <v>71</v>
      </c>
      <c r="O139" s="675" t="s">
        <v>71</v>
      </c>
      <c r="P139" s="696" t="s">
        <v>71</v>
      </c>
      <c r="Q139" s="610" t="s">
        <v>71</v>
      </c>
    </row>
    <row r="140" spans="1:17" ht="15" thickBot="1" x14ac:dyDescent="0.35">
      <c r="A140" s="792"/>
      <c r="B140" s="647" t="str">
        <f t="shared" si="5"/>
        <v>Matelac RAL 9010</v>
      </c>
      <c r="C140" s="781">
        <f t="shared" si="6"/>
        <v>2703.1320000000001</v>
      </c>
      <c r="D140" s="781">
        <f t="shared" si="6"/>
        <v>0</v>
      </c>
      <c r="E140" s="782">
        <v>2703.1320000000001</v>
      </c>
      <c r="F140" s="783"/>
      <c r="G140" s="784">
        <v>103.03200000000001</v>
      </c>
      <c r="H140" s="785"/>
      <c r="I140" s="784">
        <v>318.49400000000003</v>
      </c>
      <c r="J140" s="785"/>
      <c r="K140" s="786">
        <v>23697.360000000001</v>
      </c>
      <c r="L140" s="787"/>
      <c r="M140" s="688" t="s">
        <v>70</v>
      </c>
      <c r="N140" s="695" t="s">
        <v>70</v>
      </c>
      <c r="O140" s="675" t="s">
        <v>70</v>
      </c>
      <c r="P140" s="696" t="s">
        <v>70</v>
      </c>
      <c r="Q140" s="610" t="s">
        <v>70</v>
      </c>
    </row>
    <row r="141" spans="1:17" ht="15" thickBot="1" x14ac:dyDescent="0.35">
      <c r="A141" s="792"/>
      <c r="B141" s="647" t="str">
        <f t="shared" si="5"/>
        <v>Matelac REF 1435</v>
      </c>
      <c r="C141" s="781">
        <f t="shared" ref="C141:D146" si="7">IF($D$1=1,E141,IF($D$1=2,G141,IF($D$1=3,I141,IF($D$1=4,K141,0))))</f>
        <v>2703.1320000000001</v>
      </c>
      <c r="D141" s="781">
        <f t="shared" si="7"/>
        <v>0</v>
      </c>
      <c r="E141" s="782">
        <v>2703.1320000000001</v>
      </c>
      <c r="F141" s="783"/>
      <c r="G141" s="784">
        <v>103.03200000000001</v>
      </c>
      <c r="H141" s="785"/>
      <c r="I141" s="784">
        <v>318.49400000000003</v>
      </c>
      <c r="J141" s="785"/>
      <c r="K141" s="786">
        <v>23697.360000000001</v>
      </c>
      <c r="L141" s="787"/>
      <c r="M141" s="701" t="s">
        <v>68</v>
      </c>
      <c r="N141" s="695" t="s">
        <v>68</v>
      </c>
      <c r="O141" s="675" t="s">
        <v>68</v>
      </c>
      <c r="P141" s="696" t="s">
        <v>68</v>
      </c>
      <c r="Q141" s="610" t="s">
        <v>68</v>
      </c>
    </row>
    <row r="142" spans="1:17" ht="15" thickBot="1" x14ac:dyDescent="0.35">
      <c r="A142" s="792"/>
      <c r="B142" s="647" t="str">
        <f t="shared" si="5"/>
        <v>Matelac REF 1586</v>
      </c>
      <c r="C142" s="781">
        <f t="shared" si="7"/>
        <v>2703.1320000000001</v>
      </c>
      <c r="D142" s="781">
        <f t="shared" si="7"/>
        <v>0</v>
      </c>
      <c r="E142" s="782">
        <v>2703.1320000000001</v>
      </c>
      <c r="F142" s="783"/>
      <c r="G142" s="784">
        <v>103.03200000000001</v>
      </c>
      <c r="H142" s="785"/>
      <c r="I142" s="784">
        <v>318.49400000000003</v>
      </c>
      <c r="J142" s="785"/>
      <c r="K142" s="786">
        <v>23697.360000000001</v>
      </c>
      <c r="L142" s="787"/>
      <c r="M142" s="702" t="s">
        <v>75</v>
      </c>
      <c r="N142" s="695" t="s">
        <v>75</v>
      </c>
      <c r="O142" s="675" t="s">
        <v>75</v>
      </c>
      <c r="P142" s="696" t="s">
        <v>75</v>
      </c>
      <c r="Q142" s="610" t="s">
        <v>75</v>
      </c>
    </row>
    <row r="143" spans="1:17" ht="15" thickBot="1" x14ac:dyDescent="0.35">
      <c r="A143" s="792"/>
      <c r="B143" s="647" t="str">
        <f t="shared" si="5"/>
        <v>Matelac zrcadlo bronz</v>
      </c>
      <c r="C143" s="781">
        <f t="shared" si="7"/>
        <v>2925.6120000000001</v>
      </c>
      <c r="D143" s="781">
        <f t="shared" si="7"/>
        <v>0</v>
      </c>
      <c r="E143" s="782">
        <v>2925.6120000000001</v>
      </c>
      <c r="F143" s="783"/>
      <c r="G143" s="784">
        <v>111.51200000000001</v>
      </c>
      <c r="H143" s="785"/>
      <c r="I143" s="784">
        <v>317.85599999999999</v>
      </c>
      <c r="J143" s="785"/>
      <c r="K143" s="786">
        <v>25647.759999999998</v>
      </c>
      <c r="L143" s="787"/>
      <c r="M143" s="702" t="s">
        <v>82</v>
      </c>
      <c r="N143" s="695" t="s">
        <v>549</v>
      </c>
      <c r="O143" s="675" t="s">
        <v>546</v>
      </c>
      <c r="P143" s="696" t="s">
        <v>627</v>
      </c>
      <c r="Q143" s="610" t="s">
        <v>1818</v>
      </c>
    </row>
    <row r="144" spans="1:17" ht="15" thickBot="1" x14ac:dyDescent="0.35">
      <c r="A144" s="792"/>
      <c r="B144" s="647" t="str">
        <f t="shared" si="5"/>
        <v>Optiwhite</v>
      </c>
      <c r="C144" s="781">
        <f>IF($D$1=1,E144,IF($D$1=2,G144,IF($D$1=3,I144,IF($D$1=4,K144,0))))</f>
        <v>829.69</v>
      </c>
      <c r="D144" s="781">
        <f>IF($D$1=1,F144,IF($D$1=2,H144,IF($D$1=3,J144,IF($D$1=4,L144,0))))</f>
        <v>0</v>
      </c>
      <c r="E144" s="782">
        <v>829.69</v>
      </c>
      <c r="F144" s="783"/>
      <c r="G144" s="784">
        <v>27.75</v>
      </c>
      <c r="H144" s="785"/>
      <c r="I144" s="784">
        <v>115.23499999999999</v>
      </c>
      <c r="J144" s="785"/>
      <c r="K144" s="786">
        <v>9553.69</v>
      </c>
      <c r="L144" s="787"/>
      <c r="M144" s="738" t="s">
        <v>3354</v>
      </c>
      <c r="N144" s="738" t="s">
        <v>3354</v>
      </c>
      <c r="O144" s="738" t="s">
        <v>3354</v>
      </c>
      <c r="P144" s="738" t="s">
        <v>3354</v>
      </c>
      <c r="Q144" s="738" t="s">
        <v>3354</v>
      </c>
    </row>
    <row r="145" spans="1:17" ht="15" thickBot="1" x14ac:dyDescent="0.35">
      <c r="A145" s="792"/>
      <c r="B145" s="647" t="str">
        <f t="shared" si="5"/>
        <v>Matelac zrcadlo grafit</v>
      </c>
      <c r="C145" s="781">
        <f t="shared" si="7"/>
        <v>3281.5800000000004</v>
      </c>
      <c r="D145" s="781">
        <f t="shared" si="7"/>
        <v>0</v>
      </c>
      <c r="E145" s="782">
        <v>3281.5800000000004</v>
      </c>
      <c r="F145" s="783"/>
      <c r="G145" s="784">
        <v>125.08000000000001</v>
      </c>
      <c r="H145" s="785"/>
      <c r="I145" s="784">
        <v>323.86200000000002</v>
      </c>
      <c r="J145" s="785"/>
      <c r="K145" s="786">
        <v>28768.399999999998</v>
      </c>
      <c r="L145" s="787"/>
      <c r="M145" s="702" t="s">
        <v>84</v>
      </c>
      <c r="N145" s="695" t="s">
        <v>551</v>
      </c>
      <c r="O145" s="675" t="s">
        <v>548</v>
      </c>
      <c r="P145" s="696" t="s">
        <v>629</v>
      </c>
      <c r="Q145" s="610" t="s">
        <v>1819</v>
      </c>
    </row>
    <row r="146" spans="1:17" ht="15" thickBot="1" x14ac:dyDescent="0.35">
      <c r="A146" s="793"/>
      <c r="B146" s="647" t="str">
        <f t="shared" si="5"/>
        <v>Matelac zrcadlo stříbr.</v>
      </c>
      <c r="C146" s="781">
        <f t="shared" si="7"/>
        <v>2925.6120000000001</v>
      </c>
      <c r="D146" s="781">
        <f t="shared" si="7"/>
        <v>0</v>
      </c>
      <c r="E146" s="782">
        <v>2925.6120000000001</v>
      </c>
      <c r="F146" s="783"/>
      <c r="G146" s="784">
        <v>111.51200000000001</v>
      </c>
      <c r="H146" s="785"/>
      <c r="I146" s="784">
        <v>317.85599999999999</v>
      </c>
      <c r="J146" s="785"/>
      <c r="K146" s="786">
        <v>25647.759999999998</v>
      </c>
      <c r="L146" s="787"/>
      <c r="M146" s="703" t="s">
        <v>83</v>
      </c>
      <c r="N146" s="697" t="s">
        <v>1729</v>
      </c>
      <c r="O146" s="675" t="s">
        <v>1730</v>
      </c>
      <c r="P146" s="698" t="s">
        <v>1731</v>
      </c>
      <c r="Q146" s="610" t="s">
        <v>2665</v>
      </c>
    </row>
    <row r="147" spans="1:17" ht="15" thickBot="1" x14ac:dyDescent="0.35">
      <c r="B147" s="647">
        <f t="shared" ref="B147:B210" si="8">IF($D$1=1,M147,IF($D$1=2,N147,IF($D$1=3,O147,IF($D$1=4,P147,IF($D$1=5,Q147,0)))))</f>
        <v>0</v>
      </c>
    </row>
    <row r="148" spans="1:17" ht="15" thickBot="1" x14ac:dyDescent="0.35">
      <c r="B148" s="647">
        <f t="shared" si="8"/>
        <v>0</v>
      </c>
    </row>
    <row r="149" spans="1:17" ht="15" thickBot="1" x14ac:dyDescent="0.35">
      <c r="B149" s="647" t="str">
        <f t="shared" si="8"/>
        <v>Rámeček</v>
      </c>
      <c r="M149" s="704" t="s">
        <v>1821</v>
      </c>
      <c r="N149" s="705" t="s">
        <v>1822</v>
      </c>
      <c r="O149" s="705" t="s">
        <v>2058</v>
      </c>
      <c r="P149" s="705" t="s">
        <v>2289</v>
      </c>
      <c r="Q149" s="610" t="s">
        <v>2057</v>
      </c>
    </row>
    <row r="150" spans="1:17" ht="15" thickBot="1" x14ac:dyDescent="0.35">
      <c r="B150" s="647" t="str">
        <f t="shared" si="8"/>
        <v xml:space="preserve">Standardní vrtání otvoru pro misku závěsu je 3 mm od hrany. </v>
      </c>
      <c r="M150" s="704" t="s">
        <v>816</v>
      </c>
      <c r="N150" s="705" t="s">
        <v>860</v>
      </c>
      <c r="O150" s="705" t="s">
        <v>1735</v>
      </c>
      <c r="P150" s="705" t="s">
        <v>2502</v>
      </c>
      <c r="Q150" s="610" t="s">
        <v>2790</v>
      </c>
    </row>
    <row r="151" spans="1:17" ht="15" thickBot="1" x14ac:dyDescent="0.35">
      <c r="B151" s="647" t="str">
        <f t="shared" si="8"/>
        <v>Uvedené ceny jsou bez DPH a nezahrnují cenu požadovaného kování!</v>
      </c>
      <c r="M151" s="704" t="s">
        <v>753</v>
      </c>
      <c r="N151" s="705" t="s">
        <v>861</v>
      </c>
      <c r="O151" s="705" t="s">
        <v>1736</v>
      </c>
      <c r="P151" s="705" t="s">
        <v>2503</v>
      </c>
      <c r="Q151" s="610" t="s">
        <v>2791</v>
      </c>
    </row>
    <row r="152" spans="1:17" ht="15" thickBot="1" x14ac:dyDescent="0.35">
      <c r="B152" s="647" t="str">
        <f t="shared" si="8"/>
        <v>Typ profilu</v>
      </c>
      <c r="M152" s="704" t="s">
        <v>415</v>
      </c>
      <c r="N152" s="705" t="s">
        <v>415</v>
      </c>
      <c r="O152" s="705" t="s">
        <v>634</v>
      </c>
      <c r="P152" s="705" t="s">
        <v>647</v>
      </c>
      <c r="Q152" s="610" t="s">
        <v>2792</v>
      </c>
    </row>
    <row r="153" spans="1:17" ht="15" thickBot="1" x14ac:dyDescent="0.35">
      <c r="B153" s="647" t="str">
        <f t="shared" si="8"/>
        <v>Typ skla</v>
      </c>
      <c r="M153" s="704" t="s">
        <v>18</v>
      </c>
      <c r="N153" s="705" t="s">
        <v>18</v>
      </c>
      <c r="O153" s="705" t="s">
        <v>26</v>
      </c>
      <c r="P153" s="705" t="s">
        <v>556</v>
      </c>
      <c r="Q153" s="610" t="s">
        <v>2666</v>
      </c>
    </row>
    <row r="154" spans="1:17" ht="15" thickBot="1" x14ac:dyDescent="0.35">
      <c r="B154" s="647" t="str">
        <f t="shared" si="8"/>
        <v>Počet kusů</v>
      </c>
      <c r="M154" s="704" t="s">
        <v>17</v>
      </c>
      <c r="N154" s="705" t="s">
        <v>422</v>
      </c>
      <c r="O154" s="705" t="s">
        <v>27</v>
      </c>
      <c r="P154" s="705" t="s">
        <v>2504</v>
      </c>
      <c r="Q154" s="610" t="s">
        <v>1828</v>
      </c>
    </row>
    <row r="155" spans="1:17" ht="15" thickBot="1" x14ac:dyDescent="0.35">
      <c r="B155" s="647" t="str">
        <f t="shared" si="8"/>
        <v xml:space="preserve">Šířka </v>
      </c>
      <c r="M155" s="704" t="s">
        <v>16</v>
      </c>
      <c r="N155" s="705" t="s">
        <v>423</v>
      </c>
      <c r="O155" s="705" t="s">
        <v>23</v>
      </c>
      <c r="P155" s="705" t="s">
        <v>558</v>
      </c>
      <c r="Q155" s="610" t="s">
        <v>1829</v>
      </c>
    </row>
    <row r="156" spans="1:17" ht="15" thickBot="1" x14ac:dyDescent="0.35">
      <c r="B156" s="647" t="str">
        <f t="shared" si="8"/>
        <v>Výška</v>
      </c>
      <c r="M156" s="704" t="s">
        <v>28</v>
      </c>
      <c r="N156" s="705" t="s">
        <v>28</v>
      </c>
      <c r="O156" s="705" t="s">
        <v>24</v>
      </c>
      <c r="P156" s="705" t="s">
        <v>559</v>
      </c>
      <c r="Q156" s="610" t="s">
        <v>1830</v>
      </c>
    </row>
    <row r="157" spans="1:17" ht="15" thickBot="1" x14ac:dyDescent="0.35">
      <c r="B157" s="647" t="str">
        <f t="shared" si="8"/>
        <v>Poznámky</v>
      </c>
      <c r="M157" s="704" t="s">
        <v>632</v>
      </c>
      <c r="N157" s="705" t="s">
        <v>632</v>
      </c>
      <c r="O157" s="705" t="s">
        <v>482</v>
      </c>
      <c r="P157" s="705" t="s">
        <v>633</v>
      </c>
      <c r="Q157" s="610" t="s">
        <v>2733</v>
      </c>
    </row>
    <row r="158" spans="1:17" ht="15" thickBot="1" x14ac:dyDescent="0.35">
      <c r="B158" s="647" t="str">
        <f t="shared" si="8"/>
        <v>Cena rámečků celkem</v>
      </c>
      <c r="M158" s="704" t="s">
        <v>30</v>
      </c>
      <c r="N158" s="705" t="s">
        <v>424</v>
      </c>
      <c r="O158" s="705" t="s">
        <v>483</v>
      </c>
      <c r="P158" s="705" t="s">
        <v>560</v>
      </c>
      <c r="Q158" s="610" t="s">
        <v>1832</v>
      </c>
    </row>
    <row r="159" spans="1:17" ht="15" thickBot="1" x14ac:dyDescent="0.35">
      <c r="B159" s="647" t="str">
        <f t="shared" si="8"/>
        <v>Cena kování celkem</v>
      </c>
      <c r="M159" s="706" t="s">
        <v>31</v>
      </c>
      <c r="N159" s="705" t="s">
        <v>425</v>
      </c>
      <c r="O159" s="705" t="s">
        <v>484</v>
      </c>
      <c r="P159" s="705" t="s">
        <v>561</v>
      </c>
      <c r="Q159" s="610" t="s">
        <v>2793</v>
      </c>
    </row>
    <row r="160" spans="1:17" ht="15" thickBot="1" x14ac:dyDescent="0.35">
      <c r="B160" s="647" t="str">
        <f t="shared" si="8"/>
        <v>Cena za kompletní objednávku</v>
      </c>
      <c r="M160" s="706" t="s">
        <v>94</v>
      </c>
      <c r="N160" s="705" t="s">
        <v>426</v>
      </c>
      <c r="O160" s="705" t="s">
        <v>485</v>
      </c>
      <c r="P160" s="705" t="s">
        <v>562</v>
      </c>
      <c r="Q160" s="610" t="s">
        <v>2794</v>
      </c>
    </row>
    <row r="161" spans="2:17" ht="15" thickBot="1" x14ac:dyDescent="0.35">
      <c r="B161" s="647" t="str">
        <f t="shared" si="8"/>
        <v>Závěsy</v>
      </c>
      <c r="M161" s="704" t="s">
        <v>735</v>
      </c>
      <c r="N161" s="705" t="s">
        <v>736</v>
      </c>
      <c r="O161" s="705" t="s">
        <v>737</v>
      </c>
      <c r="P161" s="705" t="s">
        <v>738</v>
      </c>
      <c r="Q161" s="610" t="s">
        <v>2795</v>
      </c>
    </row>
    <row r="162" spans="2:17" ht="15" thickBot="1" x14ac:dyDescent="0.35">
      <c r="B162" s="647" t="str">
        <f t="shared" si="8"/>
        <v>Aventos ostatní</v>
      </c>
      <c r="M162" s="704" t="s">
        <v>739</v>
      </c>
      <c r="N162" s="705" t="s">
        <v>740</v>
      </c>
      <c r="O162" s="705" t="s">
        <v>741</v>
      </c>
      <c r="P162" s="705" t="s">
        <v>2505</v>
      </c>
      <c r="Q162" s="610" t="s">
        <v>2796</v>
      </c>
    </row>
    <row r="163" spans="2:17" ht="15" thickBot="1" x14ac:dyDescent="0.35">
      <c r="B163" s="647" t="str">
        <f t="shared" si="8"/>
        <v>STRONG s tlumením</v>
      </c>
      <c r="M163" s="704" t="s">
        <v>1174</v>
      </c>
      <c r="N163" s="705" t="s">
        <v>1610</v>
      </c>
      <c r="O163" s="705" t="s">
        <v>1611</v>
      </c>
      <c r="P163" s="705" t="s">
        <v>1612</v>
      </c>
      <c r="Q163" s="610" t="s">
        <v>2797</v>
      </c>
    </row>
    <row r="164" spans="2:17" ht="15" thickBot="1" x14ac:dyDescent="0.35">
      <c r="B164" s="647" t="str">
        <f t="shared" si="8"/>
        <v>Závěsy se zvedacím pístem</v>
      </c>
      <c r="M164" s="704" t="s">
        <v>743</v>
      </c>
      <c r="N164" s="705" t="s">
        <v>744</v>
      </c>
      <c r="O164" s="705" t="s">
        <v>2594</v>
      </c>
      <c r="P164" s="705" t="s">
        <v>2506</v>
      </c>
      <c r="Q164" s="610" t="s">
        <v>2798</v>
      </c>
    </row>
    <row r="165" spans="2:17" ht="15" thickBot="1" x14ac:dyDescent="0.35">
      <c r="B165" s="647" t="str">
        <f t="shared" si="8"/>
        <v>Horní dvířko</v>
      </c>
      <c r="M165" s="704" t="s">
        <v>98</v>
      </c>
      <c r="N165" s="705" t="s">
        <v>427</v>
      </c>
      <c r="O165" s="705" t="s">
        <v>486</v>
      </c>
      <c r="P165" s="705" t="s">
        <v>747</v>
      </c>
      <c r="Q165" s="610" t="s">
        <v>2667</v>
      </c>
    </row>
    <row r="166" spans="2:17" ht="15" thickBot="1" x14ac:dyDescent="0.35">
      <c r="B166" s="647" t="str">
        <f t="shared" si="8"/>
        <v>Spodní dvířko</v>
      </c>
      <c r="M166" s="704" t="s">
        <v>97</v>
      </c>
      <c r="N166" s="705" t="s">
        <v>428</v>
      </c>
      <c r="O166" s="705" t="s">
        <v>487</v>
      </c>
      <c r="P166" s="705" t="s">
        <v>563</v>
      </c>
      <c r="Q166" s="610" t="s">
        <v>2668</v>
      </c>
    </row>
    <row r="167" spans="2:17" ht="15" thickBot="1" x14ac:dyDescent="0.35">
      <c r="B167" s="647" t="str">
        <f t="shared" si="8"/>
        <v>Naložený clip</v>
      </c>
      <c r="M167" s="707" t="s">
        <v>121</v>
      </c>
      <c r="N167" s="705" t="s">
        <v>121</v>
      </c>
      <c r="O167" s="705" t="s">
        <v>488</v>
      </c>
      <c r="P167" s="705" t="s">
        <v>564</v>
      </c>
      <c r="Q167" s="610" t="s">
        <v>2799</v>
      </c>
    </row>
    <row r="168" spans="2:17" ht="15" thickBot="1" x14ac:dyDescent="0.35">
      <c r="B168" s="647" t="str">
        <f t="shared" si="8"/>
        <v>Polonaložený clip</v>
      </c>
      <c r="M168" s="707" t="s">
        <v>122</v>
      </c>
      <c r="N168" s="705" t="s">
        <v>122</v>
      </c>
      <c r="O168" s="705" t="s">
        <v>489</v>
      </c>
      <c r="P168" s="705" t="s">
        <v>2507</v>
      </c>
      <c r="Q168" s="610" t="s">
        <v>2800</v>
      </c>
    </row>
    <row r="169" spans="2:17" ht="15" thickBot="1" x14ac:dyDescent="0.35">
      <c r="B169" s="647" t="str">
        <f t="shared" si="8"/>
        <v>Vložený clip</v>
      </c>
      <c r="M169" s="707" t="s">
        <v>123</v>
      </c>
      <c r="N169" s="705" t="s">
        <v>123</v>
      </c>
      <c r="O169" s="705" t="s">
        <v>490</v>
      </c>
      <c r="P169" s="705" t="s">
        <v>2508</v>
      </c>
      <c r="Q169" s="610" t="s">
        <v>2801</v>
      </c>
    </row>
    <row r="170" spans="2:17" ht="15" thickBot="1" x14ac:dyDescent="0.35">
      <c r="B170" s="647" t="str">
        <f t="shared" si="8"/>
        <v>Úhel 45°</v>
      </c>
      <c r="M170" s="707" t="s">
        <v>124</v>
      </c>
      <c r="N170" s="705" t="s">
        <v>429</v>
      </c>
      <c r="O170" s="705" t="s">
        <v>491</v>
      </c>
      <c r="P170" s="705" t="s">
        <v>567</v>
      </c>
      <c r="Q170" s="610" t="s">
        <v>2669</v>
      </c>
    </row>
    <row r="171" spans="2:17" ht="15" thickBot="1" x14ac:dyDescent="0.35">
      <c r="B171" s="647" t="str">
        <f t="shared" si="8"/>
        <v>Naložený</v>
      </c>
      <c r="M171" s="708" t="s">
        <v>125</v>
      </c>
      <c r="N171" s="705" t="s">
        <v>430</v>
      </c>
      <c r="O171" s="705" t="s">
        <v>492</v>
      </c>
      <c r="P171" s="705" t="s">
        <v>568</v>
      </c>
      <c r="Q171" s="610" t="s">
        <v>2970</v>
      </c>
    </row>
    <row r="172" spans="2:17" ht="15" thickBot="1" x14ac:dyDescent="0.35">
      <c r="B172" s="647" t="str">
        <f t="shared" si="8"/>
        <v>Polonaložený</v>
      </c>
      <c r="M172" s="708" t="s">
        <v>126</v>
      </c>
      <c r="N172" s="705" t="s">
        <v>431</v>
      </c>
      <c r="O172" s="705" t="s">
        <v>493</v>
      </c>
      <c r="P172" s="705" t="s">
        <v>2509</v>
      </c>
      <c r="Q172" s="610" t="s">
        <v>2803</v>
      </c>
    </row>
    <row r="173" spans="2:17" ht="15" thickBot="1" x14ac:dyDescent="0.35">
      <c r="B173" s="647" t="str">
        <f t="shared" si="8"/>
        <v>Vložený</v>
      </c>
      <c r="M173" s="708" t="s">
        <v>127</v>
      </c>
      <c r="N173" s="705" t="s">
        <v>432</v>
      </c>
      <c r="O173" s="705" t="s">
        <v>494</v>
      </c>
      <c r="P173" s="705" t="s">
        <v>2510</v>
      </c>
      <c r="Q173" s="610" t="s">
        <v>1847</v>
      </c>
    </row>
    <row r="174" spans="2:17" ht="15" thickBot="1" x14ac:dyDescent="0.35">
      <c r="B174" s="647" t="str">
        <f t="shared" si="8"/>
        <v>Úhel 45°</v>
      </c>
      <c r="M174" s="708" t="s">
        <v>124</v>
      </c>
      <c r="N174" s="705" t="s">
        <v>429</v>
      </c>
      <c r="O174" s="705" t="s">
        <v>491</v>
      </c>
      <c r="P174" s="705" t="s">
        <v>567</v>
      </c>
      <c r="Q174" s="610" t="s">
        <v>2669</v>
      </c>
    </row>
    <row r="175" spans="2:17" ht="15" thickBot="1" x14ac:dyDescent="0.35">
      <c r="B175" s="647" t="str">
        <f t="shared" si="8"/>
        <v>Naložený s opačnou pružinou</v>
      </c>
      <c r="M175" s="708" t="s">
        <v>128</v>
      </c>
      <c r="N175" s="705" t="s">
        <v>128</v>
      </c>
      <c r="O175" s="705" t="s">
        <v>495</v>
      </c>
      <c r="P175" s="705" t="s">
        <v>571</v>
      </c>
      <c r="Q175" s="610" t="s">
        <v>2804</v>
      </c>
    </row>
    <row r="176" spans="2:17" ht="15" thickBot="1" x14ac:dyDescent="0.35">
      <c r="B176" s="647" t="str">
        <f t="shared" si="8"/>
        <v>Vložený s opačnou pružinou</v>
      </c>
      <c r="M176" s="708" t="s">
        <v>129</v>
      </c>
      <c r="N176" s="705" t="s">
        <v>129</v>
      </c>
      <c r="O176" s="705" t="s">
        <v>496</v>
      </c>
      <c r="P176" s="705" t="s">
        <v>2511</v>
      </c>
      <c r="Q176" s="610" t="s">
        <v>2805</v>
      </c>
    </row>
    <row r="177" spans="2:17" ht="15" thickBot="1" x14ac:dyDescent="0.35">
      <c r="B177" s="647" t="str">
        <f t="shared" si="8"/>
        <v>Clip na vrut H2</v>
      </c>
      <c r="M177" s="704" t="s">
        <v>212</v>
      </c>
      <c r="N177" s="705" t="s">
        <v>433</v>
      </c>
      <c r="O177" s="705" t="s">
        <v>497</v>
      </c>
      <c r="P177" s="705" t="s">
        <v>573</v>
      </c>
      <c r="Q177" s="610" t="s">
        <v>2806</v>
      </c>
    </row>
    <row r="178" spans="2:17" ht="15" thickBot="1" x14ac:dyDescent="0.35">
      <c r="B178" s="647" t="str">
        <f t="shared" si="8"/>
        <v>Clip na vrut H4</v>
      </c>
      <c r="M178" s="704" t="s">
        <v>213</v>
      </c>
      <c r="N178" s="705" t="s">
        <v>434</v>
      </c>
      <c r="O178" s="705" t="s">
        <v>498</v>
      </c>
      <c r="P178" s="705" t="s">
        <v>574</v>
      </c>
      <c r="Q178" s="610" t="s">
        <v>2807</v>
      </c>
    </row>
    <row r="179" spans="2:17" ht="15" thickBot="1" x14ac:dyDescent="0.35">
      <c r="B179" s="647" t="str">
        <f t="shared" si="8"/>
        <v>Clip na eurošroub H2</v>
      </c>
      <c r="M179" s="704" t="s">
        <v>214</v>
      </c>
      <c r="N179" s="705" t="s">
        <v>435</v>
      </c>
      <c r="O179" s="705" t="s">
        <v>499</v>
      </c>
      <c r="P179" s="705" t="s">
        <v>575</v>
      </c>
      <c r="Q179" s="610" t="s">
        <v>2808</v>
      </c>
    </row>
    <row r="180" spans="2:17" ht="15" thickBot="1" x14ac:dyDescent="0.35">
      <c r="B180" s="647" t="str">
        <f t="shared" si="8"/>
        <v>Clip na eurošroub H4</v>
      </c>
      <c r="M180" s="704" t="s">
        <v>215</v>
      </c>
      <c r="N180" s="705" t="s">
        <v>436</v>
      </c>
      <c r="O180" s="705" t="s">
        <v>500</v>
      </c>
      <c r="P180" s="705" t="s">
        <v>576</v>
      </c>
      <c r="Q180" s="610" t="s">
        <v>2809</v>
      </c>
    </row>
    <row r="181" spans="2:17" ht="15" thickBot="1" x14ac:dyDescent="0.35">
      <c r="B181" s="647" t="str">
        <f t="shared" si="8"/>
        <v>Slide on na vrut H2</v>
      </c>
      <c r="M181" s="704" t="s">
        <v>216</v>
      </c>
      <c r="N181" s="705" t="s">
        <v>437</v>
      </c>
      <c r="O181" s="705" t="s">
        <v>501</v>
      </c>
      <c r="P181" s="705" t="s">
        <v>577</v>
      </c>
      <c r="Q181" s="610" t="s">
        <v>2810</v>
      </c>
    </row>
    <row r="182" spans="2:17" ht="15" thickBot="1" x14ac:dyDescent="0.35">
      <c r="B182" s="647" t="str">
        <f t="shared" si="8"/>
        <v>Slide on na vrut H4</v>
      </c>
      <c r="M182" s="704" t="s">
        <v>217</v>
      </c>
      <c r="N182" s="705" t="s">
        <v>438</v>
      </c>
      <c r="O182" s="705" t="s">
        <v>502</v>
      </c>
      <c r="P182" s="705" t="s">
        <v>578</v>
      </c>
      <c r="Q182" s="610" t="s">
        <v>2811</v>
      </c>
    </row>
    <row r="183" spans="2:17" ht="15" thickBot="1" x14ac:dyDescent="0.35">
      <c r="B183" s="647" t="str">
        <f t="shared" si="8"/>
        <v>Slide on na eurošroub H2</v>
      </c>
      <c r="M183" s="704" t="s">
        <v>218</v>
      </c>
      <c r="N183" s="705" t="s">
        <v>439</v>
      </c>
      <c r="O183" s="705" t="s">
        <v>503</v>
      </c>
      <c r="P183" s="705" t="s">
        <v>579</v>
      </c>
      <c r="Q183" s="610" t="s">
        <v>2812</v>
      </c>
    </row>
    <row r="184" spans="2:17" ht="15" thickBot="1" x14ac:dyDescent="0.35">
      <c r="B184" s="647" t="str">
        <f t="shared" si="8"/>
        <v>Slide on na eurošroub H4</v>
      </c>
      <c r="M184" s="704" t="s">
        <v>219</v>
      </c>
      <c r="N184" s="705" t="s">
        <v>440</v>
      </c>
      <c r="O184" s="705" t="s">
        <v>504</v>
      </c>
      <c r="P184" s="705" t="s">
        <v>580</v>
      </c>
      <c r="Q184" s="610" t="s">
        <v>2813</v>
      </c>
    </row>
    <row r="185" spans="2:17" ht="15" thickBot="1" x14ac:dyDescent="0.35">
      <c r="B185" s="647" t="str">
        <f t="shared" si="8"/>
        <v>Naložený pro Blumotion</v>
      </c>
      <c r="M185" s="704" t="s">
        <v>203</v>
      </c>
      <c r="N185" s="705" t="s">
        <v>441</v>
      </c>
      <c r="O185" s="705" t="s">
        <v>505</v>
      </c>
      <c r="P185" s="705" t="s">
        <v>581</v>
      </c>
      <c r="Q185" s="610" t="s">
        <v>2814</v>
      </c>
    </row>
    <row r="186" spans="2:17" ht="15" thickBot="1" x14ac:dyDescent="0.35">
      <c r="B186" s="647" t="str">
        <f t="shared" si="8"/>
        <v>Polonaložený s integr. Blumotionem</v>
      </c>
      <c r="M186" s="704" t="s">
        <v>814</v>
      </c>
      <c r="N186" s="705" t="s">
        <v>862</v>
      </c>
      <c r="O186" s="705" t="s">
        <v>2595</v>
      </c>
      <c r="P186" s="705" t="s">
        <v>876</v>
      </c>
      <c r="Q186" s="610" t="s">
        <v>2815</v>
      </c>
    </row>
    <row r="187" spans="2:17" ht="15" thickBot="1" x14ac:dyDescent="0.35">
      <c r="B187" s="647" t="str">
        <f t="shared" si="8"/>
        <v>Vložený s integr. Blumotionem</v>
      </c>
      <c r="M187" s="704" t="s">
        <v>815</v>
      </c>
      <c r="N187" s="705" t="s">
        <v>863</v>
      </c>
      <c r="O187" s="705" t="s">
        <v>2596</v>
      </c>
      <c r="P187" s="705" t="s">
        <v>2512</v>
      </c>
      <c r="Q187" s="610" t="s">
        <v>2816</v>
      </c>
    </row>
    <row r="188" spans="2:17" ht="15" thickBot="1" x14ac:dyDescent="0.35">
      <c r="B188" s="647" t="str">
        <f t="shared" si="8"/>
        <v>45° clip naložený</v>
      </c>
      <c r="M188" s="708" t="s">
        <v>205</v>
      </c>
      <c r="N188" s="705" t="s">
        <v>442</v>
      </c>
      <c r="O188" s="705" t="s">
        <v>506</v>
      </c>
      <c r="P188" s="705" t="s">
        <v>582</v>
      </c>
      <c r="Q188" s="610" t="s">
        <v>2817</v>
      </c>
    </row>
    <row r="189" spans="2:17" ht="15" thickBot="1" x14ac:dyDescent="0.35">
      <c r="B189" s="647" t="str">
        <f t="shared" si="8"/>
        <v>45° clip polonaložený</v>
      </c>
      <c r="M189" s="708" t="s">
        <v>204</v>
      </c>
      <c r="N189" s="705" t="s">
        <v>204</v>
      </c>
      <c r="O189" s="705" t="s">
        <v>507</v>
      </c>
      <c r="P189" s="705" t="s">
        <v>2513</v>
      </c>
      <c r="Q189" s="610" t="s">
        <v>2818</v>
      </c>
    </row>
    <row r="190" spans="2:17" ht="15" thickBot="1" x14ac:dyDescent="0.35">
      <c r="B190" s="647" t="str">
        <f t="shared" si="8"/>
        <v>Naložený bez pružiny</v>
      </c>
      <c r="M190" s="708" t="s">
        <v>130</v>
      </c>
      <c r="N190" s="705" t="s">
        <v>130</v>
      </c>
      <c r="O190" s="705" t="s">
        <v>508</v>
      </c>
      <c r="P190" s="705" t="s">
        <v>584</v>
      </c>
      <c r="Q190" s="610" t="s">
        <v>2819</v>
      </c>
    </row>
    <row r="191" spans="2:17" ht="15" thickBot="1" x14ac:dyDescent="0.35">
      <c r="B191" s="647" t="str">
        <f t="shared" si="8"/>
        <v>Naložený bez pružiny (TIP-ON)</v>
      </c>
      <c r="M191" s="708" t="s">
        <v>206</v>
      </c>
      <c r="N191" s="705" t="s">
        <v>443</v>
      </c>
      <c r="O191" s="705" t="s">
        <v>509</v>
      </c>
      <c r="P191" s="705" t="s">
        <v>585</v>
      </c>
      <c r="Q191" s="610" t="s">
        <v>2820</v>
      </c>
    </row>
    <row r="192" spans="2:17" ht="15" thickBot="1" x14ac:dyDescent="0.35">
      <c r="B192" s="647" t="str">
        <f t="shared" si="8"/>
        <v>Clip na eurošroub</v>
      </c>
      <c r="M192" s="708" t="s">
        <v>208</v>
      </c>
      <c r="N192" s="705" t="s">
        <v>444</v>
      </c>
      <c r="O192" s="705" t="s">
        <v>510</v>
      </c>
      <c r="P192" s="705" t="s">
        <v>586</v>
      </c>
      <c r="Q192" s="610" t="s">
        <v>2821</v>
      </c>
    </row>
    <row r="193" spans="2:17" ht="15" thickBot="1" x14ac:dyDescent="0.35">
      <c r="B193" s="647" t="str">
        <f t="shared" si="8"/>
        <v>Clip na vrut</v>
      </c>
      <c r="M193" s="708" t="s">
        <v>207</v>
      </c>
      <c r="N193" s="705" t="s">
        <v>445</v>
      </c>
      <c r="O193" s="705" t="s">
        <v>511</v>
      </c>
      <c r="P193" s="705" t="s">
        <v>587</v>
      </c>
      <c r="Q193" s="610" t="s">
        <v>2822</v>
      </c>
    </row>
    <row r="194" spans="2:17" ht="15" thickBot="1" x14ac:dyDescent="0.35">
      <c r="B194" s="647" t="str">
        <f t="shared" si="8"/>
        <v xml:space="preserve">Zvýšená o 6 mm </v>
      </c>
      <c r="M194" s="709" t="s">
        <v>209</v>
      </c>
      <c r="N194" s="705" t="s">
        <v>446</v>
      </c>
      <c r="O194" s="705" t="s">
        <v>2597</v>
      </c>
      <c r="P194" s="705" t="s">
        <v>588</v>
      </c>
      <c r="Q194" s="610" t="s">
        <v>1867</v>
      </c>
    </row>
    <row r="195" spans="2:17" ht="15" thickBot="1" x14ac:dyDescent="0.35">
      <c r="B195" s="647" t="str">
        <f t="shared" si="8"/>
        <v>45° clip</v>
      </c>
      <c r="M195" s="708" t="s">
        <v>10</v>
      </c>
      <c r="N195" s="705" t="s">
        <v>447</v>
      </c>
      <c r="O195" s="705" t="s">
        <v>10</v>
      </c>
      <c r="P195" s="705" t="s">
        <v>2514</v>
      </c>
      <c r="Q195" s="610" t="s">
        <v>2823</v>
      </c>
    </row>
    <row r="196" spans="2:17" ht="15" thickBot="1" x14ac:dyDescent="0.35">
      <c r="B196" s="647" t="str">
        <f t="shared" si="8"/>
        <v xml:space="preserve">Clip na eurošroub H0 </v>
      </c>
      <c r="M196" s="708" t="s">
        <v>211</v>
      </c>
      <c r="N196" s="705" t="s">
        <v>448</v>
      </c>
      <c r="O196" s="705" t="s">
        <v>513</v>
      </c>
      <c r="P196" s="705" t="s">
        <v>589</v>
      </c>
      <c r="Q196" s="610" t="s">
        <v>2824</v>
      </c>
    </row>
    <row r="197" spans="2:17" ht="15" thickBot="1" x14ac:dyDescent="0.35">
      <c r="B197" s="647" t="str">
        <f t="shared" si="8"/>
        <v>Clip na vrut H0</v>
      </c>
      <c r="M197" s="708" t="s">
        <v>210</v>
      </c>
      <c r="N197" s="705" t="s">
        <v>449</v>
      </c>
      <c r="O197" s="705" t="s">
        <v>514</v>
      </c>
      <c r="P197" s="705" t="s">
        <v>590</v>
      </c>
      <c r="Q197" s="610" t="s">
        <v>2825</v>
      </c>
    </row>
    <row r="198" spans="2:17" ht="15" thickBot="1" x14ac:dyDescent="0.35">
      <c r="B198" s="647" t="str">
        <f t="shared" si="8"/>
        <v>Výběr pozice rámečku</v>
      </c>
      <c r="M198" s="708" t="s">
        <v>244</v>
      </c>
      <c r="N198" s="705" t="s">
        <v>450</v>
      </c>
      <c r="O198" s="705" t="s">
        <v>2598</v>
      </c>
      <c r="P198" s="705" t="s">
        <v>591</v>
      </c>
      <c r="Q198" s="610" t="s">
        <v>2670</v>
      </c>
    </row>
    <row r="199" spans="2:17" ht="15" thickBot="1" x14ac:dyDescent="0.35">
      <c r="B199" s="647" t="str">
        <f t="shared" si="8"/>
        <v>Výrobce závěsů</v>
      </c>
      <c r="M199" s="708" t="s">
        <v>222</v>
      </c>
      <c r="N199" s="705" t="s">
        <v>451</v>
      </c>
      <c r="O199" s="705" t="s">
        <v>516</v>
      </c>
      <c r="P199" s="705" t="s">
        <v>592</v>
      </c>
      <c r="Q199" s="610" t="s">
        <v>2671</v>
      </c>
    </row>
    <row r="200" spans="2:17" ht="15" thickBot="1" x14ac:dyDescent="0.35">
      <c r="B200" s="647" t="str">
        <f t="shared" si="8"/>
        <v>Typ závěsů</v>
      </c>
      <c r="M200" s="708" t="s">
        <v>223</v>
      </c>
      <c r="N200" s="705" t="s">
        <v>452</v>
      </c>
      <c r="O200" s="705" t="s">
        <v>517</v>
      </c>
      <c r="P200" s="705" t="s">
        <v>593</v>
      </c>
      <c r="Q200" s="610" t="s">
        <v>2826</v>
      </c>
    </row>
    <row r="201" spans="2:17" ht="15" thickBot="1" x14ac:dyDescent="0.35">
      <c r="B201" s="647" t="str">
        <f t="shared" si="8"/>
        <v>Typ Aventosu</v>
      </c>
      <c r="M201" s="704" t="s">
        <v>224</v>
      </c>
      <c r="N201" s="705" t="s">
        <v>224</v>
      </c>
      <c r="O201" s="705" t="s">
        <v>518</v>
      </c>
      <c r="P201" s="705" t="s">
        <v>2515</v>
      </c>
      <c r="Q201" s="610" t="s">
        <v>2827</v>
      </c>
    </row>
    <row r="202" spans="2:17" ht="15" thickBot="1" x14ac:dyDescent="0.35">
      <c r="B202" s="647" t="str">
        <f t="shared" si="8"/>
        <v>Typ podložky</v>
      </c>
      <c r="M202" s="704" t="s">
        <v>225</v>
      </c>
      <c r="N202" s="705" t="s">
        <v>225</v>
      </c>
      <c r="O202" s="705" t="s">
        <v>519</v>
      </c>
      <c r="P202" s="705" t="s">
        <v>595</v>
      </c>
      <c r="Q202" s="610" t="s">
        <v>2828</v>
      </c>
    </row>
    <row r="203" spans="2:17" ht="15" thickBot="1" x14ac:dyDescent="0.35">
      <c r="B203" s="647" t="str">
        <f t="shared" si="8"/>
        <v>Počet závěsu na 1 rámeček</v>
      </c>
      <c r="M203" s="704" t="s">
        <v>373</v>
      </c>
      <c r="N203" s="705" t="s">
        <v>453</v>
      </c>
      <c r="O203" s="705" t="s">
        <v>520</v>
      </c>
      <c r="P203" s="705" t="s">
        <v>596</v>
      </c>
      <c r="Q203" s="610" t="s">
        <v>2672</v>
      </c>
    </row>
    <row r="204" spans="2:17" ht="15" thickBot="1" x14ac:dyDescent="0.35">
      <c r="B204" s="647" t="str">
        <f t="shared" si="8"/>
        <v>Zvedací písty</v>
      </c>
      <c r="M204" s="704" t="s">
        <v>239</v>
      </c>
      <c r="N204" s="705" t="s">
        <v>454</v>
      </c>
      <c r="O204" s="705" t="s">
        <v>521</v>
      </c>
      <c r="P204" s="705" t="s">
        <v>2516</v>
      </c>
      <c r="Q204" s="610" t="s">
        <v>2829</v>
      </c>
    </row>
    <row r="205" spans="2:17" ht="15" thickBot="1" x14ac:dyDescent="0.35">
      <c r="B205" s="647" t="str">
        <f t="shared" si="8"/>
        <v>Dodat včetně uvedeného kování</v>
      </c>
      <c r="M205" s="704" t="s">
        <v>228</v>
      </c>
      <c r="N205" s="705" t="s">
        <v>455</v>
      </c>
      <c r="O205" s="705" t="s">
        <v>555</v>
      </c>
      <c r="P205" s="705" t="s">
        <v>2517</v>
      </c>
      <c r="Q205" s="610" t="s">
        <v>2673</v>
      </c>
    </row>
    <row r="206" spans="2:17" ht="15" thickBot="1" x14ac:dyDescent="0.35">
      <c r="B206" s="647" t="str">
        <f t="shared" si="8"/>
        <v>Umístění pístů</v>
      </c>
      <c r="M206" s="704" t="s">
        <v>240</v>
      </c>
      <c r="N206" s="705" t="s">
        <v>456</v>
      </c>
      <c r="O206" s="705" t="s">
        <v>522</v>
      </c>
      <c r="P206" s="705" t="s">
        <v>599</v>
      </c>
      <c r="Q206" s="610" t="s">
        <v>2674</v>
      </c>
    </row>
    <row r="207" spans="2:17" ht="15" thickBot="1" x14ac:dyDescent="0.35">
      <c r="B207" s="647" t="str">
        <f t="shared" si="8"/>
        <v>Nahoře</v>
      </c>
      <c r="M207" s="704" t="s">
        <v>251</v>
      </c>
      <c r="N207" s="705" t="s">
        <v>2311</v>
      </c>
      <c r="O207" s="705" t="s">
        <v>2309</v>
      </c>
      <c r="P207" s="705" t="s">
        <v>2310</v>
      </c>
      <c r="Q207" s="610" t="s">
        <v>2675</v>
      </c>
    </row>
    <row r="208" spans="2:17" ht="15" thickBot="1" x14ac:dyDescent="0.35">
      <c r="B208" s="647" t="str">
        <f t="shared" si="8"/>
        <v>Dole</v>
      </c>
      <c r="M208" s="704" t="s">
        <v>252</v>
      </c>
      <c r="N208" s="705" t="s">
        <v>252</v>
      </c>
      <c r="O208" s="705" t="s">
        <v>2599</v>
      </c>
      <c r="P208" s="705" t="s">
        <v>2312</v>
      </c>
      <c r="Q208" s="610" t="s">
        <v>1921</v>
      </c>
    </row>
    <row r="209" spans="2:17" ht="15" thickBot="1" x14ac:dyDescent="0.35">
      <c r="B209" s="647" t="str">
        <f t="shared" si="8"/>
        <v xml:space="preserve">Vpravo </v>
      </c>
      <c r="M209" s="704" t="s">
        <v>242</v>
      </c>
      <c r="N209" s="705" t="s">
        <v>457</v>
      </c>
      <c r="O209" s="705" t="s">
        <v>523</v>
      </c>
      <c r="P209" s="705" t="s">
        <v>600</v>
      </c>
      <c r="Q209" s="610" t="s">
        <v>1880</v>
      </c>
    </row>
    <row r="210" spans="2:17" ht="15" thickBot="1" x14ac:dyDescent="0.35">
      <c r="B210" s="647" t="str">
        <f t="shared" si="8"/>
        <v>Vlevo</v>
      </c>
      <c r="M210" s="704" t="s">
        <v>241</v>
      </c>
      <c r="N210" s="705" t="s">
        <v>458</v>
      </c>
      <c r="O210" s="705" t="s">
        <v>524</v>
      </c>
      <c r="P210" s="705" t="s">
        <v>601</v>
      </c>
      <c r="Q210" s="610" t="s">
        <v>1881</v>
      </c>
    </row>
    <row r="211" spans="2:17" ht="15" thickBot="1" x14ac:dyDescent="0.35">
      <c r="B211" s="647" t="str">
        <f t="shared" ref="B211:B274" si="9">IF($D$1=1,M211,IF($D$1=2,N211,IF($D$1=3,O211,IF($D$1=4,P211,IF($D$1=5,Q211,0)))))</f>
        <v>2 Kusy (obě strany)</v>
      </c>
      <c r="M211" s="704" t="s">
        <v>243</v>
      </c>
      <c r="N211" s="705" t="s">
        <v>459</v>
      </c>
      <c r="O211" s="705" t="s">
        <v>525</v>
      </c>
      <c r="P211" s="705" t="s">
        <v>602</v>
      </c>
      <c r="Q211" s="610" t="s">
        <v>1882</v>
      </c>
    </row>
    <row r="212" spans="2:17" ht="15" thickBot="1" x14ac:dyDescent="0.35">
      <c r="B212" s="647" t="str">
        <f t="shared" si="9"/>
        <v>Provedení druhého dvířka</v>
      </c>
      <c r="M212" s="704" t="s">
        <v>372</v>
      </c>
      <c r="N212" s="705" t="s">
        <v>460</v>
      </c>
      <c r="O212" s="705" t="s">
        <v>554</v>
      </c>
      <c r="P212" s="705" t="s">
        <v>2518</v>
      </c>
      <c r="Q212" s="610" t="s">
        <v>2830</v>
      </c>
    </row>
    <row r="213" spans="2:17" ht="15" thickBot="1" x14ac:dyDescent="0.35">
      <c r="B213" s="647" t="str">
        <f t="shared" si="9"/>
        <v>Úzký ALU rámeček</v>
      </c>
      <c r="M213" s="704" t="s">
        <v>245</v>
      </c>
      <c r="N213" s="705" t="s">
        <v>461</v>
      </c>
      <c r="O213" s="705" t="s">
        <v>526</v>
      </c>
      <c r="P213" s="705" t="s">
        <v>604</v>
      </c>
      <c r="Q213" s="610" t="s">
        <v>2676</v>
      </c>
    </row>
    <row r="214" spans="2:17" ht="15" thickBot="1" x14ac:dyDescent="0.35">
      <c r="B214" s="647" t="str">
        <f t="shared" si="9"/>
        <v>Široký ALU rámeček</v>
      </c>
      <c r="M214" s="704" t="s">
        <v>246</v>
      </c>
      <c r="N214" s="705" t="s">
        <v>462</v>
      </c>
      <c r="O214" s="705" t="s">
        <v>527</v>
      </c>
      <c r="P214" s="705" t="s">
        <v>605</v>
      </c>
      <c r="Q214" s="610" t="s">
        <v>2677</v>
      </c>
    </row>
    <row r="215" spans="2:17" ht="15" thickBot="1" x14ac:dyDescent="0.35">
      <c r="B215" s="647" t="str">
        <f t="shared" si="9"/>
        <v>MDF tloušťky 16 mm</v>
      </c>
      <c r="M215" s="704" t="s">
        <v>248</v>
      </c>
      <c r="N215" s="705" t="s">
        <v>463</v>
      </c>
      <c r="O215" s="705" t="s">
        <v>528</v>
      </c>
      <c r="P215" s="705" t="s">
        <v>606</v>
      </c>
      <c r="Q215" s="610" t="s">
        <v>2831</v>
      </c>
    </row>
    <row r="216" spans="2:17" ht="15" thickBot="1" x14ac:dyDescent="0.35">
      <c r="B216" s="647" t="str">
        <f t="shared" si="9"/>
        <v>MDF tloušťky 18 mm</v>
      </c>
      <c r="M216" s="704" t="s">
        <v>247</v>
      </c>
      <c r="N216" s="705" t="s">
        <v>464</v>
      </c>
      <c r="O216" s="705" t="s">
        <v>529</v>
      </c>
      <c r="P216" s="705" t="s">
        <v>607</v>
      </c>
      <c r="Q216" s="610" t="s">
        <v>2832</v>
      </c>
    </row>
    <row r="217" spans="2:17" ht="15" thickBot="1" x14ac:dyDescent="0.35">
      <c r="B217" s="647" t="str">
        <f t="shared" si="9"/>
        <v>DTDL tloušťky 18 mm</v>
      </c>
      <c r="M217" s="704" t="s">
        <v>249</v>
      </c>
      <c r="N217" s="705" t="s">
        <v>465</v>
      </c>
      <c r="O217" s="705" t="s">
        <v>2600</v>
      </c>
      <c r="P217" s="705" t="s">
        <v>2519</v>
      </c>
      <c r="Q217" s="610" t="s">
        <v>2098</v>
      </c>
    </row>
    <row r="218" spans="2:17" ht="15" thickBot="1" x14ac:dyDescent="0.35">
      <c r="B218" s="647" t="str">
        <f t="shared" si="9"/>
        <v>Umístění závěsů</v>
      </c>
      <c r="M218" s="704" t="s">
        <v>250</v>
      </c>
      <c r="N218" s="705" t="s">
        <v>466</v>
      </c>
      <c r="O218" s="705" t="s">
        <v>531</v>
      </c>
      <c r="P218" s="705" t="s">
        <v>609</v>
      </c>
      <c r="Q218" s="610" t="s">
        <v>2678</v>
      </c>
    </row>
    <row r="219" spans="2:17" ht="15" thickBot="1" x14ac:dyDescent="0.35">
      <c r="B219" s="647" t="str">
        <f t="shared" si="9"/>
        <v>Nahoře</v>
      </c>
      <c r="M219" s="704" t="s">
        <v>251</v>
      </c>
      <c r="N219" s="705" t="s">
        <v>467</v>
      </c>
      <c r="O219" s="705" t="s">
        <v>2309</v>
      </c>
      <c r="P219" s="705" t="s">
        <v>2310</v>
      </c>
      <c r="Q219" s="610" t="s">
        <v>2675</v>
      </c>
    </row>
    <row r="220" spans="2:17" ht="15" thickBot="1" x14ac:dyDescent="0.35">
      <c r="B220" s="647" t="str">
        <f t="shared" si="9"/>
        <v>Dole</v>
      </c>
      <c r="M220" s="704" t="s">
        <v>252</v>
      </c>
      <c r="N220" s="705" t="s">
        <v>252</v>
      </c>
      <c r="O220" s="705" t="s">
        <v>2599</v>
      </c>
      <c r="P220" s="705" t="s">
        <v>2312</v>
      </c>
      <c r="Q220" s="610" t="s">
        <v>1921</v>
      </c>
    </row>
    <row r="221" spans="2:17" ht="15" thickBot="1" x14ac:dyDescent="0.35">
      <c r="B221" s="647" t="str">
        <f t="shared" si="9"/>
        <v>Vyberte ze seznamu</v>
      </c>
      <c r="M221" s="704" t="s">
        <v>258</v>
      </c>
      <c r="N221" s="705" t="s">
        <v>468</v>
      </c>
      <c r="O221" s="705" t="s">
        <v>534</v>
      </c>
      <c r="P221" s="705" t="s">
        <v>612</v>
      </c>
      <c r="Q221" s="610" t="s">
        <v>2679</v>
      </c>
    </row>
    <row r="222" spans="2:17" ht="15" thickBot="1" x14ac:dyDescent="0.35">
      <c r="B222" s="647" t="str">
        <f t="shared" si="9"/>
        <v>Vzdálenost od kraje</v>
      </c>
      <c r="M222" s="704" t="s">
        <v>2313</v>
      </c>
      <c r="N222" s="705" t="s">
        <v>2314</v>
      </c>
      <c r="O222" s="705" t="s">
        <v>2315</v>
      </c>
      <c r="P222" s="705" t="s">
        <v>2316</v>
      </c>
      <c r="Q222" s="610" t="s">
        <v>2680</v>
      </c>
    </row>
    <row r="223" spans="2:17" ht="15" thickBot="1" x14ac:dyDescent="0.35">
      <c r="B223" s="647" t="str">
        <f t="shared" si="9"/>
        <v>Vzdálenost závěsu od kraje</v>
      </c>
      <c r="M223" s="704" t="s">
        <v>374</v>
      </c>
      <c r="N223" s="705" t="s">
        <v>469</v>
      </c>
      <c r="O223" s="705" t="s">
        <v>535</v>
      </c>
      <c r="P223" s="705" t="s">
        <v>613</v>
      </c>
      <c r="Q223" s="610" t="s">
        <v>2833</v>
      </c>
    </row>
    <row r="224" spans="2:17" ht="15" thickBot="1" x14ac:dyDescent="0.35">
      <c r="B224" s="647" t="str">
        <f t="shared" si="9"/>
        <v>Vyplňte pouze pokud nebude vrtání symetricky na střed</v>
      </c>
      <c r="M224" s="704" t="s">
        <v>375</v>
      </c>
      <c r="N224" s="705" t="s">
        <v>470</v>
      </c>
      <c r="O224" s="705" t="s">
        <v>1737</v>
      </c>
      <c r="P224" s="705" t="s">
        <v>614</v>
      </c>
      <c r="Q224" s="610" t="s">
        <v>2834</v>
      </c>
    </row>
    <row r="225" spans="2:17" ht="15" thickBot="1" x14ac:dyDescent="0.35">
      <c r="B225" s="647" t="str">
        <f t="shared" si="9"/>
        <v>Objednávkový formulář ALU rámečků</v>
      </c>
      <c r="M225" s="704" t="s">
        <v>376</v>
      </c>
      <c r="N225" s="705" t="s">
        <v>471</v>
      </c>
      <c r="O225" s="705" t="s">
        <v>536</v>
      </c>
      <c r="P225" s="705" t="s">
        <v>680</v>
      </c>
      <c r="Q225" s="610" t="s">
        <v>2835</v>
      </c>
    </row>
    <row r="226" spans="2:17" ht="15" thickBot="1" x14ac:dyDescent="0.35">
      <c r="B226" s="647" t="str">
        <f t="shared" si="9"/>
        <v xml:space="preserve">Při vyplňování formuláře postupujte vždy shora dolů. Provedete li zpětně změnu, překontrolujte zda jsou následující položky správně. </v>
      </c>
      <c r="M226" s="704" t="s">
        <v>420</v>
      </c>
      <c r="N226" s="705" t="s">
        <v>478</v>
      </c>
      <c r="O226" s="705" t="s">
        <v>537</v>
      </c>
      <c r="P226" s="705" t="s">
        <v>2520</v>
      </c>
      <c r="Q226" s="610" t="s">
        <v>2836</v>
      </c>
    </row>
    <row r="227" spans="2:17" ht="15" thickBot="1" x14ac:dyDescent="0.35">
      <c r="B227" s="647" t="str">
        <f t="shared" si="9"/>
        <v>Ceny jsou platné od 25.1.2021/Verze 3.01</v>
      </c>
      <c r="M227" s="710" t="s">
        <v>3518</v>
      </c>
      <c r="N227" s="711" t="s">
        <v>3519</v>
      </c>
      <c r="O227" s="705" t="s">
        <v>3520</v>
      </c>
      <c r="P227" s="705" t="s">
        <v>3521</v>
      </c>
      <c r="Q227" s="610" t="s">
        <v>3522</v>
      </c>
    </row>
    <row r="228" spans="2:17" ht="15" thickBot="1" x14ac:dyDescent="0.35">
      <c r="B228" s="647" t="str">
        <f t="shared" si="9"/>
        <v>Cena celkem</v>
      </c>
      <c r="M228" s="704" t="s">
        <v>29</v>
      </c>
      <c r="N228" s="705" t="s">
        <v>472</v>
      </c>
      <c r="O228" s="705" t="s">
        <v>538</v>
      </c>
      <c r="P228" s="705" t="s">
        <v>616</v>
      </c>
      <c r="Q228" s="610" t="s">
        <v>2681</v>
      </c>
    </row>
    <row r="229" spans="2:17" ht="15" thickBot="1" x14ac:dyDescent="0.35">
      <c r="B229" s="647" t="str">
        <f t="shared" si="9"/>
        <v>Zákazník</v>
      </c>
      <c r="M229" s="704" t="s">
        <v>379</v>
      </c>
      <c r="N229" s="705" t="s">
        <v>379</v>
      </c>
      <c r="O229" s="705" t="s">
        <v>539</v>
      </c>
      <c r="P229" s="705" t="s">
        <v>617</v>
      </c>
      <c r="Q229" s="610" t="s">
        <v>1899</v>
      </c>
    </row>
    <row r="230" spans="2:17" ht="15" thickBot="1" x14ac:dyDescent="0.35">
      <c r="B230" s="647" t="str">
        <f t="shared" si="9"/>
        <v>Kontaktní tel.</v>
      </c>
      <c r="M230" s="704" t="s">
        <v>381</v>
      </c>
      <c r="N230" s="705" t="s">
        <v>473</v>
      </c>
      <c r="O230" s="705" t="s">
        <v>540</v>
      </c>
      <c r="P230" s="705" t="s">
        <v>618</v>
      </c>
      <c r="Q230" s="610" t="s">
        <v>2837</v>
      </c>
    </row>
    <row r="231" spans="2:17" ht="15" thickBot="1" x14ac:dyDescent="0.35">
      <c r="B231" s="647" t="str">
        <f t="shared" si="9"/>
        <v>Kontaktní e-mail</v>
      </c>
      <c r="M231" s="704" t="s">
        <v>382</v>
      </c>
      <c r="N231" s="705" t="s">
        <v>474</v>
      </c>
      <c r="O231" s="705" t="s">
        <v>541</v>
      </c>
      <c r="P231" s="705" t="s">
        <v>619</v>
      </c>
      <c r="Q231" s="610" t="s">
        <v>2838</v>
      </c>
    </row>
    <row r="232" spans="2:17" ht="15" thickBot="1" x14ac:dyDescent="0.35">
      <c r="B232" s="647" t="str">
        <f t="shared" si="9"/>
        <v>Adresa provozovny</v>
      </c>
      <c r="M232" s="704" t="s">
        <v>380</v>
      </c>
      <c r="N232" s="705" t="s">
        <v>475</v>
      </c>
      <c r="O232" s="705" t="s">
        <v>542</v>
      </c>
      <c r="P232" s="705" t="s">
        <v>620</v>
      </c>
      <c r="Q232" s="610" t="s">
        <v>2839</v>
      </c>
    </row>
    <row r="233" spans="2:17" ht="15" thickBot="1" x14ac:dyDescent="0.35">
      <c r="B233" s="647" t="str">
        <f t="shared" si="9"/>
        <v>IČ:</v>
      </c>
      <c r="M233" s="704" t="s">
        <v>378</v>
      </c>
      <c r="N233" s="705" t="s">
        <v>378</v>
      </c>
      <c r="O233" s="705" t="s">
        <v>543</v>
      </c>
      <c r="P233" s="705" t="s">
        <v>378</v>
      </c>
      <c r="Q233" s="610" t="s">
        <v>2682</v>
      </c>
    </row>
    <row r="234" spans="2:17" ht="15" thickBot="1" x14ac:dyDescent="0.35">
      <c r="B234" s="647" t="str">
        <f t="shared" si="9"/>
        <v>Sleva na rámečky</v>
      </c>
      <c r="M234" s="704" t="s">
        <v>383</v>
      </c>
      <c r="N234" s="705" t="s">
        <v>476</v>
      </c>
      <c r="O234" s="705" t="s">
        <v>544</v>
      </c>
      <c r="P234" s="705" t="s">
        <v>621</v>
      </c>
      <c r="Q234" s="610" t="s">
        <v>1904</v>
      </c>
    </row>
    <row r="235" spans="2:17" ht="15" thickBot="1" x14ac:dyDescent="0.35">
      <c r="B235" s="647" t="str">
        <f t="shared" si="9"/>
        <v>Sleva na kování</v>
      </c>
      <c r="M235" s="704" t="s">
        <v>384</v>
      </c>
      <c r="N235" s="705" t="s">
        <v>477</v>
      </c>
      <c r="O235" s="705" t="s">
        <v>545</v>
      </c>
      <c r="P235" s="705" t="s">
        <v>622</v>
      </c>
      <c r="Q235" s="610" t="s">
        <v>1905</v>
      </c>
    </row>
    <row r="236" spans="2:17" ht="15" thickBot="1" x14ac:dyDescent="0.35">
      <c r="B236" s="647" t="str">
        <f t="shared" si="9"/>
        <v>Číslo objednávky</v>
      </c>
      <c r="M236" s="704" t="s">
        <v>411</v>
      </c>
      <c r="N236" s="705" t="s">
        <v>411</v>
      </c>
      <c r="O236" s="705" t="s">
        <v>25</v>
      </c>
      <c r="P236" s="705" t="s">
        <v>623</v>
      </c>
      <c r="Q236" s="610" t="s">
        <v>2683</v>
      </c>
    </row>
    <row r="237" spans="2:17" ht="15" thickBot="1" x14ac:dyDescent="0.35">
      <c r="B237" s="647" t="str">
        <f t="shared" si="9"/>
        <v>Barevné náhledy u jednotlivých názvů RAL a REF jsou pouze orientační!!!!</v>
      </c>
      <c r="M237" s="704" t="s">
        <v>410</v>
      </c>
      <c r="N237" s="705" t="s">
        <v>480</v>
      </c>
      <c r="O237" s="705" t="s">
        <v>1738</v>
      </c>
      <c r="P237" s="705" t="s">
        <v>2521</v>
      </c>
      <c r="Q237" s="610" t="s">
        <v>2684</v>
      </c>
    </row>
    <row r="238" spans="2:17" ht="15" thickBot="1" x14ac:dyDescent="0.35">
      <c r="B238" s="647" t="str">
        <f t="shared" si="9"/>
        <v>Typ kování</v>
      </c>
      <c r="M238" s="704" t="s">
        <v>95</v>
      </c>
      <c r="N238" s="705" t="s">
        <v>479</v>
      </c>
      <c r="O238" s="705" t="s">
        <v>553</v>
      </c>
      <c r="P238" s="705" t="s">
        <v>1734</v>
      </c>
      <c r="Q238" s="610" t="s">
        <v>2840</v>
      </c>
    </row>
    <row r="239" spans="2:17" ht="15" thickBot="1" x14ac:dyDescent="0.35">
      <c r="B239" s="647" t="str">
        <f t="shared" si="9"/>
        <v>AVENTOS HF</v>
      </c>
      <c r="M239" s="704" t="s">
        <v>103</v>
      </c>
      <c r="N239" s="704" t="s">
        <v>103</v>
      </c>
      <c r="O239" s="705" t="s">
        <v>103</v>
      </c>
      <c r="P239" s="705" t="s">
        <v>103</v>
      </c>
      <c r="Q239" s="610" t="s">
        <v>103</v>
      </c>
    </row>
    <row r="240" spans="2:17" ht="15" thickBot="1" x14ac:dyDescent="0.35">
      <c r="B240" s="647" t="str">
        <f t="shared" si="9"/>
        <v>AVENTOS HK TOP</v>
      </c>
      <c r="M240" s="712" t="s">
        <v>1753</v>
      </c>
      <c r="N240" s="712" t="s">
        <v>1753</v>
      </c>
      <c r="O240" s="705" t="s">
        <v>1753</v>
      </c>
      <c r="P240" s="705" t="s">
        <v>1753</v>
      </c>
      <c r="Q240" s="610" t="s">
        <v>1753</v>
      </c>
    </row>
    <row r="241" spans="2:17" ht="15" thickBot="1" x14ac:dyDescent="0.35">
      <c r="B241" s="647" t="str">
        <f t="shared" si="9"/>
        <v>AVENTOS HKS</v>
      </c>
      <c r="M241" s="712" t="s">
        <v>104</v>
      </c>
      <c r="N241" s="712" t="s">
        <v>104</v>
      </c>
      <c r="O241" s="705" t="s">
        <v>104</v>
      </c>
      <c r="P241" s="705" t="s">
        <v>2522</v>
      </c>
      <c r="Q241" s="610" t="s">
        <v>104</v>
      </c>
    </row>
    <row r="242" spans="2:17" ht="15" thickBot="1" x14ac:dyDescent="0.35">
      <c r="B242" s="647" t="str">
        <f t="shared" si="9"/>
        <v>AVENTOS HL</v>
      </c>
      <c r="M242" s="712" t="s">
        <v>105</v>
      </c>
      <c r="N242" s="712" t="s">
        <v>105</v>
      </c>
      <c r="O242" s="705" t="s">
        <v>105</v>
      </c>
      <c r="P242" s="705" t="s">
        <v>105</v>
      </c>
      <c r="Q242" s="610" t="s">
        <v>105</v>
      </c>
    </row>
    <row r="243" spans="2:17" ht="15" thickBot="1" x14ac:dyDescent="0.35">
      <c r="B243" s="647" t="str">
        <f t="shared" si="9"/>
        <v>AVENTOS HS</v>
      </c>
      <c r="M243" s="712" t="s">
        <v>106</v>
      </c>
      <c r="N243" s="712" t="s">
        <v>106</v>
      </c>
      <c r="O243" s="705" t="s">
        <v>106</v>
      </c>
      <c r="P243" s="705" t="s">
        <v>106</v>
      </c>
      <c r="Q243" s="610" t="s">
        <v>106</v>
      </c>
    </row>
    <row r="244" spans="2:17" ht="15" thickBot="1" x14ac:dyDescent="0.35">
      <c r="B244" s="647" t="str">
        <f t="shared" si="9"/>
        <v>AVENTOS HK-XS</v>
      </c>
      <c r="M244" s="712" t="s">
        <v>1034</v>
      </c>
      <c r="N244" s="712" t="s">
        <v>1034</v>
      </c>
      <c r="O244" s="705" t="s">
        <v>1034</v>
      </c>
      <c r="P244" s="705" t="s">
        <v>1034</v>
      </c>
      <c r="Q244" s="610" t="s">
        <v>1034</v>
      </c>
    </row>
    <row r="245" spans="2:17" ht="15" thickBot="1" x14ac:dyDescent="0.35">
      <c r="B245" s="647" t="str">
        <f t="shared" si="9"/>
        <v>AVENTOS HK-XS TIP-ON</v>
      </c>
      <c r="M245" s="712" t="s">
        <v>1063</v>
      </c>
      <c r="N245" s="712" t="s">
        <v>1063</v>
      </c>
      <c r="O245" s="705" t="s">
        <v>1063</v>
      </c>
      <c r="P245" s="705" t="s">
        <v>1063</v>
      </c>
      <c r="Q245" s="610" t="s">
        <v>1063</v>
      </c>
    </row>
    <row r="246" spans="2:17" ht="15" thickBot="1" x14ac:dyDescent="0.35">
      <c r="B246" s="647" t="str">
        <f t="shared" si="9"/>
        <v>FGV</v>
      </c>
      <c r="M246" s="712" t="s">
        <v>13</v>
      </c>
      <c r="N246" s="712" t="s">
        <v>13</v>
      </c>
      <c r="O246" s="705" t="s">
        <v>13</v>
      </c>
      <c r="P246" s="705" t="s">
        <v>13</v>
      </c>
      <c r="Q246" s="610" t="s">
        <v>13</v>
      </c>
    </row>
    <row r="247" spans="2:17" ht="15" thickBot="1" x14ac:dyDescent="0.35">
      <c r="B247" s="647" t="str">
        <f t="shared" si="9"/>
        <v>BLUM</v>
      </c>
      <c r="M247" s="712" t="s">
        <v>14</v>
      </c>
      <c r="N247" s="712" t="s">
        <v>14</v>
      </c>
      <c r="O247" s="705" t="s">
        <v>14</v>
      </c>
      <c r="P247" s="705" t="s">
        <v>14</v>
      </c>
      <c r="Q247" s="610" t="s">
        <v>14</v>
      </c>
    </row>
    <row r="248" spans="2:17" ht="15" thickBot="1" x14ac:dyDescent="0.35">
      <c r="B248" s="647" t="str">
        <f t="shared" si="9"/>
        <v>STRONG bez tlumení</v>
      </c>
      <c r="M248" s="712" t="s">
        <v>1173</v>
      </c>
      <c r="N248" s="712" t="s">
        <v>1613</v>
      </c>
      <c r="O248" s="705" t="s">
        <v>1614</v>
      </c>
      <c r="P248" s="705" t="s">
        <v>1615</v>
      </c>
      <c r="Q248" s="610" t="s">
        <v>2841</v>
      </c>
    </row>
    <row r="249" spans="2:17" ht="15" thickBot="1" x14ac:dyDescent="0.35">
      <c r="B249" s="647" t="str">
        <f t="shared" si="9"/>
        <v>HETTICH</v>
      </c>
      <c r="M249" s="712" t="s">
        <v>1033</v>
      </c>
      <c r="N249" s="712" t="s">
        <v>1033</v>
      </c>
      <c r="O249" s="705" t="s">
        <v>1033</v>
      </c>
      <c r="P249" s="705" t="s">
        <v>1033</v>
      </c>
      <c r="Q249" s="610" t="s">
        <v>1033</v>
      </c>
    </row>
    <row r="250" spans="2:17" ht="15" thickBot="1" x14ac:dyDescent="0.35">
      <c r="B250" s="647" t="str">
        <f t="shared" si="9"/>
        <v xml:space="preserve">Vyplňte pouze pokud nebude vrtání symetricky na střed </v>
      </c>
      <c r="M250" s="704" t="s">
        <v>552</v>
      </c>
      <c r="N250" s="712" t="s">
        <v>643</v>
      </c>
      <c r="O250" s="705" t="s">
        <v>648</v>
      </c>
      <c r="P250" s="705" t="s">
        <v>655</v>
      </c>
      <c r="Q250" s="610" t="s">
        <v>2834</v>
      </c>
    </row>
    <row r="251" spans="2:17" ht="15" thickBot="1" x14ac:dyDescent="0.35">
      <c r="B251" s="647" t="str">
        <f t="shared" si="9"/>
        <v>Posuvné rámečky</v>
      </c>
      <c r="M251" s="704" t="s">
        <v>20</v>
      </c>
      <c r="N251" s="712" t="s">
        <v>644</v>
      </c>
      <c r="O251" s="705" t="s">
        <v>907</v>
      </c>
      <c r="P251" s="705" t="s">
        <v>908</v>
      </c>
      <c r="Q251" s="610" t="s">
        <v>1910</v>
      </c>
    </row>
    <row r="252" spans="2:17" ht="15" thickBot="1" x14ac:dyDescent="0.35">
      <c r="B252" s="647" t="str">
        <f t="shared" si="9"/>
        <v>Standardně je objednávka dodána včetně kování a vodících profilů</v>
      </c>
      <c r="M252" s="704" t="s">
        <v>414</v>
      </c>
      <c r="N252" s="705" t="s">
        <v>637</v>
      </c>
      <c r="O252" s="705" t="s">
        <v>681</v>
      </c>
      <c r="P252" s="705" t="s">
        <v>2523</v>
      </c>
      <c r="Q252" s="610" t="s">
        <v>2842</v>
      </c>
    </row>
    <row r="253" spans="2:17" ht="15" thickBot="1" x14ac:dyDescent="0.35">
      <c r="B253" s="647" t="str">
        <f t="shared" si="9"/>
        <v xml:space="preserve">Vnitřní rozměr skříňky (mm)  </v>
      </c>
      <c r="M253" s="704" t="s">
        <v>640</v>
      </c>
      <c r="N253" s="705" t="s">
        <v>638</v>
      </c>
      <c r="O253" s="705" t="s">
        <v>650</v>
      </c>
      <c r="P253" s="705" t="s">
        <v>658</v>
      </c>
      <c r="Q253" s="610" t="s">
        <v>2685</v>
      </c>
    </row>
    <row r="254" spans="2:17" ht="15" thickBot="1" x14ac:dyDescent="0.35">
      <c r="B254" s="647" t="str">
        <f t="shared" si="9"/>
        <v>Počet dvířek</v>
      </c>
      <c r="M254" s="704" t="s">
        <v>413</v>
      </c>
      <c r="N254" s="705" t="s">
        <v>639</v>
      </c>
      <c r="O254" s="705" t="s">
        <v>2601</v>
      </c>
      <c r="P254" s="705" t="s">
        <v>659</v>
      </c>
      <c r="Q254" s="610" t="s">
        <v>1913</v>
      </c>
    </row>
    <row r="255" spans="2:17" ht="15" thickBot="1" x14ac:dyDescent="0.35">
      <c r="B255" s="647" t="str">
        <f t="shared" si="9"/>
        <v>Zde jsou uvedeny standardní přesahy dvířek</v>
      </c>
      <c r="M255" s="704" t="s">
        <v>851</v>
      </c>
      <c r="N255" s="713" t="s">
        <v>641</v>
      </c>
      <c r="O255" s="705" t="s">
        <v>852</v>
      </c>
      <c r="P255" s="705" t="s">
        <v>2524</v>
      </c>
      <c r="Q255" s="610" t="s">
        <v>2686</v>
      </c>
    </row>
    <row r="256" spans="2:17" ht="15" thickBot="1" x14ac:dyDescent="0.35">
      <c r="B256" s="647" t="str">
        <f t="shared" si="9"/>
        <v>barva</v>
      </c>
      <c r="M256" s="704" t="s">
        <v>385</v>
      </c>
      <c r="N256" s="705" t="s">
        <v>642</v>
      </c>
      <c r="O256" s="705" t="s">
        <v>652</v>
      </c>
      <c r="P256" s="705" t="s">
        <v>660</v>
      </c>
      <c r="Q256" s="610" t="s">
        <v>2687</v>
      </c>
    </row>
    <row r="257" spans="2:17" ht="15" thickBot="1" x14ac:dyDescent="0.35">
      <c r="B257" s="647" t="str">
        <f t="shared" si="9"/>
        <v>Objednávka ALU</v>
      </c>
      <c r="M257" s="704" t="s">
        <v>635</v>
      </c>
      <c r="N257" s="705" t="s">
        <v>635</v>
      </c>
      <c r="O257" s="705" t="s">
        <v>653</v>
      </c>
      <c r="P257" s="705" t="s">
        <v>661</v>
      </c>
      <c r="Q257" s="610" t="s">
        <v>2688</v>
      </c>
    </row>
    <row r="258" spans="2:17" ht="15" thickBot="1" x14ac:dyDescent="0.35">
      <c r="B258" s="647" t="str">
        <f t="shared" si="9"/>
        <v>Posuvné rámečky</v>
      </c>
      <c r="M258" s="704" t="s">
        <v>20</v>
      </c>
      <c r="N258" s="712" t="s">
        <v>644</v>
      </c>
      <c r="O258" s="705" t="s">
        <v>907</v>
      </c>
      <c r="P258" s="705" t="s">
        <v>908</v>
      </c>
      <c r="Q258" s="610" t="s">
        <v>1910</v>
      </c>
    </row>
    <row r="259" spans="2:17" ht="15" thickBot="1" x14ac:dyDescent="0.35">
      <c r="B259" s="647" t="str">
        <f t="shared" si="9"/>
        <v>Barvy LACOBEL A MATELAC</v>
      </c>
      <c r="M259" s="704" t="s">
        <v>636</v>
      </c>
      <c r="N259" s="705" t="s">
        <v>645</v>
      </c>
      <c r="O259" s="705" t="s">
        <v>654</v>
      </c>
      <c r="P259" s="705" t="s">
        <v>662</v>
      </c>
      <c r="Q259" s="610" t="s">
        <v>2843</v>
      </c>
    </row>
    <row r="260" spans="2:17" ht="15" thickBot="1" x14ac:dyDescent="0.35">
      <c r="B260" s="647" t="str">
        <f t="shared" si="9"/>
        <v>20L3200</v>
      </c>
      <c r="M260" s="714" t="s">
        <v>664</v>
      </c>
      <c r="N260" s="714" t="s">
        <v>664</v>
      </c>
      <c r="O260" s="705" t="s">
        <v>664</v>
      </c>
      <c r="P260" s="705" t="s">
        <v>664</v>
      </c>
      <c r="Q260" s="610" t="s">
        <v>664</v>
      </c>
    </row>
    <row r="261" spans="2:17" ht="15" thickBot="1" x14ac:dyDescent="0.35">
      <c r="B261" s="647" t="str">
        <f t="shared" si="9"/>
        <v>20L3500</v>
      </c>
      <c r="M261" s="714" t="s">
        <v>665</v>
      </c>
      <c r="N261" s="714" t="s">
        <v>665</v>
      </c>
      <c r="O261" s="705" t="s">
        <v>665</v>
      </c>
      <c r="P261" s="705" t="s">
        <v>665</v>
      </c>
      <c r="Q261" s="610" t="s">
        <v>665</v>
      </c>
    </row>
    <row r="262" spans="2:17" ht="15" thickBot="1" x14ac:dyDescent="0.35">
      <c r="B262" s="647" t="str">
        <f t="shared" si="9"/>
        <v>20L3800</v>
      </c>
      <c r="M262" s="714" t="s">
        <v>666</v>
      </c>
      <c r="N262" s="714" t="s">
        <v>666</v>
      </c>
      <c r="O262" s="705" t="s">
        <v>666</v>
      </c>
      <c r="P262" s="705" t="s">
        <v>666</v>
      </c>
      <c r="Q262" s="610" t="s">
        <v>666</v>
      </c>
    </row>
    <row r="263" spans="2:17" ht="15" thickBot="1" x14ac:dyDescent="0.35">
      <c r="B263" s="647" t="str">
        <f t="shared" si="9"/>
        <v>20L3900</v>
      </c>
      <c r="M263" s="714" t="s">
        <v>667</v>
      </c>
      <c r="N263" s="714" t="s">
        <v>667</v>
      </c>
      <c r="O263" s="705" t="s">
        <v>667</v>
      </c>
      <c r="P263" s="705" t="s">
        <v>667</v>
      </c>
      <c r="Q263" s="610" t="s">
        <v>667</v>
      </c>
    </row>
    <row r="264" spans="2:17" ht="15" thickBot="1" x14ac:dyDescent="0.35">
      <c r="B264" s="647" t="str">
        <f t="shared" si="9"/>
        <v>Typ ramene</v>
      </c>
      <c r="M264" s="714" t="s">
        <v>668</v>
      </c>
      <c r="N264" s="714" t="s">
        <v>671</v>
      </c>
      <c r="O264" s="705" t="s">
        <v>672</v>
      </c>
      <c r="P264" s="705" t="s">
        <v>673</v>
      </c>
      <c r="Q264" s="610" t="s">
        <v>2844</v>
      </c>
    </row>
    <row r="265" spans="2:17" ht="15" thickBot="1" x14ac:dyDescent="0.35">
      <c r="B265" s="647" t="str">
        <f t="shared" si="9"/>
        <v>Hmotnost úchytky (g)</v>
      </c>
      <c r="M265" s="714" t="s">
        <v>669</v>
      </c>
      <c r="N265" s="714" t="s">
        <v>674</v>
      </c>
      <c r="O265" s="705" t="s">
        <v>675</v>
      </c>
      <c r="P265" s="705" t="s">
        <v>676</v>
      </c>
      <c r="Q265" s="610" t="s">
        <v>1919</v>
      </c>
    </row>
    <row r="266" spans="2:17" ht="15" thickBot="1" x14ac:dyDescent="0.35">
      <c r="B266" s="647" t="str">
        <f t="shared" si="9"/>
        <v>Typy profilů</v>
      </c>
      <c r="M266" s="714" t="s">
        <v>670</v>
      </c>
      <c r="N266" s="705" t="s">
        <v>677</v>
      </c>
      <c r="O266" s="705" t="s">
        <v>678</v>
      </c>
      <c r="P266" s="705" t="s">
        <v>679</v>
      </c>
      <c r="Q266" s="610" t="s">
        <v>2845</v>
      </c>
    </row>
    <row r="267" spans="2:17" ht="15" thickBot="1" x14ac:dyDescent="0.35">
      <c r="B267" s="647" t="str">
        <f t="shared" si="9"/>
        <v>AVENTOS HF Servo Drive</v>
      </c>
      <c r="M267" s="704" t="s">
        <v>749</v>
      </c>
      <c r="N267" s="704" t="s">
        <v>749</v>
      </c>
      <c r="O267" s="705" t="s">
        <v>749</v>
      </c>
      <c r="P267" s="705" t="s">
        <v>749</v>
      </c>
      <c r="Q267" s="610" t="s">
        <v>749</v>
      </c>
    </row>
    <row r="268" spans="2:17" ht="15" thickBot="1" x14ac:dyDescent="0.35">
      <c r="B268" s="647" t="str">
        <f t="shared" si="9"/>
        <v>AVENTOS HK TOP TIP ON</v>
      </c>
      <c r="M268" s="704" t="s">
        <v>1755</v>
      </c>
      <c r="N268" s="704" t="s">
        <v>1755</v>
      </c>
      <c r="O268" s="705" t="s">
        <v>1755</v>
      </c>
      <c r="P268" s="705" t="s">
        <v>1755</v>
      </c>
      <c r="Q268" s="610" t="s">
        <v>1755</v>
      </c>
    </row>
    <row r="269" spans="2:17" ht="15" thickBot="1" x14ac:dyDescent="0.35">
      <c r="B269" s="647" t="str">
        <f t="shared" si="9"/>
        <v>AVENTOS HKS TIP ON</v>
      </c>
      <c r="M269" s="704" t="s">
        <v>750</v>
      </c>
      <c r="N269" s="704" t="s">
        <v>750</v>
      </c>
      <c r="O269" s="705" t="s">
        <v>750</v>
      </c>
      <c r="P269" s="705" t="s">
        <v>2525</v>
      </c>
      <c r="Q269" s="610" t="s">
        <v>750</v>
      </c>
    </row>
    <row r="270" spans="2:17" ht="15" thickBot="1" x14ac:dyDescent="0.35">
      <c r="B270" s="647" t="str">
        <f t="shared" si="9"/>
        <v>AVENTOS HK TOP Servo Drive</v>
      </c>
      <c r="M270" s="704" t="s">
        <v>1754</v>
      </c>
      <c r="N270" s="704" t="s">
        <v>1754</v>
      </c>
      <c r="O270" s="705" t="s">
        <v>1754</v>
      </c>
      <c r="P270" s="705" t="s">
        <v>1754</v>
      </c>
      <c r="Q270" s="610" t="s">
        <v>1754</v>
      </c>
    </row>
    <row r="271" spans="2:17" ht="15" thickBot="1" x14ac:dyDescent="0.35">
      <c r="B271" s="647" t="str">
        <f t="shared" si="9"/>
        <v>AVENTOS HL Servo Drive</v>
      </c>
      <c r="M271" s="704" t="s">
        <v>751</v>
      </c>
      <c r="N271" s="704" t="s">
        <v>751</v>
      </c>
      <c r="O271" s="705" t="s">
        <v>751</v>
      </c>
      <c r="P271" s="705" t="s">
        <v>751</v>
      </c>
      <c r="Q271" s="610" t="s">
        <v>751</v>
      </c>
    </row>
    <row r="272" spans="2:17" ht="15" thickBot="1" x14ac:dyDescent="0.35">
      <c r="B272" s="647" t="str">
        <f t="shared" si="9"/>
        <v>AVENTOS HS Servo Drive</v>
      </c>
      <c r="M272" s="704" t="s">
        <v>752</v>
      </c>
      <c r="N272" s="704" t="s">
        <v>752</v>
      </c>
      <c r="O272" s="705" t="s">
        <v>752</v>
      </c>
      <c r="P272" s="705" t="s">
        <v>752</v>
      </c>
      <c r="Q272" s="610" t="s">
        <v>752</v>
      </c>
    </row>
    <row r="273" spans="2:17" ht="15" thickBot="1" x14ac:dyDescent="0.35">
      <c r="B273" s="647" t="str">
        <f t="shared" si="9"/>
        <v>spodní</v>
      </c>
      <c r="M273" s="704" t="s">
        <v>806</v>
      </c>
      <c r="N273" s="705" t="s">
        <v>807</v>
      </c>
      <c r="O273" s="705" t="s">
        <v>808</v>
      </c>
      <c r="P273" s="705" t="s">
        <v>809</v>
      </c>
      <c r="Q273" s="610" t="s">
        <v>2689</v>
      </c>
    </row>
    <row r="274" spans="2:17" ht="15" thickBot="1" x14ac:dyDescent="0.35">
      <c r="B274" s="647" t="str">
        <f t="shared" si="9"/>
        <v>Minimální vzdálenost umístění závěsů</v>
      </c>
      <c r="M274" s="714" t="s">
        <v>811</v>
      </c>
      <c r="N274" s="705" t="s">
        <v>864</v>
      </c>
      <c r="O274" s="705" t="s">
        <v>879</v>
      </c>
      <c r="P274" s="705" t="s">
        <v>880</v>
      </c>
      <c r="Q274" s="610" t="s">
        <v>2846</v>
      </c>
    </row>
    <row r="275" spans="2:17" ht="15" thickBot="1" x14ac:dyDescent="0.35">
      <c r="B275" s="647" t="str">
        <f t="shared" ref="B275:B338" si="10">IF($D$1=1,M275,IF($D$1=2,N275,IF($D$1=3,O275,IF($D$1=4,P275,IF($D$1=5,Q275,0)))))</f>
        <v>Naložený s integr. Blumotionem</v>
      </c>
      <c r="M275" s="704" t="s">
        <v>813</v>
      </c>
      <c r="N275" s="705" t="s">
        <v>865</v>
      </c>
      <c r="O275" s="705" t="s">
        <v>2602</v>
      </c>
      <c r="P275" s="705" t="s">
        <v>882</v>
      </c>
      <c r="Q275" s="610" t="s">
        <v>2847</v>
      </c>
    </row>
    <row r="276" spans="2:17" ht="15" thickBot="1" x14ac:dyDescent="0.35">
      <c r="B276" s="647" t="str">
        <f t="shared" si="10"/>
        <v>Standardní vrtání otvorů pro závěsy u všech typů kování Aventos HF, je 100 mm od kraje.</v>
      </c>
      <c r="M276" s="702" t="s">
        <v>857</v>
      </c>
      <c r="N276" s="632" t="s">
        <v>866</v>
      </c>
      <c r="O276" s="705" t="s">
        <v>1739</v>
      </c>
      <c r="P276" s="705" t="s">
        <v>2526</v>
      </c>
      <c r="Q276" s="610" t="s">
        <v>2690</v>
      </c>
    </row>
    <row r="277" spans="2:17" ht="15" thickBot="1" x14ac:dyDescent="0.35">
      <c r="B277" s="647" t="str">
        <f t="shared" si="10"/>
        <v>Standardní průměr otvorů pro úchytky je ve skle 7 mm a v rámečku 5 mm (distanční podložky jsou součástí balení).</v>
      </c>
      <c r="M277" s="715" t="s">
        <v>817</v>
      </c>
      <c r="N277" s="632" t="s">
        <v>867</v>
      </c>
      <c r="O277" s="705" t="s">
        <v>884</v>
      </c>
      <c r="P277" s="705" t="s">
        <v>885</v>
      </c>
      <c r="Q277" s="610" t="s">
        <v>2691</v>
      </c>
    </row>
    <row r="278" spans="2:17" ht="15" thickBot="1" x14ac:dyDescent="0.35">
      <c r="B278" s="647" t="str">
        <f t="shared" si="10"/>
        <v xml:space="preserve">Pokud je váš požadavek jiný než je uvedeno výše, uveďte ho do poznámky. </v>
      </c>
      <c r="M278" s="715" t="s">
        <v>818</v>
      </c>
      <c r="N278" s="632" t="s">
        <v>868</v>
      </c>
      <c r="O278" s="705" t="s">
        <v>886</v>
      </c>
      <c r="P278" s="705" t="s">
        <v>887</v>
      </c>
      <c r="Q278" s="610" t="s">
        <v>2692</v>
      </c>
    </row>
    <row r="279" spans="2:17" ht="15" thickBot="1" x14ac:dyDescent="0.35">
      <c r="B279" s="647" t="str">
        <f t="shared" si="10"/>
        <v>U určitých typů úchytek jsou závity pro šrouby zapuštěné a je nutné použít vhodné distanční podložky.</v>
      </c>
      <c r="M279" s="715" t="s">
        <v>822</v>
      </c>
      <c r="N279" s="632" t="s">
        <v>869</v>
      </c>
      <c r="O279" s="705" t="s">
        <v>2603</v>
      </c>
      <c r="P279" s="705" t="s">
        <v>1733</v>
      </c>
      <c r="Q279" s="610" t="s">
        <v>2848</v>
      </c>
    </row>
    <row r="280" spans="2:17" ht="15" thickBot="1" x14ac:dyDescent="0.35">
      <c r="B280" s="647" t="str">
        <f t="shared" si="10"/>
        <v>Reklamace spojené s poškozením nelze uplatnit, pokud byl rámeček již namontován.</v>
      </c>
      <c r="M280" s="715" t="s">
        <v>819</v>
      </c>
      <c r="N280" s="632" t="s">
        <v>870</v>
      </c>
      <c r="O280" s="705" t="s">
        <v>888</v>
      </c>
      <c r="P280" s="705" t="s">
        <v>889</v>
      </c>
      <c r="Q280" s="610" t="s">
        <v>2849</v>
      </c>
    </row>
    <row r="281" spans="2:17" ht="15" thickBot="1" x14ac:dyDescent="0.35">
      <c r="B281" s="647" t="str">
        <f t="shared" si="10"/>
        <v xml:space="preserve">Pro připevnění kování do ALU rámečku, je nutné používat vruty pro toto určené (např. kód 13681). </v>
      </c>
      <c r="M281" s="715" t="s">
        <v>820</v>
      </c>
      <c r="N281" s="632" t="s">
        <v>871</v>
      </c>
      <c r="O281" s="705" t="s">
        <v>1741</v>
      </c>
      <c r="P281" s="705" t="s">
        <v>890</v>
      </c>
      <c r="Q281" s="610" t="s">
        <v>2850</v>
      </c>
    </row>
    <row r="282" spans="2:17" ht="15" thickBot="1" x14ac:dyDescent="0.35">
      <c r="B282" s="647" t="str">
        <f t="shared" si="10"/>
        <v>Vždy používejte aktuální verzi formuláře, který je dostupný na našich stánkách.</v>
      </c>
      <c r="M282" s="715" t="s">
        <v>827</v>
      </c>
      <c r="N282" s="632" t="s">
        <v>872</v>
      </c>
      <c r="O282" s="705" t="s">
        <v>891</v>
      </c>
      <c r="P282" s="705" t="s">
        <v>2527</v>
      </c>
      <c r="Q282" s="610" t="s">
        <v>2851</v>
      </c>
    </row>
    <row r="283" spans="2:17" s="716" customFormat="1" ht="15" thickBot="1" x14ac:dyDescent="0.35">
      <c r="B283" s="647" t="str">
        <f t="shared" si="10"/>
        <v>Mezera mezi předěly musí být alespoň 100 mm.</v>
      </c>
      <c r="M283" s="717" t="s">
        <v>2444</v>
      </c>
      <c r="N283" s="718" t="s">
        <v>2446</v>
      </c>
      <c r="O283" s="705" t="s">
        <v>2604</v>
      </c>
      <c r="P283" s="705" t="s">
        <v>2445</v>
      </c>
      <c r="Q283" s="610" t="s">
        <v>2852</v>
      </c>
    </row>
    <row r="284" spans="2:17" ht="15" thickBot="1" x14ac:dyDescent="0.35">
      <c r="B284" s="647" t="str">
        <f t="shared" si="10"/>
        <v xml:space="preserve">Objednávka může obsahovat i více typů (rozměrů) rámečků najednou, přičemž se taková objednávka bere jako platná. Proto doporučujeme před odeslání zkontrolovat formulář, zda obsahuje pouze vámi požadované rámečky.     </v>
      </c>
      <c r="M284" s="715" t="s">
        <v>821</v>
      </c>
      <c r="N284" s="632" t="s">
        <v>893</v>
      </c>
      <c r="O284" s="705" t="s">
        <v>1742</v>
      </c>
      <c r="P284" s="705" t="s">
        <v>894</v>
      </c>
      <c r="Q284" s="610" t="s">
        <v>2853</v>
      </c>
    </row>
    <row r="285" spans="2:17" ht="15" thickBot="1" x14ac:dyDescent="0.35">
      <c r="B285" s="647" t="str">
        <f t="shared" si="10"/>
        <v>Formulář obsahuje několik listů, mezi kterými je možné se přepínat ve spodní části.</v>
      </c>
      <c r="M285" s="715" t="s">
        <v>823</v>
      </c>
      <c r="N285" s="632" t="s">
        <v>895</v>
      </c>
      <c r="O285" s="705" t="s">
        <v>896</v>
      </c>
      <c r="P285" s="705" t="s">
        <v>897</v>
      </c>
      <c r="Q285" s="610" t="s">
        <v>2854</v>
      </c>
    </row>
    <row r="286" spans="2:17" ht="15" thickBot="1" x14ac:dyDescent="0.35">
      <c r="B286" s="647" t="str">
        <f t="shared" si="10"/>
        <v xml:space="preserve">Vyplňte prosím vaše kontaktní údaje a poté klikněte na požadované políčko níže. </v>
      </c>
      <c r="M286" s="715" t="s">
        <v>969</v>
      </c>
      <c r="N286" s="632" t="s">
        <v>898</v>
      </c>
      <c r="O286" s="705" t="s">
        <v>899</v>
      </c>
      <c r="P286" s="705" t="s">
        <v>900</v>
      </c>
      <c r="Q286" s="610" t="s">
        <v>2693</v>
      </c>
    </row>
    <row r="287" spans="2:17" ht="15" thickBot="1" x14ac:dyDescent="0.35">
      <c r="B287" s="647" t="str">
        <f t="shared" si="10"/>
        <v>Vyplněním kontaktních údajů vyjadřujete současně souhlas, že jste se seznámil s informacemi uvedenými níže!</v>
      </c>
      <c r="M287" s="715" t="s">
        <v>855</v>
      </c>
      <c r="N287" s="632" t="s">
        <v>901</v>
      </c>
      <c r="O287" s="705" t="s">
        <v>902</v>
      </c>
      <c r="P287" s="705" t="s">
        <v>903</v>
      </c>
      <c r="Q287" s="610" t="s">
        <v>2855</v>
      </c>
    </row>
    <row r="288" spans="2:17" ht="15" thickBot="1" x14ac:dyDescent="0.35">
      <c r="B288" s="647" t="str">
        <f t="shared" si="10"/>
        <v>Běžné rámečky</v>
      </c>
      <c r="M288" s="715" t="s">
        <v>824</v>
      </c>
      <c r="N288" s="632" t="s">
        <v>904</v>
      </c>
      <c r="O288" s="705" t="s">
        <v>905</v>
      </c>
      <c r="P288" s="705" t="s">
        <v>906</v>
      </c>
      <c r="Q288" s="610" t="s">
        <v>2732</v>
      </c>
    </row>
    <row r="289" spans="2:17" ht="15" thickBot="1" x14ac:dyDescent="0.35">
      <c r="B289" s="647" t="str">
        <f t="shared" si="10"/>
        <v>Posuvné rámečky</v>
      </c>
      <c r="M289" s="715" t="s">
        <v>20</v>
      </c>
      <c r="N289" s="632" t="s">
        <v>644</v>
      </c>
      <c r="O289" s="705" t="s">
        <v>907</v>
      </c>
      <c r="P289" s="705" t="s">
        <v>908</v>
      </c>
      <c r="Q289" s="610" t="s">
        <v>1910</v>
      </c>
    </row>
    <row r="290" spans="2:17" ht="15" thickBot="1" x14ac:dyDescent="0.35">
      <c r="B290" s="647" t="str">
        <f t="shared" si="10"/>
        <v>Nákresy profilů a spoj. kování</v>
      </c>
      <c r="M290" s="715" t="s">
        <v>825</v>
      </c>
      <c r="N290" s="632" t="s">
        <v>909</v>
      </c>
      <c r="O290" s="705" t="s">
        <v>910</v>
      </c>
      <c r="P290" s="705" t="s">
        <v>911</v>
      </c>
      <c r="Q290" s="610" t="s">
        <v>2856</v>
      </c>
    </row>
    <row r="291" spans="2:17" ht="15" thickBot="1" x14ac:dyDescent="0.35">
      <c r="B291" s="647" t="str">
        <f t="shared" si="10"/>
        <v>Maximální doporučený rozměr rámečku je 2000 x 600 mm (v případě rámečků s nalepeným sklem 1800 x 600 mm)</v>
      </c>
      <c r="M291" s="715" t="s">
        <v>828</v>
      </c>
      <c r="N291" s="632" t="s">
        <v>912</v>
      </c>
      <c r="O291" s="705" t="s">
        <v>1743</v>
      </c>
      <c r="P291" s="705" t="s">
        <v>913</v>
      </c>
      <c r="Q291" s="610" t="s">
        <v>2857</v>
      </c>
    </row>
    <row r="292" spans="2:17" ht="15" thickBot="1" x14ac:dyDescent="0.35">
      <c r="B292" s="647" t="str">
        <f t="shared" si="10"/>
        <v xml:space="preserve">Na požadavek zákazníka, je možné dodat rámečky s maximální délkou profilu 3m. Maximální rozměr skla je v tomto případě 2500 x 1300 mm. </v>
      </c>
      <c r="M292" s="715" t="s">
        <v>970</v>
      </c>
      <c r="N292" s="632" t="s">
        <v>914</v>
      </c>
      <c r="O292" s="705" t="s">
        <v>2605</v>
      </c>
      <c r="P292" s="705" t="s">
        <v>916</v>
      </c>
      <c r="Q292" s="610" t="s">
        <v>2694</v>
      </c>
    </row>
    <row r="293" spans="2:17" ht="15" thickBot="1" x14ac:dyDescent="0.35">
      <c r="B293" s="647" t="str">
        <f t="shared" si="10"/>
        <v>Všechny skla Lacobel a Matelac je možné podlepit bezpečnostní fólií (v případě potřeby uveďte do poznámky)</v>
      </c>
      <c r="M293" s="715" t="s">
        <v>829</v>
      </c>
      <c r="N293" s="632" t="s">
        <v>917</v>
      </c>
      <c r="O293" s="705" t="s">
        <v>2606</v>
      </c>
      <c r="P293" s="705" t="s">
        <v>2528</v>
      </c>
      <c r="Q293" s="610" t="s">
        <v>2695</v>
      </c>
    </row>
    <row r="294" spans="2:17" ht="15" thickBot="1" x14ac:dyDescent="0.35">
      <c r="B294" s="647" t="str">
        <f t="shared" si="10"/>
        <v xml:space="preserve">Vyplněnou objednávku zašlete na adresu </v>
      </c>
      <c r="M294" s="715" t="s">
        <v>830</v>
      </c>
      <c r="N294" s="632" t="s">
        <v>919</v>
      </c>
      <c r="O294" s="705" t="s">
        <v>2607</v>
      </c>
      <c r="P294" s="705" t="s">
        <v>921</v>
      </c>
      <c r="Q294" s="610" t="s">
        <v>2696</v>
      </c>
    </row>
    <row r="295" spans="2:17" ht="15" thickBot="1" x14ac:dyDescent="0.35">
      <c r="B295" s="647" t="str">
        <f t="shared" si="10"/>
        <v>objednavky@demos-trade.com</v>
      </c>
      <c r="M295" s="719" t="s">
        <v>833</v>
      </c>
      <c r="N295" s="720" t="s">
        <v>833</v>
      </c>
      <c r="O295" s="705" t="s">
        <v>831</v>
      </c>
      <c r="P295" s="705" t="s">
        <v>832</v>
      </c>
      <c r="Q295" s="610" t="s">
        <v>2697</v>
      </c>
    </row>
    <row r="296" spans="2:17" ht="15" thickBot="1" x14ac:dyDescent="0.35">
      <c r="B296" s="647" t="str">
        <f t="shared" si="10"/>
        <v>Nákresy profilů</v>
      </c>
      <c r="M296" s="715" t="s">
        <v>834</v>
      </c>
      <c r="N296" s="632" t="s">
        <v>922</v>
      </c>
      <c r="O296" s="705" t="s">
        <v>923</v>
      </c>
      <c r="P296" s="705" t="s">
        <v>924</v>
      </c>
      <c r="Q296" s="610" t="s">
        <v>1941</v>
      </c>
    </row>
    <row r="297" spans="2:17" ht="15" thickBot="1" x14ac:dyDescent="0.35">
      <c r="B297" s="647" t="str">
        <f t="shared" si="10"/>
        <v>Sada kování na úzký rámeček H27AL (88630)</v>
      </c>
      <c r="M297" s="715" t="s">
        <v>836</v>
      </c>
      <c r="N297" s="632" t="s">
        <v>925</v>
      </c>
      <c r="O297" s="705" t="s">
        <v>926</v>
      </c>
      <c r="P297" s="705" t="s">
        <v>927</v>
      </c>
      <c r="Q297" s="610" t="s">
        <v>2698</v>
      </c>
    </row>
    <row r="298" spans="2:17" ht="15" thickBot="1" x14ac:dyDescent="0.35">
      <c r="B298" s="647" t="str">
        <f t="shared" si="10"/>
        <v>Sada kování na široký rámeček H37AL (88631)</v>
      </c>
      <c r="M298" s="715" t="s">
        <v>837</v>
      </c>
      <c r="N298" s="632" t="s">
        <v>928</v>
      </c>
      <c r="O298" s="705" t="s">
        <v>929</v>
      </c>
      <c r="P298" s="705" t="s">
        <v>930</v>
      </c>
      <c r="Q298" s="610" t="s">
        <v>2699</v>
      </c>
    </row>
    <row r="299" spans="2:17" ht="15" thickBot="1" x14ac:dyDescent="0.35">
      <c r="B299" s="647" t="str">
        <f t="shared" si="10"/>
        <v>Výška rámečku je standardně o 6 mm menší, než uvedená vnitřní výška skříňky.</v>
      </c>
      <c r="M299" s="715" t="s">
        <v>835</v>
      </c>
      <c r="N299" s="632" t="s">
        <v>931</v>
      </c>
      <c r="O299" s="705" t="s">
        <v>1745</v>
      </c>
      <c r="P299" s="705" t="s">
        <v>932</v>
      </c>
      <c r="Q299" s="610" t="s">
        <v>2700</v>
      </c>
    </row>
    <row r="300" spans="2:17" ht="15" thickBot="1" x14ac:dyDescent="0.35">
      <c r="B300" s="647" t="str">
        <f t="shared" si="10"/>
        <v>Standardně jsou rámečky připraveny pro posuvné kování H27AL (nosnost 25 kg na rámeček) a H37AL (nosnost 35 kg na rámeček).</v>
      </c>
      <c r="M300" s="715" t="s">
        <v>2470</v>
      </c>
      <c r="N300" s="632" t="s">
        <v>2471</v>
      </c>
      <c r="O300" s="721" t="s">
        <v>2565</v>
      </c>
      <c r="P300" s="721" t="s">
        <v>2564</v>
      </c>
      <c r="Q300" s="610" t="s">
        <v>2701</v>
      </c>
    </row>
    <row r="301" spans="2:17" ht="15" thickBot="1" x14ac:dyDescent="0.35">
      <c r="B301" s="647" t="str">
        <f t="shared" si="10"/>
        <v>Horní vedení délka 2 m (87313)</v>
      </c>
      <c r="M301" s="715" t="s">
        <v>839</v>
      </c>
      <c r="N301" s="632" t="s">
        <v>935</v>
      </c>
      <c r="O301" s="721" t="s">
        <v>936</v>
      </c>
      <c r="P301" s="721" t="s">
        <v>937</v>
      </c>
      <c r="Q301" s="610" t="s">
        <v>2858</v>
      </c>
    </row>
    <row r="302" spans="2:17" ht="15" thickBot="1" x14ac:dyDescent="0.35">
      <c r="B302" s="647" t="str">
        <f t="shared" si="10"/>
        <v>Spodní vedení délka 2 m (87315)</v>
      </c>
      <c r="M302" s="715" t="s">
        <v>841</v>
      </c>
      <c r="N302" s="632" t="s">
        <v>938</v>
      </c>
      <c r="O302" s="721" t="s">
        <v>939</v>
      </c>
      <c r="P302" s="721" t="s">
        <v>940</v>
      </c>
      <c r="Q302" s="610" t="s">
        <v>2859</v>
      </c>
    </row>
    <row r="303" spans="2:17" ht="15" thickBot="1" x14ac:dyDescent="0.35">
      <c r="B303" s="647" t="str">
        <f t="shared" si="10"/>
        <v>Horní vedení délka 3 m (87312)</v>
      </c>
      <c r="M303" s="715" t="s">
        <v>840</v>
      </c>
      <c r="N303" s="632" t="s">
        <v>941</v>
      </c>
      <c r="O303" s="721" t="s">
        <v>942</v>
      </c>
      <c r="P303" s="721" t="s">
        <v>943</v>
      </c>
      <c r="Q303" s="610" t="s">
        <v>2860</v>
      </c>
    </row>
    <row r="304" spans="2:17" ht="15" thickBot="1" x14ac:dyDescent="0.35">
      <c r="B304" s="647" t="str">
        <f t="shared" si="10"/>
        <v>Spodní vedení délka 3 m (87314)</v>
      </c>
      <c r="M304" s="715" t="s">
        <v>842</v>
      </c>
      <c r="N304" s="632" t="s">
        <v>944</v>
      </c>
      <c r="O304" s="721" t="s">
        <v>945</v>
      </c>
      <c r="P304" s="721" t="s">
        <v>946</v>
      </c>
      <c r="Q304" s="610" t="s">
        <v>2861</v>
      </c>
    </row>
    <row r="305" spans="2:17" ht="15" thickBot="1" x14ac:dyDescent="0.35">
      <c r="B305" s="647" t="str">
        <f t="shared" si="10"/>
        <v>Jiný požadavek (ks)</v>
      </c>
      <c r="M305" s="715" t="s">
        <v>850</v>
      </c>
      <c r="N305" s="632" t="s">
        <v>947</v>
      </c>
      <c r="O305" s="721" t="s">
        <v>948</v>
      </c>
      <c r="P305" s="721" t="s">
        <v>949</v>
      </c>
      <c r="Q305" s="610" t="s">
        <v>2862</v>
      </c>
    </row>
    <row r="306" spans="2:17" ht="15" thickBot="1" x14ac:dyDescent="0.35">
      <c r="B306" s="647" t="str">
        <f t="shared" si="10"/>
        <v>Množství (ks)</v>
      </c>
      <c r="M306" s="715" t="s">
        <v>854</v>
      </c>
      <c r="N306" s="632" t="s">
        <v>950</v>
      </c>
      <c r="O306" s="721" t="s">
        <v>951</v>
      </c>
      <c r="P306" s="721" t="s">
        <v>952</v>
      </c>
      <c r="Q306" s="610" t="s">
        <v>2863</v>
      </c>
    </row>
    <row r="307" spans="2:17" ht="15" thickBot="1" x14ac:dyDescent="0.35">
      <c r="B307" s="647" t="str">
        <f t="shared" si="10"/>
        <v>K nadrozměrným rámečkům (nad rozměr 1200 x 800 mm), může být účtován příplatek za speciální balení a dopravu (více informací na zákaznickém centru).</v>
      </c>
      <c r="M307" s="715" t="s">
        <v>971</v>
      </c>
      <c r="N307" s="632" t="s">
        <v>953</v>
      </c>
      <c r="O307" s="721" t="s">
        <v>2608</v>
      </c>
      <c r="P307" s="721" t="s">
        <v>2529</v>
      </c>
      <c r="Q307" s="610" t="s">
        <v>2864</v>
      </c>
    </row>
    <row r="308" spans="2:17" ht="15" thickBot="1" x14ac:dyDescent="0.35">
      <c r="B308" s="647" t="str">
        <f t="shared" si="10"/>
        <v xml:space="preserve">Vhodné rozměry rámečku pro konkrétní typ kování je nutné ověřit před zadáním do objednávky (Aventplan, katalog, …), formulář nemá nastaveny omezení. </v>
      </c>
      <c r="M308" s="715" t="s">
        <v>856</v>
      </c>
      <c r="N308" s="632" t="s">
        <v>956</v>
      </c>
      <c r="O308" s="721" t="s">
        <v>2609</v>
      </c>
      <c r="P308" s="721" t="s">
        <v>957</v>
      </c>
      <c r="Q308" s="610" t="s">
        <v>2702</v>
      </c>
    </row>
    <row r="309" spans="2:17" ht="15" thickBot="1" x14ac:dyDescent="0.35">
      <c r="B309" s="647" t="str">
        <f t="shared" si="10"/>
        <v>Vzorkovník skel je možné objednat pod kódy Lacebel VZK003P a Matelac VZK004P.</v>
      </c>
      <c r="M309" s="715" t="s">
        <v>858</v>
      </c>
      <c r="N309" s="632" t="s">
        <v>959</v>
      </c>
      <c r="O309" s="721" t="s">
        <v>958</v>
      </c>
      <c r="P309" s="721" t="s">
        <v>2530</v>
      </c>
      <c r="Q309" s="610" t="s">
        <v>2703</v>
      </c>
    </row>
    <row r="310" spans="2:17" ht="15" thickBot="1" x14ac:dyDescent="0.35">
      <c r="B310" s="647" t="str">
        <f t="shared" si="10"/>
        <v>Cena za posuvné rámečky je shodná jako cena za běžné rámečky.</v>
      </c>
      <c r="M310" s="715" t="s">
        <v>2472</v>
      </c>
      <c r="N310" s="632" t="s">
        <v>973</v>
      </c>
      <c r="O310" s="721" t="s">
        <v>2566</v>
      </c>
      <c r="P310" s="721" t="s">
        <v>2567</v>
      </c>
      <c r="Q310" s="610" t="s">
        <v>2704</v>
      </c>
    </row>
    <row r="311" spans="2:17" ht="15" thickBot="1" x14ac:dyDescent="0.35">
      <c r="B311" s="647" t="str">
        <f t="shared" si="10"/>
        <v>Pokud je úchytka připevněna skrz sklo, je nutné vždy použít distanční podložku (např. 144516, 191970, C0315)</v>
      </c>
      <c r="M311" s="715" t="s">
        <v>1748</v>
      </c>
      <c r="N311" s="632" t="s">
        <v>1749</v>
      </c>
      <c r="O311" s="705" t="s">
        <v>1750</v>
      </c>
      <c r="P311" s="705" t="s">
        <v>1751</v>
      </c>
      <c r="Q311" s="610" t="s">
        <v>2736</v>
      </c>
    </row>
    <row r="312" spans="2:17" ht="15" thickBot="1" x14ac:dyDescent="0.35">
      <c r="B312" s="647" t="str">
        <f t="shared" si="10"/>
        <v>Uvedené nákresy dvířek jsou znázorněny při pohledu z přední strany.</v>
      </c>
      <c r="M312" s="715" t="s">
        <v>1016</v>
      </c>
      <c r="N312" s="632" t="s">
        <v>1381</v>
      </c>
      <c r="O312" s="705" t="s">
        <v>2610</v>
      </c>
      <c r="P312" s="705" t="s">
        <v>2531</v>
      </c>
      <c r="Q312" s="610" t="s">
        <v>2705</v>
      </c>
    </row>
    <row r="313" spans="2:17" ht="15" thickBot="1" x14ac:dyDescent="0.35">
      <c r="B313" s="647" t="str">
        <f t="shared" si="10"/>
        <v>Nadrozměrný rámeček, může být účtováno vyšší dopravné</v>
      </c>
      <c r="M313" s="715" t="s">
        <v>1017</v>
      </c>
      <c r="N313" s="632" t="s">
        <v>1018</v>
      </c>
      <c r="O313" s="705" t="s">
        <v>1019</v>
      </c>
      <c r="P313" s="705" t="s">
        <v>1020</v>
      </c>
      <c r="Q313" s="610" t="s">
        <v>2706</v>
      </c>
    </row>
    <row r="314" spans="2:17" ht="15" thickBot="1" x14ac:dyDescent="0.35">
      <c r="B314" s="647" t="str">
        <f t="shared" si="10"/>
        <v>Umístění ramene</v>
      </c>
      <c r="M314" s="715" t="s">
        <v>1062</v>
      </c>
      <c r="N314" s="632" t="s">
        <v>1382</v>
      </c>
      <c r="O314" s="705" t="s">
        <v>2611</v>
      </c>
      <c r="P314" s="705" t="s">
        <v>1383</v>
      </c>
      <c r="Q314" s="610" t="s">
        <v>2707</v>
      </c>
    </row>
    <row r="315" spans="2:17" ht="15" thickBot="1" x14ac:dyDescent="0.35">
      <c r="B315" s="647" t="str">
        <f t="shared" si="10"/>
        <v>Maximální možný rozměr rámečku je 2500x1300mm</v>
      </c>
      <c r="M315" s="715" t="s">
        <v>1219</v>
      </c>
      <c r="N315" s="632" t="s">
        <v>1227</v>
      </c>
      <c r="O315" s="705" t="s">
        <v>1228</v>
      </c>
      <c r="P315" s="705" t="s">
        <v>1229</v>
      </c>
      <c r="Q315" s="610" t="s">
        <v>2865</v>
      </c>
    </row>
    <row r="316" spans="2:17" ht="15" thickBot="1" x14ac:dyDescent="0.35">
      <c r="B316" s="647" t="str">
        <f t="shared" si="10"/>
        <v>Minimální vzdálenost závěsu od kraje rámečku je 70mm</v>
      </c>
      <c r="M316" s="715" t="s">
        <v>1220</v>
      </c>
      <c r="N316" s="632" t="s">
        <v>1230</v>
      </c>
      <c r="O316" s="705" t="s">
        <v>1231</v>
      </c>
      <c r="P316" s="705" t="s">
        <v>1232</v>
      </c>
      <c r="Q316" s="610" t="s">
        <v>2708</v>
      </c>
    </row>
    <row r="317" spans="2:17" ht="15" thickBot="1" x14ac:dyDescent="0.35">
      <c r="B317" s="647" t="str">
        <f t="shared" si="10"/>
        <v>Minimální vzdálenost závěsu od kraje rámečku je 80mm</v>
      </c>
      <c r="M317" s="715" t="s">
        <v>1221</v>
      </c>
      <c r="N317" s="632" t="s">
        <v>1233</v>
      </c>
      <c r="O317" s="705" t="s">
        <v>1234</v>
      </c>
      <c r="P317" s="705" t="s">
        <v>1235</v>
      </c>
      <c r="Q317" s="610" t="s">
        <v>2709</v>
      </c>
    </row>
    <row r="318" spans="2:17" ht="15" thickBot="1" x14ac:dyDescent="0.35">
      <c r="B318" s="647" t="str">
        <f t="shared" si="10"/>
        <v>Naložený clip</v>
      </c>
      <c r="M318" s="715" t="s">
        <v>121</v>
      </c>
      <c r="N318" s="632" t="s">
        <v>121</v>
      </c>
      <c r="O318" s="705" t="s">
        <v>488</v>
      </c>
      <c r="P318" s="705" t="s">
        <v>564</v>
      </c>
      <c r="Q318" s="610" t="s">
        <v>2799</v>
      </c>
    </row>
    <row r="319" spans="2:17" ht="15" thickBot="1" x14ac:dyDescent="0.35">
      <c r="B319" s="647" t="str">
        <f t="shared" si="10"/>
        <v>Polonaložený clip</v>
      </c>
      <c r="M319" s="715" t="s">
        <v>122</v>
      </c>
      <c r="N319" s="632" t="s">
        <v>122</v>
      </c>
      <c r="O319" s="705" t="s">
        <v>489</v>
      </c>
      <c r="P319" s="705" t="s">
        <v>2507</v>
      </c>
      <c r="Q319" s="610" t="s">
        <v>2800</v>
      </c>
    </row>
    <row r="320" spans="2:17" ht="15" thickBot="1" x14ac:dyDescent="0.35">
      <c r="B320" s="647" t="str">
        <f t="shared" si="10"/>
        <v>Vložený clip</v>
      </c>
      <c r="M320" s="715" t="s">
        <v>123</v>
      </c>
      <c r="N320" s="632" t="s">
        <v>123</v>
      </c>
      <c r="O320" s="705" t="s">
        <v>490</v>
      </c>
      <c r="P320" s="705" t="s">
        <v>2508</v>
      </c>
      <c r="Q320" s="610" t="s">
        <v>2801</v>
      </c>
    </row>
    <row r="321" spans="2:17" ht="15" thickBot="1" x14ac:dyDescent="0.35">
      <c r="B321" s="647" t="str">
        <f t="shared" si="10"/>
        <v>Úhel 45°</v>
      </c>
      <c r="M321" s="715" t="s">
        <v>124</v>
      </c>
      <c r="N321" s="632" t="s">
        <v>429</v>
      </c>
      <c r="O321" s="705" t="s">
        <v>491</v>
      </c>
      <c r="P321" s="705" t="s">
        <v>567</v>
      </c>
      <c r="Q321" s="610" t="s">
        <v>2669</v>
      </c>
    </row>
    <row r="322" spans="2:17" ht="15" thickBot="1" x14ac:dyDescent="0.35">
      <c r="B322" s="647" t="str">
        <f t="shared" si="10"/>
        <v>Naložený</v>
      </c>
      <c r="M322" s="715" t="s">
        <v>125</v>
      </c>
      <c r="N322" s="632" t="s">
        <v>430</v>
      </c>
      <c r="O322" s="705" t="s">
        <v>492</v>
      </c>
      <c r="P322" s="705" t="s">
        <v>568</v>
      </c>
      <c r="Q322" s="610" t="s">
        <v>2802</v>
      </c>
    </row>
    <row r="323" spans="2:17" ht="15" thickBot="1" x14ac:dyDescent="0.35">
      <c r="B323" s="647" t="str">
        <f t="shared" si="10"/>
        <v>Polonaložený</v>
      </c>
      <c r="M323" s="715" t="s">
        <v>126</v>
      </c>
      <c r="N323" s="632" t="s">
        <v>431</v>
      </c>
      <c r="O323" s="705" t="s">
        <v>493</v>
      </c>
      <c r="P323" s="705" t="s">
        <v>2509</v>
      </c>
      <c r="Q323" s="610" t="s">
        <v>2803</v>
      </c>
    </row>
    <row r="324" spans="2:17" ht="15" thickBot="1" x14ac:dyDescent="0.35">
      <c r="B324" s="647" t="str">
        <f t="shared" si="10"/>
        <v>Vložený</v>
      </c>
      <c r="M324" s="715" t="s">
        <v>127</v>
      </c>
      <c r="N324" s="632" t="s">
        <v>432</v>
      </c>
      <c r="O324" s="705" t="s">
        <v>494</v>
      </c>
      <c r="P324" s="705" t="s">
        <v>2510</v>
      </c>
      <c r="Q324" s="610" t="s">
        <v>1847</v>
      </c>
    </row>
    <row r="325" spans="2:17" ht="15" thickBot="1" x14ac:dyDescent="0.35">
      <c r="B325" s="647" t="str">
        <f t="shared" si="10"/>
        <v>Úhel 45°</v>
      </c>
      <c r="M325" s="715" t="s">
        <v>124</v>
      </c>
      <c r="N325" s="632" t="s">
        <v>429</v>
      </c>
      <c r="O325" s="705" t="s">
        <v>491</v>
      </c>
      <c r="P325" s="705" t="s">
        <v>567</v>
      </c>
      <c r="Q325" s="610" t="s">
        <v>2669</v>
      </c>
    </row>
    <row r="326" spans="2:17" ht="15" thickBot="1" x14ac:dyDescent="0.35">
      <c r="B326" s="647" t="str">
        <f t="shared" si="10"/>
        <v>Naložený s opačnou pružinou</v>
      </c>
      <c r="M326" s="715" t="s">
        <v>128</v>
      </c>
      <c r="N326" s="632" t="s">
        <v>128</v>
      </c>
      <c r="O326" s="705" t="s">
        <v>495</v>
      </c>
      <c r="P326" s="705" t="s">
        <v>571</v>
      </c>
      <c r="Q326" s="610" t="s">
        <v>2804</v>
      </c>
    </row>
    <row r="327" spans="2:17" ht="15" thickBot="1" x14ac:dyDescent="0.35">
      <c r="B327" s="647" t="str">
        <f t="shared" si="10"/>
        <v>Vložený s opačnou pružinou</v>
      </c>
      <c r="M327" s="715" t="s">
        <v>129</v>
      </c>
      <c r="N327" s="632" t="s">
        <v>129</v>
      </c>
      <c r="O327" s="705" t="s">
        <v>496</v>
      </c>
      <c r="P327" s="705" t="s">
        <v>2511</v>
      </c>
      <c r="Q327" s="610" t="s">
        <v>2805</v>
      </c>
    </row>
    <row r="328" spans="2:17" ht="15" thickBot="1" x14ac:dyDescent="0.35">
      <c r="B328" s="647" t="str">
        <f t="shared" si="10"/>
        <v>Clip na vrut H2</v>
      </c>
      <c r="M328" s="715" t="s">
        <v>212</v>
      </c>
      <c r="N328" s="632" t="s">
        <v>433</v>
      </c>
      <c r="O328" s="705" t="s">
        <v>497</v>
      </c>
      <c r="P328" s="705" t="s">
        <v>573</v>
      </c>
      <c r="Q328" s="610" t="s">
        <v>2806</v>
      </c>
    </row>
    <row r="329" spans="2:17" ht="15" thickBot="1" x14ac:dyDescent="0.35">
      <c r="B329" s="647" t="str">
        <f t="shared" si="10"/>
        <v>Clip na vrut H4</v>
      </c>
      <c r="M329" s="715" t="s">
        <v>213</v>
      </c>
      <c r="N329" s="632" t="s">
        <v>434</v>
      </c>
      <c r="O329" s="705" t="s">
        <v>498</v>
      </c>
      <c r="P329" s="705" t="s">
        <v>574</v>
      </c>
      <c r="Q329" s="610" t="s">
        <v>2807</v>
      </c>
    </row>
    <row r="330" spans="2:17" ht="15" thickBot="1" x14ac:dyDescent="0.35">
      <c r="B330" s="647" t="str">
        <f t="shared" si="10"/>
        <v>Clip na eurošroub H2</v>
      </c>
      <c r="M330" s="715" t="s">
        <v>214</v>
      </c>
      <c r="N330" s="632" t="s">
        <v>435</v>
      </c>
      <c r="O330" s="705" t="s">
        <v>499</v>
      </c>
      <c r="P330" s="705" t="s">
        <v>575</v>
      </c>
      <c r="Q330" s="610" t="s">
        <v>2808</v>
      </c>
    </row>
    <row r="331" spans="2:17" ht="15" thickBot="1" x14ac:dyDescent="0.35">
      <c r="B331" s="647" t="str">
        <f t="shared" si="10"/>
        <v>Clip na eurošroub H4</v>
      </c>
      <c r="M331" s="715" t="s">
        <v>215</v>
      </c>
      <c r="N331" s="632" t="s">
        <v>436</v>
      </c>
      <c r="O331" s="705" t="s">
        <v>500</v>
      </c>
      <c r="P331" s="705" t="s">
        <v>576</v>
      </c>
      <c r="Q331" s="610" t="s">
        <v>2809</v>
      </c>
    </row>
    <row r="332" spans="2:17" ht="15" thickBot="1" x14ac:dyDescent="0.35">
      <c r="B332" s="647" t="str">
        <f t="shared" si="10"/>
        <v>Slide on na vrut H2</v>
      </c>
      <c r="M332" s="715" t="s">
        <v>216</v>
      </c>
      <c r="N332" s="632" t="s">
        <v>437</v>
      </c>
      <c r="O332" s="705" t="s">
        <v>501</v>
      </c>
      <c r="P332" s="705" t="s">
        <v>577</v>
      </c>
      <c r="Q332" s="610" t="s">
        <v>2810</v>
      </c>
    </row>
    <row r="333" spans="2:17" ht="15" thickBot="1" x14ac:dyDescent="0.35">
      <c r="B333" s="647" t="str">
        <f t="shared" si="10"/>
        <v>Slide on na vrut H4</v>
      </c>
      <c r="M333" s="715" t="s">
        <v>217</v>
      </c>
      <c r="N333" s="632" t="s">
        <v>438</v>
      </c>
      <c r="O333" s="705" t="s">
        <v>502</v>
      </c>
      <c r="P333" s="705" t="s">
        <v>578</v>
      </c>
      <c r="Q333" s="610" t="s">
        <v>2811</v>
      </c>
    </row>
    <row r="334" spans="2:17" ht="15" thickBot="1" x14ac:dyDescent="0.35">
      <c r="B334" s="647" t="str">
        <f t="shared" si="10"/>
        <v>Slide on na eurošroub H2</v>
      </c>
      <c r="M334" s="715" t="s">
        <v>218</v>
      </c>
      <c r="N334" s="632" t="s">
        <v>439</v>
      </c>
      <c r="O334" s="705" t="s">
        <v>503</v>
      </c>
      <c r="P334" s="705" t="s">
        <v>579</v>
      </c>
      <c r="Q334" s="610" t="s">
        <v>2812</v>
      </c>
    </row>
    <row r="335" spans="2:17" ht="15" thickBot="1" x14ac:dyDescent="0.35">
      <c r="B335" s="647" t="str">
        <f t="shared" si="10"/>
        <v>Slide on na eurošroub H4</v>
      </c>
      <c r="M335" s="715" t="s">
        <v>219</v>
      </c>
      <c r="N335" s="632" t="s">
        <v>440</v>
      </c>
      <c r="O335" s="705" t="s">
        <v>504</v>
      </c>
      <c r="P335" s="705" t="s">
        <v>580</v>
      </c>
      <c r="Q335" s="610" t="s">
        <v>2813</v>
      </c>
    </row>
    <row r="336" spans="2:17" ht="15" thickBot="1" x14ac:dyDescent="0.35">
      <c r="B336" s="647" t="str">
        <f t="shared" si="10"/>
        <v>Naložený clip</v>
      </c>
      <c r="M336" s="715" t="s">
        <v>121</v>
      </c>
      <c r="N336" s="632" t="s">
        <v>121</v>
      </c>
      <c r="O336" s="705" t="s">
        <v>488</v>
      </c>
      <c r="P336" s="705" t="s">
        <v>564</v>
      </c>
      <c r="Q336" s="610" t="s">
        <v>2799</v>
      </c>
    </row>
    <row r="337" spans="2:17" ht="15" thickBot="1" x14ac:dyDescent="0.35">
      <c r="B337" s="647" t="str">
        <f t="shared" si="10"/>
        <v>Polonaložený clip</v>
      </c>
      <c r="M337" s="715" t="s">
        <v>122</v>
      </c>
      <c r="N337" s="632" t="s">
        <v>122</v>
      </c>
      <c r="O337" s="705" t="s">
        <v>489</v>
      </c>
      <c r="P337" s="705" t="s">
        <v>2507</v>
      </c>
      <c r="Q337" s="610" t="s">
        <v>2800</v>
      </c>
    </row>
    <row r="338" spans="2:17" ht="15" thickBot="1" x14ac:dyDescent="0.35">
      <c r="B338" s="647" t="str">
        <f t="shared" si="10"/>
        <v>Vložený clip</v>
      </c>
      <c r="M338" s="715" t="s">
        <v>123</v>
      </c>
      <c r="N338" s="632" t="s">
        <v>123</v>
      </c>
      <c r="O338" s="705" t="s">
        <v>490</v>
      </c>
      <c r="P338" s="705" t="s">
        <v>2508</v>
      </c>
      <c r="Q338" s="610" t="s">
        <v>2801</v>
      </c>
    </row>
    <row r="339" spans="2:17" ht="15" thickBot="1" x14ac:dyDescent="0.35">
      <c r="B339" s="647" t="str">
        <f t="shared" ref="B339:B402" si="11">IF($D$1=1,M339,IF($D$1=2,N339,IF($D$1=3,O339,IF($D$1=4,P339,IF($D$1=5,Q339,0)))))</f>
        <v>45° clip</v>
      </c>
      <c r="M339" s="715" t="s">
        <v>10</v>
      </c>
      <c r="N339" s="632" t="s">
        <v>447</v>
      </c>
      <c r="O339" s="705" t="s">
        <v>10</v>
      </c>
      <c r="P339" s="705" t="s">
        <v>2514</v>
      </c>
      <c r="Q339" s="610" t="s">
        <v>2823</v>
      </c>
    </row>
    <row r="340" spans="2:17" ht="15" thickBot="1" x14ac:dyDescent="0.35">
      <c r="B340" s="647" t="str">
        <f t="shared" si="11"/>
        <v xml:space="preserve">Strong Plus Clip na eurošroub H0 </v>
      </c>
      <c r="M340" s="715" t="s">
        <v>1703</v>
      </c>
      <c r="N340" s="632" t="s">
        <v>1705</v>
      </c>
      <c r="O340" s="705" t="s">
        <v>1707</v>
      </c>
      <c r="P340" s="705" t="s">
        <v>1709</v>
      </c>
      <c r="Q340" s="610" t="s">
        <v>2866</v>
      </c>
    </row>
    <row r="341" spans="2:17" ht="15" thickBot="1" x14ac:dyDescent="0.35">
      <c r="B341" s="647" t="str">
        <f t="shared" si="11"/>
        <v>Strong Plus Clip na vrut H0</v>
      </c>
      <c r="M341" s="715" t="s">
        <v>1704</v>
      </c>
      <c r="N341" s="632" t="s">
        <v>1706</v>
      </c>
      <c r="O341" s="705" t="s">
        <v>1708</v>
      </c>
      <c r="P341" s="705" t="s">
        <v>1710</v>
      </c>
      <c r="Q341" s="610" t="s">
        <v>2867</v>
      </c>
    </row>
    <row r="342" spans="2:17" ht="15" thickBot="1" x14ac:dyDescent="0.35">
      <c r="B342" s="647" t="str">
        <f t="shared" si="11"/>
        <v>Strong Plus Clip na eurošroub H2</v>
      </c>
      <c r="M342" s="715" t="s">
        <v>1695</v>
      </c>
      <c r="N342" s="632" t="s">
        <v>1696</v>
      </c>
      <c r="O342" s="705" t="s">
        <v>1697</v>
      </c>
      <c r="P342" s="705" t="s">
        <v>1698</v>
      </c>
      <c r="Q342" s="610" t="s">
        <v>2868</v>
      </c>
    </row>
    <row r="343" spans="2:17" ht="15" thickBot="1" x14ac:dyDescent="0.35">
      <c r="B343" s="647" t="str">
        <f t="shared" si="11"/>
        <v>Strong Plus Clip na vrut H2</v>
      </c>
      <c r="M343" s="715" t="s">
        <v>1700</v>
      </c>
      <c r="N343" s="632" t="s">
        <v>1699</v>
      </c>
      <c r="O343" s="705" t="s">
        <v>1701</v>
      </c>
      <c r="P343" s="705" t="s">
        <v>1702</v>
      </c>
      <c r="Q343" s="610" t="s">
        <v>2869</v>
      </c>
    </row>
    <row r="344" spans="2:17" ht="15" thickBot="1" x14ac:dyDescent="0.35">
      <c r="B344" s="647" t="str">
        <f t="shared" si="11"/>
        <v>Naložený clip</v>
      </c>
      <c r="M344" s="715" t="s">
        <v>121</v>
      </c>
      <c r="N344" s="632" t="s">
        <v>121</v>
      </c>
      <c r="O344" s="705" t="s">
        <v>488</v>
      </c>
      <c r="P344" s="705" t="s">
        <v>564</v>
      </c>
      <c r="Q344" s="610" t="s">
        <v>2799</v>
      </c>
    </row>
    <row r="345" spans="2:17" ht="15" thickBot="1" x14ac:dyDescent="0.35">
      <c r="B345" s="647" t="str">
        <f t="shared" si="11"/>
        <v>Naložený clip</v>
      </c>
      <c r="M345" s="715" t="s">
        <v>121</v>
      </c>
      <c r="N345" s="632" t="s">
        <v>121</v>
      </c>
      <c r="O345" s="705" t="s">
        <v>488</v>
      </c>
      <c r="P345" s="705" t="s">
        <v>564</v>
      </c>
      <c r="Q345" s="610" t="s">
        <v>2799</v>
      </c>
    </row>
    <row r="346" spans="2:17" ht="15" thickBot="1" x14ac:dyDescent="0.35">
      <c r="B346" s="647" t="str">
        <f t="shared" si="11"/>
        <v>Polonaložený clip</v>
      </c>
      <c r="M346" s="715" t="s">
        <v>122</v>
      </c>
      <c r="N346" s="632" t="s">
        <v>122</v>
      </c>
      <c r="O346" s="705" t="s">
        <v>489</v>
      </c>
      <c r="P346" s="705" t="s">
        <v>2507</v>
      </c>
      <c r="Q346" s="610" t="s">
        <v>2800</v>
      </c>
    </row>
    <row r="347" spans="2:17" ht="15" thickBot="1" x14ac:dyDescent="0.35">
      <c r="B347" s="647" t="str">
        <f t="shared" si="11"/>
        <v>Vložený clip</v>
      </c>
      <c r="M347" s="715" t="s">
        <v>123</v>
      </c>
      <c r="N347" s="632" t="s">
        <v>123</v>
      </c>
      <c r="O347" s="705" t="s">
        <v>490</v>
      </c>
      <c r="P347" s="705" t="s">
        <v>2508</v>
      </c>
      <c r="Q347" s="610" t="s">
        <v>2801</v>
      </c>
    </row>
    <row r="348" spans="2:17" ht="15" thickBot="1" x14ac:dyDescent="0.35">
      <c r="B348" s="647" t="str">
        <f t="shared" si="11"/>
        <v>45° clip</v>
      </c>
      <c r="M348" s="715" t="s">
        <v>10</v>
      </c>
      <c r="N348" s="632" t="s">
        <v>447</v>
      </c>
      <c r="O348" s="705" t="s">
        <v>10</v>
      </c>
      <c r="P348" s="705" t="s">
        <v>2514</v>
      </c>
      <c r="Q348" s="610" t="s">
        <v>2823</v>
      </c>
    </row>
    <row r="349" spans="2:17" ht="15" thickBot="1" x14ac:dyDescent="0.35">
      <c r="B349" s="647" t="str">
        <f t="shared" si="11"/>
        <v xml:space="preserve">Clip na eurošroub H0 </v>
      </c>
      <c r="M349" s="715" t="s">
        <v>211</v>
      </c>
      <c r="N349" s="632" t="s">
        <v>448</v>
      </c>
      <c r="O349" s="705" t="s">
        <v>513</v>
      </c>
      <c r="P349" s="705" t="s">
        <v>589</v>
      </c>
      <c r="Q349" s="610" t="s">
        <v>2824</v>
      </c>
    </row>
    <row r="350" spans="2:17" ht="15" thickBot="1" x14ac:dyDescent="0.35">
      <c r="B350" s="647" t="str">
        <f t="shared" si="11"/>
        <v>Clip na vrut H0</v>
      </c>
      <c r="M350" s="715" t="s">
        <v>210</v>
      </c>
      <c r="N350" s="632" t="s">
        <v>449</v>
      </c>
      <c r="O350" s="705" t="s">
        <v>514</v>
      </c>
      <c r="P350" s="705" t="s">
        <v>590</v>
      </c>
      <c r="Q350" s="610" t="s">
        <v>2825</v>
      </c>
    </row>
    <row r="351" spans="2:17" ht="15" thickBot="1" x14ac:dyDescent="0.35">
      <c r="B351" s="647" t="str">
        <f t="shared" si="11"/>
        <v>Clip na eurošroub H2</v>
      </c>
      <c r="M351" s="715" t="s">
        <v>214</v>
      </c>
      <c r="N351" s="632" t="s">
        <v>435</v>
      </c>
      <c r="O351" s="705" t="s">
        <v>499</v>
      </c>
      <c r="P351" s="705" t="s">
        <v>575</v>
      </c>
      <c r="Q351" s="610" t="s">
        <v>2808</v>
      </c>
    </row>
    <row r="352" spans="2:17" ht="15" thickBot="1" x14ac:dyDescent="0.35">
      <c r="B352" s="647" t="str">
        <f t="shared" si="11"/>
        <v>Sensys naložený tlumený</v>
      </c>
      <c r="M352" s="715" t="s">
        <v>1035</v>
      </c>
      <c r="N352" s="632" t="s">
        <v>1236</v>
      </c>
      <c r="O352" s="705" t="s">
        <v>1237</v>
      </c>
      <c r="P352" s="705" t="s">
        <v>1238</v>
      </c>
      <c r="Q352" s="610" t="s">
        <v>2870</v>
      </c>
    </row>
    <row r="353" spans="2:17" ht="15" thickBot="1" x14ac:dyDescent="0.35">
      <c r="B353" s="647" t="str">
        <f t="shared" si="11"/>
        <v>Sensys polonaložený tlumený</v>
      </c>
      <c r="M353" s="715" t="s">
        <v>1036</v>
      </c>
      <c r="N353" s="632" t="s">
        <v>1239</v>
      </c>
      <c r="O353" s="705" t="s">
        <v>1240</v>
      </c>
      <c r="P353" s="705" t="s">
        <v>2532</v>
      </c>
      <c r="Q353" s="610" t="s">
        <v>2871</v>
      </c>
    </row>
    <row r="354" spans="2:17" ht="15" thickBot="1" x14ac:dyDescent="0.35">
      <c r="B354" s="647" t="str">
        <f t="shared" si="11"/>
        <v>Sensys vložený tlumený</v>
      </c>
      <c r="M354" s="715" t="s">
        <v>1037</v>
      </c>
      <c r="N354" s="632" t="s">
        <v>1242</v>
      </c>
      <c r="O354" s="705" t="s">
        <v>1243</v>
      </c>
      <c r="P354" s="705" t="s">
        <v>2533</v>
      </c>
      <c r="Q354" s="610" t="s">
        <v>2872</v>
      </c>
    </row>
    <row r="355" spans="2:17" ht="15" thickBot="1" x14ac:dyDescent="0.35">
      <c r="B355" s="647" t="str">
        <f t="shared" si="11"/>
        <v>Sensys příložný tlumený</v>
      </c>
      <c r="M355" s="715" t="s">
        <v>1039</v>
      </c>
      <c r="N355" s="632" t="s">
        <v>1245</v>
      </c>
      <c r="O355" s="705" t="s">
        <v>1246</v>
      </c>
      <c r="P355" s="705" t="s">
        <v>1247</v>
      </c>
      <c r="Q355" s="610" t="s">
        <v>2873</v>
      </c>
    </row>
    <row r="356" spans="2:17" ht="15" thickBot="1" x14ac:dyDescent="0.35">
      <c r="B356" s="647" t="str">
        <f t="shared" si="11"/>
        <v>Sensys naložený netlumený</v>
      </c>
      <c r="M356" s="715" t="s">
        <v>1041</v>
      </c>
      <c r="N356" s="632" t="s">
        <v>1248</v>
      </c>
      <c r="O356" s="705" t="s">
        <v>1249</v>
      </c>
      <c r="P356" s="705" t="s">
        <v>1250</v>
      </c>
      <c r="Q356" s="610" t="s">
        <v>2874</v>
      </c>
    </row>
    <row r="357" spans="2:17" ht="15" thickBot="1" x14ac:dyDescent="0.35">
      <c r="B357" s="647" t="str">
        <f t="shared" si="11"/>
        <v>Intermat naložený</v>
      </c>
      <c r="M357" s="715" t="s">
        <v>1044</v>
      </c>
      <c r="N357" s="632" t="s">
        <v>1044</v>
      </c>
      <c r="O357" s="705" t="s">
        <v>1251</v>
      </c>
      <c r="P357" s="705" t="s">
        <v>1252</v>
      </c>
      <c r="Q357" s="610" t="s">
        <v>2875</v>
      </c>
    </row>
    <row r="358" spans="2:17" ht="15" thickBot="1" x14ac:dyDescent="0.35">
      <c r="B358" s="647" t="str">
        <f t="shared" si="11"/>
        <v>Intermat naložený 125°</v>
      </c>
      <c r="M358" s="715" t="s">
        <v>1045</v>
      </c>
      <c r="N358" s="632" t="s">
        <v>1045</v>
      </c>
      <c r="O358" s="705" t="s">
        <v>1253</v>
      </c>
      <c r="P358" s="705" t="s">
        <v>1254</v>
      </c>
      <c r="Q358" s="610" t="s">
        <v>2876</v>
      </c>
    </row>
    <row r="359" spans="2:17" ht="15" thickBot="1" x14ac:dyDescent="0.35">
      <c r="B359" s="647" t="str">
        <f t="shared" si="11"/>
        <v>Intermat polonaložený</v>
      </c>
      <c r="M359" s="715" t="s">
        <v>1046</v>
      </c>
      <c r="N359" s="632" t="s">
        <v>1046</v>
      </c>
      <c r="O359" s="705" t="s">
        <v>1255</v>
      </c>
      <c r="P359" s="705" t="s">
        <v>2534</v>
      </c>
      <c r="Q359" s="610" t="s">
        <v>2877</v>
      </c>
    </row>
    <row r="360" spans="2:17" ht="15" thickBot="1" x14ac:dyDescent="0.35">
      <c r="B360" s="647" t="str">
        <f t="shared" si="11"/>
        <v>Intermat vložený</v>
      </c>
      <c r="M360" s="715" t="s">
        <v>1047</v>
      </c>
      <c r="N360" s="632" t="s">
        <v>1047</v>
      </c>
      <c r="O360" s="705" t="s">
        <v>1257</v>
      </c>
      <c r="P360" s="705" t="s">
        <v>2535</v>
      </c>
      <c r="Q360" s="610" t="s">
        <v>2710</v>
      </c>
    </row>
    <row r="361" spans="2:17" ht="15" thickBot="1" x14ac:dyDescent="0.35">
      <c r="B361" s="647" t="str">
        <f t="shared" si="11"/>
        <v>Intermat příložný</v>
      </c>
      <c r="M361" s="715" t="s">
        <v>1053</v>
      </c>
      <c r="N361" s="632" t="s">
        <v>1259</v>
      </c>
      <c r="O361" s="705" t="s">
        <v>1260</v>
      </c>
      <c r="P361" s="705" t="s">
        <v>1261</v>
      </c>
      <c r="Q361" s="610" t="s">
        <v>2878</v>
      </c>
    </row>
    <row r="362" spans="2:17" ht="15" thickBot="1" x14ac:dyDescent="0.35">
      <c r="B362" s="647" t="str">
        <f t="shared" si="11"/>
        <v>Sensys naložený bez tlumení</v>
      </c>
      <c r="M362" s="715" t="s">
        <v>1080</v>
      </c>
      <c r="N362" s="632" t="s">
        <v>1262</v>
      </c>
      <c r="O362" s="705" t="s">
        <v>1249</v>
      </c>
      <c r="P362" s="705" t="s">
        <v>1250</v>
      </c>
      <c r="Q362" s="610" t="s">
        <v>2879</v>
      </c>
    </row>
    <row r="363" spans="2:17" ht="15" thickBot="1" x14ac:dyDescent="0.35">
      <c r="B363" s="647" t="str">
        <f t="shared" si="11"/>
        <v>Sensys vložený bez tlumení</v>
      </c>
      <c r="M363" s="715" t="s">
        <v>1081</v>
      </c>
      <c r="N363" s="632" t="s">
        <v>1263</v>
      </c>
      <c r="O363" s="705" t="s">
        <v>1264</v>
      </c>
      <c r="P363" s="705" t="s">
        <v>2536</v>
      </c>
      <c r="Q363" s="610" t="s">
        <v>2880</v>
      </c>
    </row>
    <row r="364" spans="2:17" ht="15" thickBot="1" x14ac:dyDescent="0.35">
      <c r="B364" s="647" t="str">
        <f t="shared" si="11"/>
        <v>Sensys naložený tlumený</v>
      </c>
      <c r="M364" s="715" t="s">
        <v>1035</v>
      </c>
      <c r="N364" s="632" t="s">
        <v>1236</v>
      </c>
      <c r="O364" s="705" t="s">
        <v>1237</v>
      </c>
      <c r="P364" s="705" t="s">
        <v>1238</v>
      </c>
      <c r="Q364" s="610" t="s">
        <v>2870</v>
      </c>
    </row>
    <row r="365" spans="2:17" ht="15" thickBot="1" x14ac:dyDescent="0.35">
      <c r="B365" s="647" t="str">
        <f t="shared" si="11"/>
        <v>Sensys vložený tlumený</v>
      </c>
      <c r="M365" s="715" t="s">
        <v>1037</v>
      </c>
      <c r="N365" s="632" t="s">
        <v>1242</v>
      </c>
      <c r="O365" s="705" t="s">
        <v>1243</v>
      </c>
      <c r="P365" s="705" t="s">
        <v>2533</v>
      </c>
      <c r="Q365" s="610" t="s">
        <v>2872</v>
      </c>
    </row>
    <row r="366" spans="2:17" ht="15" thickBot="1" x14ac:dyDescent="0.35">
      <c r="B366" s="647" t="str">
        <f t="shared" si="11"/>
        <v>Intermat naložený</v>
      </c>
      <c r="M366" s="715" t="s">
        <v>1044</v>
      </c>
      <c r="N366" s="632" t="s">
        <v>1044</v>
      </c>
      <c r="O366" s="705" t="s">
        <v>1251</v>
      </c>
      <c r="P366" s="705" t="s">
        <v>1252</v>
      </c>
      <c r="Q366" s="610" t="s">
        <v>2875</v>
      </c>
    </row>
    <row r="367" spans="2:17" ht="15" thickBot="1" x14ac:dyDescent="0.35">
      <c r="B367" s="647" t="str">
        <f t="shared" si="11"/>
        <v>Intermat vložený</v>
      </c>
      <c r="M367" s="715" t="s">
        <v>1047</v>
      </c>
      <c r="N367" s="632" t="s">
        <v>1047</v>
      </c>
      <c r="O367" s="705" t="s">
        <v>1257</v>
      </c>
      <c r="P367" s="705" t="s">
        <v>2535</v>
      </c>
      <c r="Q367" s="610" t="s">
        <v>2710</v>
      </c>
    </row>
    <row r="368" spans="2:17" ht="15" thickBot="1" x14ac:dyDescent="0.35">
      <c r="B368" s="647" t="str">
        <f t="shared" si="11"/>
        <v>podložka na vrut</v>
      </c>
      <c r="M368" s="715" t="s">
        <v>1192</v>
      </c>
      <c r="N368" s="632" t="s">
        <v>1192</v>
      </c>
      <c r="O368" s="705" t="s">
        <v>1266</v>
      </c>
      <c r="P368" s="705" t="s">
        <v>1267</v>
      </c>
      <c r="Q368" s="610" t="s">
        <v>2881</v>
      </c>
    </row>
    <row r="369" spans="2:17" ht="15" thickBot="1" x14ac:dyDescent="0.35">
      <c r="B369" s="647" t="str">
        <f t="shared" si="11"/>
        <v>podložka na Eurovrut</v>
      </c>
      <c r="M369" s="715" t="s">
        <v>1060</v>
      </c>
      <c r="N369" s="632" t="s">
        <v>1060</v>
      </c>
      <c r="O369" s="705" t="s">
        <v>1268</v>
      </c>
      <c r="P369" s="705" t="s">
        <v>1269</v>
      </c>
      <c r="Q369" s="610" t="s">
        <v>2882</v>
      </c>
    </row>
    <row r="370" spans="2:17" ht="15" thickBot="1" x14ac:dyDescent="0.35">
      <c r="B370" s="647" t="str">
        <f t="shared" si="11"/>
        <v>podložka na rozpěrnou hmoždinku</v>
      </c>
      <c r="M370" s="715" t="s">
        <v>1061</v>
      </c>
      <c r="N370" s="632" t="s">
        <v>1270</v>
      </c>
      <c r="O370" s="705" t="s">
        <v>1271</v>
      </c>
      <c r="P370" s="705" t="s">
        <v>1272</v>
      </c>
      <c r="Q370" s="610" t="s">
        <v>2883</v>
      </c>
    </row>
    <row r="371" spans="2:17" ht="15" thickBot="1" x14ac:dyDescent="0.35">
      <c r="B371" s="647" t="str">
        <f t="shared" si="11"/>
        <v>naložený clip</v>
      </c>
      <c r="M371" s="715" t="s">
        <v>1193</v>
      </c>
      <c r="N371" s="632" t="s">
        <v>121</v>
      </c>
      <c r="O371" s="705" t="s">
        <v>488</v>
      </c>
      <c r="P371" s="705" t="s">
        <v>564</v>
      </c>
      <c r="Q371" s="610" t="s">
        <v>2799</v>
      </c>
    </row>
    <row r="372" spans="2:17" ht="15" thickBot="1" x14ac:dyDescent="0.35">
      <c r="B372" s="647" t="str">
        <f t="shared" si="11"/>
        <v>polonaložený clip</v>
      </c>
      <c r="M372" s="715" t="s">
        <v>1194</v>
      </c>
      <c r="N372" s="632" t="s">
        <v>122</v>
      </c>
      <c r="O372" s="705" t="s">
        <v>489</v>
      </c>
      <c r="P372" s="705" t="s">
        <v>2507</v>
      </c>
      <c r="Q372" s="610" t="s">
        <v>2800</v>
      </c>
    </row>
    <row r="373" spans="2:17" ht="15" thickBot="1" x14ac:dyDescent="0.35">
      <c r="B373" s="647" t="str">
        <f t="shared" si="11"/>
        <v>Vložený clip</v>
      </c>
      <c r="M373" s="715" t="s">
        <v>123</v>
      </c>
      <c r="N373" s="632" t="s">
        <v>123</v>
      </c>
      <c r="O373" s="705" t="s">
        <v>490</v>
      </c>
      <c r="P373" s="705" t="s">
        <v>2508</v>
      </c>
      <c r="Q373" s="610" t="s">
        <v>2801</v>
      </c>
    </row>
    <row r="374" spans="2:17" ht="15" thickBot="1" x14ac:dyDescent="0.35">
      <c r="B374" s="647" t="str">
        <f t="shared" si="11"/>
        <v>naložený s tlumením clip 110°</v>
      </c>
      <c r="M374" s="715" t="s">
        <v>1065</v>
      </c>
      <c r="N374" s="632" t="s">
        <v>1273</v>
      </c>
      <c r="O374" s="705" t="s">
        <v>1274</v>
      </c>
      <c r="P374" s="705" t="s">
        <v>1568</v>
      </c>
      <c r="Q374" s="610" t="s">
        <v>2884</v>
      </c>
    </row>
    <row r="375" spans="2:17" ht="15" thickBot="1" x14ac:dyDescent="0.35">
      <c r="B375" s="647" t="str">
        <f t="shared" si="11"/>
        <v>polonaložený s tlumením clip 110°</v>
      </c>
      <c r="M375" s="715" t="s">
        <v>1066</v>
      </c>
      <c r="N375" s="632" t="s">
        <v>1275</v>
      </c>
      <c r="O375" s="705" t="s">
        <v>1276</v>
      </c>
      <c r="P375" s="705" t="s">
        <v>2537</v>
      </c>
      <c r="Q375" s="610" t="s">
        <v>2885</v>
      </c>
    </row>
    <row r="376" spans="2:17" ht="15" thickBot="1" x14ac:dyDescent="0.35">
      <c r="B376" s="647" t="str">
        <f t="shared" si="11"/>
        <v>vložený s tlumením clip 110°</v>
      </c>
      <c r="M376" s="715" t="s">
        <v>1067</v>
      </c>
      <c r="N376" s="632" t="s">
        <v>1277</v>
      </c>
      <c r="O376" s="705" t="s">
        <v>1278</v>
      </c>
      <c r="P376" s="705" t="s">
        <v>2538</v>
      </c>
      <c r="Q376" s="610" t="s">
        <v>2886</v>
      </c>
    </row>
    <row r="377" spans="2:17" ht="15" thickBot="1" x14ac:dyDescent="0.35">
      <c r="B377" s="647" t="str">
        <f t="shared" si="11"/>
        <v>naložený bez tlumení clip 110°</v>
      </c>
      <c r="M377" s="715" t="s">
        <v>1068</v>
      </c>
      <c r="N377" s="632" t="s">
        <v>1279</v>
      </c>
      <c r="O377" s="705" t="s">
        <v>1280</v>
      </c>
      <c r="P377" s="705" t="s">
        <v>1570</v>
      </c>
      <c r="Q377" s="610" t="s">
        <v>2887</v>
      </c>
    </row>
    <row r="378" spans="2:17" ht="15" thickBot="1" x14ac:dyDescent="0.35">
      <c r="B378" s="647" t="str">
        <f t="shared" si="11"/>
        <v>polonaložený bez tlumení clip 110°</v>
      </c>
      <c r="M378" s="715" t="s">
        <v>1069</v>
      </c>
      <c r="N378" s="632" t="s">
        <v>1281</v>
      </c>
      <c r="O378" s="705" t="s">
        <v>1282</v>
      </c>
      <c r="P378" s="705" t="s">
        <v>2539</v>
      </c>
      <c r="Q378" s="610" t="s">
        <v>2888</v>
      </c>
    </row>
    <row r="379" spans="2:17" ht="15" thickBot="1" x14ac:dyDescent="0.35">
      <c r="B379" s="647" t="str">
        <f t="shared" si="11"/>
        <v>vložený bez tlumení clip 110°</v>
      </c>
      <c r="M379" s="715" t="s">
        <v>1070</v>
      </c>
      <c r="N379" s="632" t="s">
        <v>1283</v>
      </c>
      <c r="O379" s="705" t="s">
        <v>1284</v>
      </c>
      <c r="P379" s="705" t="s">
        <v>1594</v>
      </c>
      <c r="Q379" s="610" t="s">
        <v>2889</v>
      </c>
    </row>
    <row r="380" spans="2:17" ht="15" thickBot="1" x14ac:dyDescent="0.35">
      <c r="B380" s="647" t="str">
        <f t="shared" si="11"/>
        <v>naložený TIP-ON clip 110°</v>
      </c>
      <c r="M380" s="715" t="s">
        <v>1071</v>
      </c>
      <c r="N380" s="632" t="s">
        <v>1071</v>
      </c>
      <c r="O380" s="705" t="s">
        <v>1285</v>
      </c>
      <c r="P380" s="705" t="s">
        <v>1572</v>
      </c>
      <c r="Q380" s="610" t="s">
        <v>2890</v>
      </c>
    </row>
    <row r="381" spans="2:17" ht="15" thickBot="1" x14ac:dyDescent="0.35">
      <c r="B381" s="647" t="str">
        <f t="shared" si="11"/>
        <v>polonaložený TIP-ON clip 110°</v>
      </c>
      <c r="M381" s="715" t="s">
        <v>1072</v>
      </c>
      <c r="N381" s="632" t="s">
        <v>1072</v>
      </c>
      <c r="O381" s="705" t="s">
        <v>1286</v>
      </c>
      <c r="P381" s="705" t="s">
        <v>2540</v>
      </c>
      <c r="Q381" s="610" t="s">
        <v>2891</v>
      </c>
    </row>
    <row r="382" spans="2:17" ht="15" thickBot="1" x14ac:dyDescent="0.35">
      <c r="B382" s="647" t="str">
        <f t="shared" si="11"/>
        <v>vložený TIP-ON clip 110°</v>
      </c>
      <c r="M382" s="715" t="s">
        <v>1073</v>
      </c>
      <c r="N382" s="632" t="s">
        <v>1073</v>
      </c>
      <c r="O382" s="705" t="s">
        <v>1287</v>
      </c>
      <c r="P382" s="705" t="s">
        <v>2541</v>
      </c>
      <c r="Q382" s="610" t="s">
        <v>2892</v>
      </c>
    </row>
    <row r="383" spans="2:17" ht="15" thickBot="1" x14ac:dyDescent="0.35">
      <c r="B383" s="647" t="str">
        <f t="shared" si="11"/>
        <v>naložený clip</v>
      </c>
      <c r="M383" s="715" t="s">
        <v>1193</v>
      </c>
      <c r="N383" s="632" t="s">
        <v>121</v>
      </c>
      <c r="O383" s="705" t="s">
        <v>488</v>
      </c>
      <c r="P383" s="705" t="s">
        <v>564</v>
      </c>
      <c r="Q383" s="610" t="s">
        <v>2799</v>
      </c>
    </row>
    <row r="384" spans="2:17" ht="15" thickBot="1" x14ac:dyDescent="0.35">
      <c r="B384" s="647" t="str">
        <f t="shared" si="11"/>
        <v>polonaložený clip</v>
      </c>
      <c r="M384" s="715" t="s">
        <v>1194</v>
      </c>
      <c r="N384" s="632" t="s">
        <v>122</v>
      </c>
      <c r="O384" s="705" t="s">
        <v>489</v>
      </c>
      <c r="P384" s="705" t="s">
        <v>2507</v>
      </c>
      <c r="Q384" s="610" t="s">
        <v>2800</v>
      </c>
    </row>
    <row r="385" spans="2:17" ht="15" thickBot="1" x14ac:dyDescent="0.35">
      <c r="B385" s="647" t="str">
        <f t="shared" si="11"/>
        <v>Vložený clip</v>
      </c>
      <c r="M385" s="715" t="s">
        <v>123</v>
      </c>
      <c r="N385" s="632" t="s">
        <v>123</v>
      </c>
      <c r="O385" s="705" t="s">
        <v>490</v>
      </c>
      <c r="P385" s="705" t="s">
        <v>2508</v>
      </c>
      <c r="Q385" s="610" t="s">
        <v>2801</v>
      </c>
    </row>
    <row r="386" spans="2:17" ht="15" thickBot="1" x14ac:dyDescent="0.35">
      <c r="B386" s="647" t="str">
        <f t="shared" si="11"/>
        <v>naložený s tlumením clip 95°</v>
      </c>
      <c r="M386" s="715" t="s">
        <v>1075</v>
      </c>
      <c r="N386" s="632" t="s">
        <v>1288</v>
      </c>
      <c r="O386" s="705" t="s">
        <v>1289</v>
      </c>
      <c r="P386" s="705" t="s">
        <v>1574</v>
      </c>
      <c r="Q386" s="610" t="s">
        <v>2893</v>
      </c>
    </row>
    <row r="387" spans="2:17" ht="15" thickBot="1" x14ac:dyDescent="0.35">
      <c r="B387" s="647" t="str">
        <f t="shared" si="11"/>
        <v>polonaložený s tlumením clip 95°</v>
      </c>
      <c r="M387" s="715" t="s">
        <v>1076</v>
      </c>
      <c r="N387" s="632" t="s">
        <v>1290</v>
      </c>
      <c r="O387" s="705" t="s">
        <v>1291</v>
      </c>
      <c r="P387" s="705" t="s">
        <v>2542</v>
      </c>
      <c r="Q387" s="610" t="s">
        <v>2894</v>
      </c>
    </row>
    <row r="388" spans="2:17" ht="15" thickBot="1" x14ac:dyDescent="0.35">
      <c r="B388" s="647" t="str">
        <f t="shared" si="11"/>
        <v>vložený s tlumením clip 95°</v>
      </c>
      <c r="M388" s="715" t="s">
        <v>1077</v>
      </c>
      <c r="N388" s="632" t="s">
        <v>1292</v>
      </c>
      <c r="O388" s="705" t="s">
        <v>1293</v>
      </c>
      <c r="P388" s="705" t="s">
        <v>2543</v>
      </c>
      <c r="Q388" s="610" t="s">
        <v>2895</v>
      </c>
    </row>
    <row r="389" spans="2:17" ht="15" thickBot="1" x14ac:dyDescent="0.35">
      <c r="B389" s="647" t="str">
        <f t="shared" si="11"/>
        <v>naložený TIP-ON clip 95°</v>
      </c>
      <c r="M389" s="715" t="s">
        <v>1078</v>
      </c>
      <c r="N389" s="632" t="s">
        <v>1078</v>
      </c>
      <c r="O389" s="705" t="s">
        <v>1294</v>
      </c>
      <c r="P389" s="705" t="s">
        <v>1576</v>
      </c>
      <c r="Q389" s="610" t="s">
        <v>2896</v>
      </c>
    </row>
    <row r="390" spans="2:17" ht="15" thickBot="1" x14ac:dyDescent="0.35">
      <c r="B390" s="647" t="str">
        <f t="shared" si="11"/>
        <v>naložený TIP-ON clip 120°</v>
      </c>
      <c r="M390" s="715" t="s">
        <v>1079</v>
      </c>
      <c r="N390" s="632" t="s">
        <v>1079</v>
      </c>
      <c r="O390" s="705" t="s">
        <v>1295</v>
      </c>
      <c r="P390" s="705" t="s">
        <v>1577</v>
      </c>
      <c r="Q390" s="610" t="s">
        <v>2897</v>
      </c>
    </row>
    <row r="391" spans="2:17" ht="15" thickBot="1" x14ac:dyDescent="0.35">
      <c r="B391" s="647" t="str">
        <f t="shared" si="11"/>
        <v>Clip na eurošroub</v>
      </c>
      <c r="M391" s="715" t="s">
        <v>208</v>
      </c>
      <c r="N391" s="632" t="s">
        <v>444</v>
      </c>
      <c r="O391" s="705" t="s">
        <v>510</v>
      </c>
      <c r="P391" s="705" t="s">
        <v>586</v>
      </c>
      <c r="Q391" s="610" t="s">
        <v>2821</v>
      </c>
    </row>
    <row r="392" spans="2:17" ht="15" thickBot="1" x14ac:dyDescent="0.35">
      <c r="B392" s="647" t="str">
        <f t="shared" si="11"/>
        <v>Clip na vrut</v>
      </c>
      <c r="M392" s="715" t="s">
        <v>207</v>
      </c>
      <c r="N392" s="632" t="s">
        <v>445</v>
      </c>
      <c r="O392" s="705" t="s">
        <v>511</v>
      </c>
      <c r="P392" s="705" t="s">
        <v>587</v>
      </c>
      <c r="Q392" s="610" t="s">
        <v>2822</v>
      </c>
    </row>
    <row r="393" spans="2:17" ht="15" thickBot="1" x14ac:dyDescent="0.35">
      <c r="B393" s="647" t="str">
        <f t="shared" si="11"/>
        <v xml:space="preserve">Zvýšená o 6 mm </v>
      </c>
      <c r="M393" s="715" t="s">
        <v>209</v>
      </c>
      <c r="N393" s="632" t="s">
        <v>446</v>
      </c>
      <c r="O393" s="705" t="s">
        <v>2597</v>
      </c>
      <c r="P393" s="705" t="s">
        <v>588</v>
      </c>
      <c r="Q393" s="610" t="s">
        <v>1867</v>
      </c>
    </row>
    <row r="394" spans="2:17" ht="15" thickBot="1" x14ac:dyDescent="0.35">
      <c r="B394" s="647" t="str">
        <f t="shared" si="11"/>
        <v>naložený k nasunutí</v>
      </c>
      <c r="M394" s="610" t="s">
        <v>1170</v>
      </c>
      <c r="N394" s="632" t="s">
        <v>1296</v>
      </c>
      <c r="O394" s="705" t="s">
        <v>1297</v>
      </c>
      <c r="P394" s="705" t="s">
        <v>2544</v>
      </c>
      <c r="Q394" s="610" t="s">
        <v>2898</v>
      </c>
    </row>
    <row r="395" spans="2:17" ht="15" thickBot="1" x14ac:dyDescent="0.35">
      <c r="B395" s="647" t="str">
        <f t="shared" si="11"/>
        <v>polonaložený k nasunutí</v>
      </c>
      <c r="M395" s="610" t="s">
        <v>1171</v>
      </c>
      <c r="N395" s="632" t="s">
        <v>1299</v>
      </c>
      <c r="O395" s="705" t="s">
        <v>1300</v>
      </c>
      <c r="P395" s="705" t="s">
        <v>2545</v>
      </c>
      <c r="Q395" s="610" t="s">
        <v>2899</v>
      </c>
    </row>
    <row r="396" spans="2:17" ht="15" thickBot="1" x14ac:dyDescent="0.35">
      <c r="B396" s="647" t="str">
        <f t="shared" si="11"/>
        <v>vložený k nasunutí</v>
      </c>
      <c r="M396" s="632" t="s">
        <v>1172</v>
      </c>
      <c r="N396" s="632" t="s">
        <v>1302</v>
      </c>
      <c r="O396" s="705" t="s">
        <v>1303</v>
      </c>
      <c r="P396" s="705" t="s">
        <v>2546</v>
      </c>
      <c r="Q396" s="610" t="s">
        <v>2900</v>
      </c>
    </row>
    <row r="397" spans="2:17" ht="15" thickBot="1" x14ac:dyDescent="0.35">
      <c r="B397" s="647" t="str">
        <f t="shared" si="11"/>
        <v>STRONG 30N bílý Automatický</v>
      </c>
      <c r="M397" s="632" t="s">
        <v>1087</v>
      </c>
      <c r="N397" s="632" t="s">
        <v>1305</v>
      </c>
      <c r="O397" s="705" t="s">
        <v>1306</v>
      </c>
      <c r="P397" s="705" t="s">
        <v>1307</v>
      </c>
      <c r="Q397" s="610" t="s">
        <v>1998</v>
      </c>
    </row>
    <row r="398" spans="2:17" ht="15" thickBot="1" x14ac:dyDescent="0.35">
      <c r="B398" s="647" t="str">
        <f t="shared" si="11"/>
        <v>STRONG 60N bílý Automatický</v>
      </c>
      <c r="M398" s="632" t="s">
        <v>1089</v>
      </c>
      <c r="N398" s="632" t="s">
        <v>1308</v>
      </c>
      <c r="O398" s="705" t="s">
        <v>1309</v>
      </c>
      <c r="P398" s="705" t="s">
        <v>1310</v>
      </c>
      <c r="Q398" s="610" t="s">
        <v>1999</v>
      </c>
    </row>
    <row r="399" spans="2:17" ht="15" thickBot="1" x14ac:dyDescent="0.35">
      <c r="B399" s="647" t="str">
        <f t="shared" si="11"/>
        <v>STRONG 80N bílý Automatický</v>
      </c>
      <c r="M399" s="632" t="s">
        <v>1091</v>
      </c>
      <c r="N399" s="632" t="s">
        <v>1311</v>
      </c>
      <c r="O399" s="705" t="s">
        <v>1312</v>
      </c>
      <c r="P399" s="705" t="s">
        <v>1313</v>
      </c>
      <c r="Q399" s="610" t="s">
        <v>2000</v>
      </c>
    </row>
    <row r="400" spans="2:17" ht="15" thickBot="1" x14ac:dyDescent="0.35">
      <c r="B400" s="647" t="str">
        <f t="shared" si="11"/>
        <v>STRONG 100N bílý Automatický</v>
      </c>
      <c r="M400" s="632" t="s">
        <v>1093</v>
      </c>
      <c r="N400" s="632" t="s">
        <v>1314</v>
      </c>
      <c r="O400" s="705" t="s">
        <v>1315</v>
      </c>
      <c r="P400" s="705" t="s">
        <v>1316</v>
      </c>
      <c r="Q400" s="610" t="s">
        <v>2001</v>
      </c>
    </row>
    <row r="401" spans="2:17" ht="15" thickBot="1" x14ac:dyDescent="0.35">
      <c r="B401" s="647" t="str">
        <f t="shared" si="11"/>
        <v>STRONG 120N bílý Automatický</v>
      </c>
      <c r="M401" s="632" t="s">
        <v>1095</v>
      </c>
      <c r="N401" s="632" t="s">
        <v>1317</v>
      </c>
      <c r="O401" s="705" t="s">
        <v>1318</v>
      </c>
      <c r="P401" s="705" t="s">
        <v>1319</v>
      </c>
      <c r="Q401" s="610" t="s">
        <v>2002</v>
      </c>
    </row>
    <row r="402" spans="2:17" ht="15" thickBot="1" x14ac:dyDescent="0.35">
      <c r="B402" s="647" t="str">
        <f t="shared" si="11"/>
        <v>STRONG 60N bílý Polohovací</v>
      </c>
      <c r="M402" s="632" t="s">
        <v>1097</v>
      </c>
      <c r="N402" s="632" t="s">
        <v>1320</v>
      </c>
      <c r="O402" s="705" t="s">
        <v>1321</v>
      </c>
      <c r="P402" s="705" t="s">
        <v>1322</v>
      </c>
      <c r="Q402" s="610" t="s">
        <v>2901</v>
      </c>
    </row>
    <row r="403" spans="2:17" ht="15" thickBot="1" x14ac:dyDescent="0.35">
      <c r="B403" s="647" t="str">
        <f t="shared" ref="B403:B466" si="12">IF($D$1=1,M403,IF($D$1=2,N403,IF($D$1=3,O403,IF($D$1=4,P403,IF($D$1=5,Q403,0)))))</f>
        <v>STRONG 80N bílý Polohovací</v>
      </c>
      <c r="M403" s="632" t="s">
        <v>1099</v>
      </c>
      <c r="N403" s="632" t="s">
        <v>1323</v>
      </c>
      <c r="O403" s="705" t="s">
        <v>1324</v>
      </c>
      <c r="P403" s="705" t="s">
        <v>1325</v>
      </c>
      <c r="Q403" s="610" t="s">
        <v>2902</v>
      </c>
    </row>
    <row r="404" spans="2:17" ht="15" thickBot="1" x14ac:dyDescent="0.35">
      <c r="B404" s="647" t="str">
        <f t="shared" si="12"/>
        <v>STRONG 100N bílý Polohovací</v>
      </c>
      <c r="M404" s="632" t="s">
        <v>1101</v>
      </c>
      <c r="N404" s="632" t="s">
        <v>1326</v>
      </c>
      <c r="O404" s="705" t="s">
        <v>1327</v>
      </c>
      <c r="P404" s="705" t="s">
        <v>1328</v>
      </c>
      <c r="Q404" s="610" t="s">
        <v>2903</v>
      </c>
    </row>
    <row r="405" spans="2:17" ht="15" thickBot="1" x14ac:dyDescent="0.35">
      <c r="B405" s="647" t="str">
        <f t="shared" si="12"/>
        <v>STRONG 120N bílý Polohovací</v>
      </c>
      <c r="M405" s="632" t="s">
        <v>1103</v>
      </c>
      <c r="N405" s="632" t="s">
        <v>1329</v>
      </c>
      <c r="O405" s="705" t="s">
        <v>1330</v>
      </c>
      <c r="P405" s="705" t="s">
        <v>1331</v>
      </c>
      <c r="Q405" s="610" t="s">
        <v>2904</v>
      </c>
    </row>
    <row r="406" spans="2:17" ht="15" thickBot="1" x14ac:dyDescent="0.35">
      <c r="B406" s="647" t="str">
        <f t="shared" si="12"/>
        <v>STRONG 30N šedý Automatický</v>
      </c>
      <c r="M406" s="632" t="s">
        <v>1105</v>
      </c>
      <c r="N406" s="632" t="s">
        <v>1105</v>
      </c>
      <c r="O406" s="705" t="s">
        <v>1332</v>
      </c>
      <c r="P406" s="705" t="s">
        <v>1333</v>
      </c>
      <c r="Q406" s="610" t="s">
        <v>2711</v>
      </c>
    </row>
    <row r="407" spans="2:17" ht="15" thickBot="1" x14ac:dyDescent="0.35">
      <c r="B407" s="647" t="str">
        <f t="shared" si="12"/>
        <v>STRONG 60N šedý Automatický</v>
      </c>
      <c r="M407" s="632" t="s">
        <v>1107</v>
      </c>
      <c r="N407" s="632" t="s">
        <v>1107</v>
      </c>
      <c r="O407" s="705" t="s">
        <v>1334</v>
      </c>
      <c r="P407" s="705" t="s">
        <v>1335</v>
      </c>
      <c r="Q407" s="610" t="s">
        <v>2008</v>
      </c>
    </row>
    <row r="408" spans="2:17" ht="15" thickBot="1" x14ac:dyDescent="0.35">
      <c r="B408" s="647" t="str">
        <f t="shared" si="12"/>
        <v>STRONG 80N šedý Automatický</v>
      </c>
      <c r="M408" s="632" t="s">
        <v>1109</v>
      </c>
      <c r="N408" s="632" t="s">
        <v>1109</v>
      </c>
      <c r="O408" s="705" t="s">
        <v>1336</v>
      </c>
      <c r="P408" s="705" t="s">
        <v>1337</v>
      </c>
      <c r="Q408" s="610" t="s">
        <v>2712</v>
      </c>
    </row>
    <row r="409" spans="2:17" ht="15" thickBot="1" x14ac:dyDescent="0.35">
      <c r="B409" s="647" t="str">
        <f t="shared" si="12"/>
        <v>STRONG 100N šedý Automatický</v>
      </c>
      <c r="M409" s="632" t="s">
        <v>1111</v>
      </c>
      <c r="N409" s="632" t="s">
        <v>1111</v>
      </c>
      <c r="O409" s="705" t="s">
        <v>1338</v>
      </c>
      <c r="P409" s="705" t="s">
        <v>1339</v>
      </c>
      <c r="Q409" s="610" t="s">
        <v>2010</v>
      </c>
    </row>
    <row r="410" spans="2:17" ht="15" thickBot="1" x14ac:dyDescent="0.35">
      <c r="B410" s="647" t="str">
        <f t="shared" si="12"/>
        <v>STRONG 120N šedý Automatický</v>
      </c>
      <c r="M410" s="632" t="s">
        <v>1113</v>
      </c>
      <c r="N410" s="632" t="s">
        <v>1113</v>
      </c>
      <c r="O410" s="705" t="s">
        <v>1340</v>
      </c>
      <c r="P410" s="705" t="s">
        <v>1341</v>
      </c>
      <c r="Q410" s="610" t="s">
        <v>2011</v>
      </c>
    </row>
    <row r="411" spans="2:17" ht="15" thickBot="1" x14ac:dyDescent="0.35">
      <c r="B411" s="647" t="str">
        <f t="shared" si="12"/>
        <v>STRONG 60N šedý Polohovací</v>
      </c>
      <c r="M411" s="632" t="s">
        <v>1115</v>
      </c>
      <c r="N411" s="632" t="s">
        <v>1115</v>
      </c>
      <c r="O411" s="705" t="s">
        <v>1342</v>
      </c>
      <c r="P411" s="705" t="s">
        <v>1343</v>
      </c>
      <c r="Q411" s="610" t="s">
        <v>2905</v>
      </c>
    </row>
    <row r="412" spans="2:17" ht="15" thickBot="1" x14ac:dyDescent="0.35">
      <c r="B412" s="647" t="str">
        <f t="shared" si="12"/>
        <v>STRONG 80N šedý Polohovací</v>
      </c>
      <c r="M412" s="632" t="s">
        <v>1117</v>
      </c>
      <c r="N412" s="632" t="s">
        <v>1117</v>
      </c>
      <c r="O412" s="705" t="s">
        <v>1344</v>
      </c>
      <c r="P412" s="705" t="s">
        <v>1345</v>
      </c>
      <c r="Q412" s="610" t="s">
        <v>2906</v>
      </c>
    </row>
    <row r="413" spans="2:17" ht="15" thickBot="1" x14ac:dyDescent="0.35">
      <c r="B413" s="647" t="str">
        <f t="shared" si="12"/>
        <v>STRONG 100N šedý Polohovací</v>
      </c>
      <c r="M413" s="632" t="s">
        <v>1119</v>
      </c>
      <c r="N413" s="632" t="s">
        <v>1119</v>
      </c>
      <c r="O413" s="705" t="s">
        <v>1346</v>
      </c>
      <c r="P413" s="705" t="s">
        <v>1347</v>
      </c>
      <c r="Q413" s="610" t="s">
        <v>2907</v>
      </c>
    </row>
    <row r="414" spans="2:17" ht="15" thickBot="1" x14ac:dyDescent="0.35">
      <c r="B414" s="647" t="str">
        <f t="shared" si="12"/>
        <v>STRONG 120N šedý Polohovací</v>
      </c>
      <c r="M414" s="632" t="s">
        <v>1121</v>
      </c>
      <c r="N414" s="632" t="s">
        <v>1121</v>
      </c>
      <c r="O414" s="705" t="s">
        <v>1348</v>
      </c>
      <c r="P414" s="705" t="s">
        <v>1349</v>
      </c>
      <c r="Q414" s="610" t="s">
        <v>2713</v>
      </c>
    </row>
    <row r="415" spans="2:17" ht="15" thickBot="1" x14ac:dyDescent="0.35">
      <c r="B415" s="647" t="str">
        <f t="shared" si="12"/>
        <v>HUWIL DUO</v>
      </c>
      <c r="M415" s="610" t="s">
        <v>1123</v>
      </c>
      <c r="N415" s="610" t="s">
        <v>1123</v>
      </c>
      <c r="O415" s="705" t="s">
        <v>1123</v>
      </c>
      <c r="P415" s="705" t="s">
        <v>1123</v>
      </c>
      <c r="Q415" s="610" t="s">
        <v>1123</v>
      </c>
    </row>
    <row r="416" spans="2:17" ht="15" thickBot="1" x14ac:dyDescent="0.35">
      <c r="B416" s="647" t="str">
        <f t="shared" si="12"/>
        <v>HUWIL DUO FORTE</v>
      </c>
      <c r="M416" s="610" t="s">
        <v>1125</v>
      </c>
      <c r="N416" s="610" t="s">
        <v>1125</v>
      </c>
      <c r="O416" s="705" t="s">
        <v>1125</v>
      </c>
      <c r="P416" s="705" t="s">
        <v>1125</v>
      </c>
      <c r="Q416" s="610" t="s">
        <v>1125</v>
      </c>
    </row>
    <row r="417" spans="2:17" ht="15" thickBot="1" x14ac:dyDescent="0.35">
      <c r="B417" s="647" t="str">
        <f t="shared" si="12"/>
        <v>HUWILIFT MAXI</v>
      </c>
      <c r="M417" s="610" t="s">
        <v>1127</v>
      </c>
      <c r="N417" s="610" t="s">
        <v>1127</v>
      </c>
      <c r="O417" s="705" t="s">
        <v>1127</v>
      </c>
      <c r="P417" s="705" t="s">
        <v>1127</v>
      </c>
      <c r="Q417" s="610" t="s">
        <v>1127</v>
      </c>
    </row>
    <row r="418" spans="2:17" ht="15" thickBot="1" x14ac:dyDescent="0.35">
      <c r="B418" s="647" t="str">
        <f t="shared" si="12"/>
        <v>KRABY 164 45N</v>
      </c>
      <c r="M418" s="610" t="s">
        <v>756</v>
      </c>
      <c r="N418" s="610" t="s">
        <v>756</v>
      </c>
      <c r="O418" s="705" t="s">
        <v>756</v>
      </c>
      <c r="P418" s="705" t="s">
        <v>756</v>
      </c>
      <c r="Q418" s="610" t="s">
        <v>756</v>
      </c>
    </row>
    <row r="419" spans="2:17" ht="15" thickBot="1" x14ac:dyDescent="0.35">
      <c r="B419" s="647" t="str">
        <f t="shared" si="12"/>
        <v>KRABY 164 60N</v>
      </c>
      <c r="M419" s="610" t="s">
        <v>757</v>
      </c>
      <c r="N419" s="610" t="s">
        <v>757</v>
      </c>
      <c r="O419" s="705" t="s">
        <v>757</v>
      </c>
      <c r="P419" s="705" t="s">
        <v>757</v>
      </c>
      <c r="Q419" s="610" t="s">
        <v>757</v>
      </c>
    </row>
    <row r="420" spans="2:17" ht="15" thickBot="1" x14ac:dyDescent="0.35">
      <c r="B420" s="647" t="str">
        <f t="shared" si="12"/>
        <v>KRABY 244 45N</v>
      </c>
      <c r="M420" s="610" t="s">
        <v>758</v>
      </c>
      <c r="N420" s="610" t="s">
        <v>758</v>
      </c>
      <c r="O420" s="705" t="s">
        <v>758</v>
      </c>
      <c r="P420" s="705" t="s">
        <v>758</v>
      </c>
      <c r="Q420" s="610" t="s">
        <v>758</v>
      </c>
    </row>
    <row r="421" spans="2:17" ht="15" thickBot="1" x14ac:dyDescent="0.35">
      <c r="B421" s="647" t="str">
        <f t="shared" si="12"/>
        <v>KRABY 244 60N</v>
      </c>
      <c r="M421" s="610" t="s">
        <v>759</v>
      </c>
      <c r="N421" s="610" t="s">
        <v>759</v>
      </c>
      <c r="O421" s="705" t="s">
        <v>759</v>
      </c>
      <c r="P421" s="705" t="s">
        <v>759</v>
      </c>
      <c r="Q421" s="610" t="s">
        <v>759</v>
      </c>
    </row>
    <row r="422" spans="2:17" ht="15" thickBot="1" x14ac:dyDescent="0.35">
      <c r="B422" s="647" t="str">
        <f t="shared" si="12"/>
        <v>KRABY 244 90N</v>
      </c>
      <c r="M422" s="610" t="s">
        <v>760</v>
      </c>
      <c r="N422" s="610" t="s">
        <v>760</v>
      </c>
      <c r="O422" s="705" t="s">
        <v>760</v>
      </c>
      <c r="P422" s="705" t="s">
        <v>760</v>
      </c>
      <c r="Q422" s="610" t="s">
        <v>760</v>
      </c>
    </row>
    <row r="423" spans="2:17" ht="15" thickBot="1" x14ac:dyDescent="0.35">
      <c r="B423" s="647" t="str">
        <f t="shared" si="12"/>
        <v>KRABY 244 120N</v>
      </c>
      <c r="M423" s="610" t="s">
        <v>761</v>
      </c>
      <c r="N423" s="610" t="s">
        <v>761</v>
      </c>
      <c r="O423" s="705" t="s">
        <v>761</v>
      </c>
      <c r="P423" s="705" t="s">
        <v>761</v>
      </c>
      <c r="Q423" s="610" t="s">
        <v>761</v>
      </c>
    </row>
    <row r="424" spans="2:17" ht="15" thickBot="1" x14ac:dyDescent="0.35">
      <c r="B424" s="647" t="str">
        <f t="shared" si="12"/>
        <v>KRABY 355 45N</v>
      </c>
      <c r="M424" s="610" t="s">
        <v>762</v>
      </c>
      <c r="N424" s="610" t="s">
        <v>762</v>
      </c>
      <c r="O424" s="705" t="s">
        <v>762</v>
      </c>
      <c r="P424" s="705" t="s">
        <v>762</v>
      </c>
      <c r="Q424" s="610" t="s">
        <v>762</v>
      </c>
    </row>
    <row r="425" spans="2:17" ht="15" thickBot="1" x14ac:dyDescent="0.35">
      <c r="B425" s="647" t="str">
        <f t="shared" si="12"/>
        <v>KRABY 355 60N</v>
      </c>
      <c r="M425" s="610" t="s">
        <v>763</v>
      </c>
      <c r="N425" s="610" t="s">
        <v>763</v>
      </c>
      <c r="O425" s="705" t="s">
        <v>763</v>
      </c>
      <c r="P425" s="705" t="s">
        <v>763</v>
      </c>
      <c r="Q425" s="610" t="s">
        <v>763</v>
      </c>
    </row>
    <row r="426" spans="2:17" ht="15" thickBot="1" x14ac:dyDescent="0.35">
      <c r="B426" s="647" t="str">
        <f t="shared" si="12"/>
        <v>KRABY 355 90N</v>
      </c>
      <c r="M426" s="610" t="s">
        <v>764</v>
      </c>
      <c r="N426" s="610" t="s">
        <v>764</v>
      </c>
      <c r="O426" s="705" t="s">
        <v>764</v>
      </c>
      <c r="P426" s="705" t="s">
        <v>764</v>
      </c>
      <c r="Q426" s="610" t="s">
        <v>764</v>
      </c>
    </row>
    <row r="427" spans="2:17" ht="15" thickBot="1" x14ac:dyDescent="0.35">
      <c r="B427" s="647" t="str">
        <f t="shared" si="12"/>
        <v>KRABY 355 120N</v>
      </c>
      <c r="M427" s="610" t="s">
        <v>765</v>
      </c>
      <c r="N427" s="610" t="s">
        <v>765</v>
      </c>
      <c r="O427" s="705" t="s">
        <v>765</v>
      </c>
      <c r="P427" s="705" t="s">
        <v>765</v>
      </c>
      <c r="Q427" s="610" t="s">
        <v>765</v>
      </c>
    </row>
    <row r="428" spans="2:17" ht="15" thickBot="1" x14ac:dyDescent="0.35">
      <c r="B428" s="647" t="str">
        <f t="shared" si="12"/>
        <v>K12 244 50N</v>
      </c>
      <c r="M428" s="610" t="s">
        <v>1139</v>
      </c>
      <c r="N428" s="610" t="s">
        <v>1139</v>
      </c>
      <c r="O428" s="705" t="s">
        <v>1139</v>
      </c>
      <c r="P428" s="705" t="s">
        <v>1139</v>
      </c>
      <c r="Q428" s="610" t="s">
        <v>1139</v>
      </c>
    </row>
    <row r="429" spans="2:17" ht="15" thickBot="1" x14ac:dyDescent="0.35">
      <c r="B429" s="647" t="str">
        <f t="shared" si="12"/>
        <v>K12 244 80N</v>
      </c>
      <c r="M429" s="610" t="s">
        <v>1141</v>
      </c>
      <c r="N429" s="610" t="s">
        <v>1141</v>
      </c>
      <c r="O429" s="705" t="s">
        <v>1141</v>
      </c>
      <c r="P429" s="705" t="s">
        <v>1141</v>
      </c>
      <c r="Q429" s="610" t="s">
        <v>1141</v>
      </c>
    </row>
    <row r="430" spans="2:17" ht="15" thickBot="1" x14ac:dyDescent="0.35">
      <c r="B430" s="647" t="str">
        <f t="shared" si="12"/>
        <v>K12 244 100N</v>
      </c>
      <c r="M430" s="610" t="s">
        <v>1143</v>
      </c>
      <c r="N430" s="610" t="s">
        <v>1143</v>
      </c>
      <c r="O430" s="705" t="s">
        <v>1143</v>
      </c>
      <c r="P430" s="705" t="s">
        <v>1143</v>
      </c>
      <c r="Q430" s="610" t="s">
        <v>1143</v>
      </c>
    </row>
    <row r="431" spans="2:17" ht="15" thickBot="1" x14ac:dyDescent="0.35">
      <c r="B431" s="647" t="str">
        <f t="shared" si="12"/>
        <v>K12 244 120N</v>
      </c>
      <c r="M431" s="610" t="s">
        <v>1145</v>
      </c>
      <c r="N431" s="610" t="s">
        <v>1145</v>
      </c>
      <c r="O431" s="705" t="s">
        <v>1145</v>
      </c>
      <c r="P431" s="705" t="s">
        <v>1145</v>
      </c>
      <c r="Q431" s="610" t="s">
        <v>1145</v>
      </c>
    </row>
    <row r="432" spans="2:17" ht="15" thickBot="1" x14ac:dyDescent="0.35">
      <c r="B432" s="647" t="str">
        <f t="shared" si="12"/>
        <v>K12 355 60N</v>
      </c>
      <c r="M432" s="610" t="s">
        <v>1147</v>
      </c>
      <c r="N432" s="610" t="s">
        <v>1147</v>
      </c>
      <c r="O432" s="705" t="s">
        <v>1147</v>
      </c>
      <c r="P432" s="705" t="s">
        <v>1147</v>
      </c>
      <c r="Q432" s="610" t="s">
        <v>1147</v>
      </c>
    </row>
    <row r="433" spans="2:17" ht="15" thickBot="1" x14ac:dyDescent="0.35">
      <c r="B433" s="647" t="str">
        <f t="shared" si="12"/>
        <v>K12 355 90N</v>
      </c>
      <c r="M433" s="610" t="s">
        <v>1149</v>
      </c>
      <c r="N433" s="610" t="s">
        <v>1149</v>
      </c>
      <c r="O433" s="705" t="s">
        <v>1149</v>
      </c>
      <c r="P433" s="705" t="s">
        <v>1149</v>
      </c>
      <c r="Q433" s="610" t="s">
        <v>1149</v>
      </c>
    </row>
    <row r="434" spans="2:17" ht="15" thickBot="1" x14ac:dyDescent="0.35">
      <c r="B434" s="647" t="str">
        <f t="shared" si="12"/>
        <v>K12 355 110N</v>
      </c>
      <c r="M434" s="610" t="s">
        <v>1151</v>
      </c>
      <c r="N434" s="610" t="s">
        <v>1151</v>
      </c>
      <c r="O434" s="705" t="s">
        <v>1151</v>
      </c>
      <c r="P434" s="705" t="s">
        <v>1151</v>
      </c>
      <c r="Q434" s="610" t="s">
        <v>1151</v>
      </c>
    </row>
    <row r="435" spans="2:17" ht="15" thickBot="1" x14ac:dyDescent="0.35">
      <c r="B435" s="647" t="str">
        <f t="shared" si="12"/>
        <v>K12 355 130N</v>
      </c>
      <c r="M435" s="610" t="s">
        <v>1153</v>
      </c>
      <c r="N435" s="610" t="s">
        <v>1153</v>
      </c>
      <c r="O435" s="705" t="s">
        <v>1153</v>
      </c>
      <c r="P435" s="705" t="s">
        <v>1153</v>
      </c>
      <c r="Q435" s="610" t="s">
        <v>1153</v>
      </c>
    </row>
    <row r="436" spans="2:17" ht="15" thickBot="1" x14ac:dyDescent="0.35">
      <c r="B436" s="647" t="str">
        <f t="shared" si="12"/>
        <v>STRONG spodní bílý</v>
      </c>
      <c r="M436" s="632" t="s">
        <v>1155</v>
      </c>
      <c r="N436" s="632" t="s">
        <v>1350</v>
      </c>
      <c r="O436" s="705" t="s">
        <v>1351</v>
      </c>
      <c r="P436" s="705" t="s">
        <v>1352</v>
      </c>
      <c r="Q436" s="610" t="s">
        <v>2908</v>
      </c>
    </row>
    <row r="437" spans="2:17" ht="15" thickBot="1" x14ac:dyDescent="0.35">
      <c r="B437" s="647" t="str">
        <f t="shared" si="12"/>
        <v>STRONG spodní šedý</v>
      </c>
      <c r="M437" s="632" t="s">
        <v>1157</v>
      </c>
      <c r="N437" s="632" t="s">
        <v>1353</v>
      </c>
      <c r="O437" s="705" t="s">
        <v>1354</v>
      </c>
      <c r="P437" s="705" t="s">
        <v>1355</v>
      </c>
      <c r="Q437" s="610" t="s">
        <v>2909</v>
      </c>
    </row>
    <row r="438" spans="2:17" ht="15" thickBot="1" x14ac:dyDescent="0.35">
      <c r="B438" s="647" t="str">
        <f t="shared" si="12"/>
        <v xml:space="preserve">HUWIL DUO (90°) </v>
      </c>
      <c r="M438" s="610" t="s">
        <v>1159</v>
      </c>
      <c r="N438" s="610" t="s">
        <v>1159</v>
      </c>
      <c r="O438" s="705" t="s">
        <v>1159</v>
      </c>
      <c r="P438" s="705" t="s">
        <v>1159</v>
      </c>
      <c r="Q438" s="610" t="s">
        <v>859</v>
      </c>
    </row>
    <row r="439" spans="2:17" ht="15" thickBot="1" x14ac:dyDescent="0.35">
      <c r="B439" s="647" t="str">
        <f t="shared" si="12"/>
        <v>HUWIL DUO FORTE</v>
      </c>
      <c r="M439" s="610" t="s">
        <v>1125</v>
      </c>
      <c r="N439" s="610" t="s">
        <v>1125</v>
      </c>
      <c r="O439" s="705" t="s">
        <v>1125</v>
      </c>
      <c r="P439" s="705" t="s">
        <v>1125</v>
      </c>
      <c r="Q439" s="610" t="s">
        <v>1125</v>
      </c>
    </row>
    <row r="440" spans="2:17" ht="15" thickBot="1" x14ac:dyDescent="0.35">
      <c r="B440" s="647" t="str">
        <f t="shared" si="12"/>
        <v>KRABY 164 spodní</v>
      </c>
      <c r="M440" s="610" t="s">
        <v>1162</v>
      </c>
      <c r="N440" s="632" t="s">
        <v>1356</v>
      </c>
      <c r="O440" s="705" t="s">
        <v>1357</v>
      </c>
      <c r="P440" s="705" t="s">
        <v>1358</v>
      </c>
      <c r="Q440" s="610" t="s">
        <v>2714</v>
      </c>
    </row>
    <row r="441" spans="2:17" ht="15" thickBot="1" x14ac:dyDescent="0.35">
      <c r="B441" s="647" t="str">
        <f t="shared" si="12"/>
        <v>KRABY 244 spodní</v>
      </c>
      <c r="M441" s="610" t="s">
        <v>1164</v>
      </c>
      <c r="N441" s="632" t="s">
        <v>1359</v>
      </c>
      <c r="O441" s="705" t="s">
        <v>1360</v>
      </c>
      <c r="P441" s="705" t="s">
        <v>1361</v>
      </c>
      <c r="Q441" s="610" t="s">
        <v>2715</v>
      </c>
    </row>
    <row r="442" spans="2:17" ht="15" thickBot="1" x14ac:dyDescent="0.35">
      <c r="B442" s="647" t="str">
        <f t="shared" si="12"/>
        <v>KRABY 355 spodní</v>
      </c>
      <c r="M442" s="610" t="s">
        <v>1166</v>
      </c>
      <c r="N442" s="632" t="s">
        <v>1362</v>
      </c>
      <c r="O442" s="705" t="s">
        <v>1363</v>
      </c>
      <c r="P442" s="705" t="s">
        <v>1364</v>
      </c>
      <c r="Q442" s="610" t="s">
        <v>2716</v>
      </c>
    </row>
    <row r="443" spans="2:17" ht="15" thickBot="1" x14ac:dyDescent="0.35">
      <c r="B443" s="647" t="str">
        <f t="shared" si="12"/>
        <v>STRONG 30N bílý Automatický</v>
      </c>
      <c r="M443" s="632" t="s">
        <v>1087</v>
      </c>
      <c r="N443" s="632" t="s">
        <v>1305</v>
      </c>
      <c r="O443" s="705" t="s">
        <v>1306</v>
      </c>
      <c r="P443" s="705" t="s">
        <v>1307</v>
      </c>
      <c r="Q443" s="610" t="s">
        <v>1998</v>
      </c>
    </row>
    <row r="444" spans="2:17" ht="15" thickBot="1" x14ac:dyDescent="0.35">
      <c r="B444" s="647" t="str">
        <f t="shared" si="12"/>
        <v>STRONG 60N bílý Automatický</v>
      </c>
      <c r="M444" s="632" t="s">
        <v>1089</v>
      </c>
      <c r="N444" s="632" t="s">
        <v>1308</v>
      </c>
      <c r="O444" s="705" t="s">
        <v>1309</v>
      </c>
      <c r="P444" s="705" t="s">
        <v>1310</v>
      </c>
      <c r="Q444" s="610" t="s">
        <v>1999</v>
      </c>
    </row>
    <row r="445" spans="2:17" ht="15" thickBot="1" x14ac:dyDescent="0.35">
      <c r="B445" s="647" t="str">
        <f t="shared" si="12"/>
        <v>STRONG 80N bílý Automatický</v>
      </c>
      <c r="M445" s="632" t="s">
        <v>1091</v>
      </c>
      <c r="N445" s="632" t="s">
        <v>1311</v>
      </c>
      <c r="O445" s="705" t="s">
        <v>1312</v>
      </c>
      <c r="P445" s="705" t="s">
        <v>1313</v>
      </c>
      <c r="Q445" s="610" t="s">
        <v>2000</v>
      </c>
    </row>
    <row r="446" spans="2:17" ht="15" thickBot="1" x14ac:dyDescent="0.35">
      <c r="B446" s="647" t="str">
        <f t="shared" si="12"/>
        <v>STRONG 100N bílý Automatický</v>
      </c>
      <c r="M446" s="632" t="s">
        <v>1093</v>
      </c>
      <c r="N446" s="632" t="s">
        <v>1314</v>
      </c>
      <c r="O446" s="705" t="s">
        <v>1315</v>
      </c>
      <c r="P446" s="705" t="s">
        <v>1316</v>
      </c>
      <c r="Q446" s="610" t="s">
        <v>2001</v>
      </c>
    </row>
    <row r="447" spans="2:17" ht="15" thickBot="1" x14ac:dyDescent="0.35">
      <c r="B447" s="647" t="str">
        <f t="shared" si="12"/>
        <v>STRONG 120N bílý Automatický</v>
      </c>
      <c r="M447" s="632" t="s">
        <v>1095</v>
      </c>
      <c r="N447" s="632" t="s">
        <v>1317</v>
      </c>
      <c r="O447" s="705" t="s">
        <v>1318</v>
      </c>
      <c r="P447" s="705" t="s">
        <v>1319</v>
      </c>
      <c r="Q447" s="610" t="s">
        <v>2002</v>
      </c>
    </row>
    <row r="448" spans="2:17" ht="15" thickBot="1" x14ac:dyDescent="0.35">
      <c r="B448" s="647" t="str">
        <f t="shared" si="12"/>
        <v>STRONG 60N bílý Polohovací</v>
      </c>
      <c r="M448" s="632" t="s">
        <v>1097</v>
      </c>
      <c r="N448" s="632" t="s">
        <v>1320</v>
      </c>
      <c r="O448" s="705" t="s">
        <v>1321</v>
      </c>
      <c r="P448" s="705" t="s">
        <v>1322</v>
      </c>
      <c r="Q448" s="610" t="s">
        <v>2901</v>
      </c>
    </row>
    <row r="449" spans="2:17" ht="15" thickBot="1" x14ac:dyDescent="0.35">
      <c r="B449" s="647" t="str">
        <f t="shared" si="12"/>
        <v>STRONG 80N bílý Polohovací</v>
      </c>
      <c r="M449" s="632" t="s">
        <v>1099</v>
      </c>
      <c r="N449" s="632" t="s">
        <v>1323</v>
      </c>
      <c r="O449" s="705" t="s">
        <v>1324</v>
      </c>
      <c r="P449" s="705" t="s">
        <v>1325</v>
      </c>
      <c r="Q449" s="610" t="s">
        <v>2902</v>
      </c>
    </row>
    <row r="450" spans="2:17" ht="15" thickBot="1" x14ac:dyDescent="0.35">
      <c r="B450" s="647" t="str">
        <f t="shared" si="12"/>
        <v>STRONG 100N bílý Polohovací</v>
      </c>
      <c r="M450" s="632" t="s">
        <v>1101</v>
      </c>
      <c r="N450" s="632" t="s">
        <v>1326</v>
      </c>
      <c r="O450" s="705" t="s">
        <v>1327</v>
      </c>
      <c r="P450" s="705" t="s">
        <v>1328</v>
      </c>
      <c r="Q450" s="610" t="s">
        <v>2903</v>
      </c>
    </row>
    <row r="451" spans="2:17" ht="15" thickBot="1" x14ac:dyDescent="0.35">
      <c r="B451" s="647" t="str">
        <f t="shared" si="12"/>
        <v>STRONG 120N bílý Polohovací</v>
      </c>
      <c r="M451" s="632" t="s">
        <v>1103</v>
      </c>
      <c r="N451" s="632" t="s">
        <v>1329</v>
      </c>
      <c r="O451" s="705" t="s">
        <v>1330</v>
      </c>
      <c r="P451" s="705" t="s">
        <v>1331</v>
      </c>
      <c r="Q451" s="610" t="s">
        <v>2904</v>
      </c>
    </row>
    <row r="452" spans="2:17" ht="15" thickBot="1" x14ac:dyDescent="0.35">
      <c r="B452" s="647" t="str">
        <f t="shared" si="12"/>
        <v>STRONG 30N šedý Automatický</v>
      </c>
      <c r="M452" s="632" t="s">
        <v>1105</v>
      </c>
      <c r="N452" s="632" t="s">
        <v>1105</v>
      </c>
      <c r="O452" s="705" t="s">
        <v>1332</v>
      </c>
      <c r="P452" s="705" t="s">
        <v>1333</v>
      </c>
      <c r="Q452" s="610" t="s">
        <v>2711</v>
      </c>
    </row>
    <row r="453" spans="2:17" ht="15" thickBot="1" x14ac:dyDescent="0.35">
      <c r="B453" s="647" t="str">
        <f t="shared" si="12"/>
        <v>STRONG 60N šedý Automatický</v>
      </c>
      <c r="M453" s="632" t="s">
        <v>1107</v>
      </c>
      <c r="N453" s="632" t="s">
        <v>1107</v>
      </c>
      <c r="O453" s="705" t="s">
        <v>1334</v>
      </c>
      <c r="P453" s="705" t="s">
        <v>1335</v>
      </c>
      <c r="Q453" s="610" t="s">
        <v>2008</v>
      </c>
    </row>
    <row r="454" spans="2:17" ht="15" thickBot="1" x14ac:dyDescent="0.35">
      <c r="B454" s="647" t="str">
        <f t="shared" si="12"/>
        <v>STRONG 80N šedý Automatický</v>
      </c>
      <c r="M454" s="632" t="s">
        <v>1109</v>
      </c>
      <c r="N454" s="632" t="s">
        <v>1109</v>
      </c>
      <c r="O454" s="705" t="s">
        <v>1336</v>
      </c>
      <c r="P454" s="705" t="s">
        <v>1337</v>
      </c>
      <c r="Q454" s="610" t="s">
        <v>2712</v>
      </c>
    </row>
    <row r="455" spans="2:17" ht="15" thickBot="1" x14ac:dyDescent="0.35">
      <c r="B455" s="647" t="str">
        <f t="shared" si="12"/>
        <v>STRONG 100N šedý Automatický</v>
      </c>
      <c r="M455" s="632" t="s">
        <v>1111</v>
      </c>
      <c r="N455" s="632" t="s">
        <v>1111</v>
      </c>
      <c r="O455" s="705" t="s">
        <v>1338</v>
      </c>
      <c r="P455" s="705" t="s">
        <v>1339</v>
      </c>
      <c r="Q455" s="610" t="s">
        <v>2010</v>
      </c>
    </row>
    <row r="456" spans="2:17" ht="15" thickBot="1" x14ac:dyDescent="0.35">
      <c r="B456" s="647" t="str">
        <f t="shared" si="12"/>
        <v>STRONG 120N šedý Automatický</v>
      </c>
      <c r="M456" s="632" t="s">
        <v>1113</v>
      </c>
      <c r="N456" s="632" t="s">
        <v>1113</v>
      </c>
      <c r="O456" s="705" t="s">
        <v>1340</v>
      </c>
      <c r="P456" s="705" t="s">
        <v>1341</v>
      </c>
      <c r="Q456" s="610" t="s">
        <v>2011</v>
      </c>
    </row>
    <row r="457" spans="2:17" ht="15" thickBot="1" x14ac:dyDescent="0.35">
      <c r="B457" s="647" t="str">
        <f t="shared" si="12"/>
        <v>STRONG 60N šedý Polohovací</v>
      </c>
      <c r="M457" s="632" t="s">
        <v>1115</v>
      </c>
      <c r="N457" s="632" t="s">
        <v>1115</v>
      </c>
      <c r="O457" s="705" t="s">
        <v>1342</v>
      </c>
      <c r="P457" s="705" t="s">
        <v>1343</v>
      </c>
      <c r="Q457" s="610" t="s">
        <v>2905</v>
      </c>
    </row>
    <row r="458" spans="2:17" ht="15" thickBot="1" x14ac:dyDescent="0.35">
      <c r="B458" s="647" t="str">
        <f t="shared" si="12"/>
        <v>STRONG 80N šedý Polohovací</v>
      </c>
      <c r="M458" s="632" t="s">
        <v>1117</v>
      </c>
      <c r="N458" s="632" t="s">
        <v>1117</v>
      </c>
      <c r="O458" s="705" t="s">
        <v>1344</v>
      </c>
      <c r="P458" s="705" t="s">
        <v>1345</v>
      </c>
      <c r="Q458" s="610" t="s">
        <v>2906</v>
      </c>
    </row>
    <row r="459" spans="2:17" ht="15" thickBot="1" x14ac:dyDescent="0.35">
      <c r="B459" s="647" t="str">
        <f t="shared" si="12"/>
        <v>STRONG 100N šedý Polohovací</v>
      </c>
      <c r="M459" s="632" t="s">
        <v>1119</v>
      </c>
      <c r="N459" s="632" t="s">
        <v>1119</v>
      </c>
      <c r="O459" s="705" t="s">
        <v>1346</v>
      </c>
      <c r="P459" s="705" t="s">
        <v>1347</v>
      </c>
      <c r="Q459" s="610" t="s">
        <v>2907</v>
      </c>
    </row>
    <row r="460" spans="2:17" ht="15" thickBot="1" x14ac:dyDescent="0.35">
      <c r="B460" s="647" t="str">
        <f t="shared" si="12"/>
        <v>STRONG 120N šedý Polohovací</v>
      </c>
      <c r="M460" s="632" t="s">
        <v>1121</v>
      </c>
      <c r="N460" s="632" t="s">
        <v>1121</v>
      </c>
      <c r="O460" s="705" t="s">
        <v>1348</v>
      </c>
      <c r="P460" s="705" t="s">
        <v>1349</v>
      </c>
      <c r="Q460" s="610" t="s">
        <v>2713</v>
      </c>
    </row>
    <row r="461" spans="2:17" ht="15" thickBot="1" x14ac:dyDescent="0.35">
      <c r="B461" s="647" t="str">
        <f t="shared" si="12"/>
        <v>HUWIL DUO</v>
      </c>
      <c r="M461" s="610" t="s">
        <v>1123</v>
      </c>
      <c r="N461" s="610" t="s">
        <v>1123</v>
      </c>
      <c r="O461" s="705" t="s">
        <v>1123</v>
      </c>
      <c r="P461" s="705" t="s">
        <v>1123</v>
      </c>
      <c r="Q461" s="610" t="s">
        <v>1123</v>
      </c>
    </row>
    <row r="462" spans="2:17" ht="15" thickBot="1" x14ac:dyDescent="0.35">
      <c r="B462" s="647" t="str">
        <f t="shared" si="12"/>
        <v>HUWILIFT MAXI</v>
      </c>
      <c r="M462" s="610" t="s">
        <v>1127</v>
      </c>
      <c r="N462" s="610" t="s">
        <v>1127</v>
      </c>
      <c r="O462" s="705" t="s">
        <v>1127</v>
      </c>
      <c r="P462" s="705" t="s">
        <v>1127</v>
      </c>
      <c r="Q462" s="610" t="s">
        <v>1127</v>
      </c>
    </row>
    <row r="463" spans="2:17" ht="15" thickBot="1" x14ac:dyDescent="0.35">
      <c r="B463" s="647" t="str">
        <f t="shared" si="12"/>
        <v>KRABY 164 45N</v>
      </c>
      <c r="M463" s="610" t="s">
        <v>756</v>
      </c>
      <c r="N463" s="610" t="s">
        <v>756</v>
      </c>
      <c r="O463" s="705" t="s">
        <v>756</v>
      </c>
      <c r="P463" s="705" t="s">
        <v>756</v>
      </c>
      <c r="Q463" s="610" t="s">
        <v>756</v>
      </c>
    </row>
    <row r="464" spans="2:17" ht="15" thickBot="1" x14ac:dyDescent="0.35">
      <c r="B464" s="647" t="str">
        <f t="shared" si="12"/>
        <v>KRABY 164 60N</v>
      </c>
      <c r="M464" s="610" t="s">
        <v>757</v>
      </c>
      <c r="N464" s="610" t="s">
        <v>757</v>
      </c>
      <c r="O464" s="705" t="s">
        <v>757</v>
      </c>
      <c r="P464" s="705" t="s">
        <v>757</v>
      </c>
      <c r="Q464" s="610" t="s">
        <v>757</v>
      </c>
    </row>
    <row r="465" spans="2:17" ht="15" thickBot="1" x14ac:dyDescent="0.35">
      <c r="B465" s="647" t="str">
        <f t="shared" si="12"/>
        <v>KRABY 244 45N</v>
      </c>
      <c r="M465" s="610" t="s">
        <v>758</v>
      </c>
      <c r="N465" s="610" t="s">
        <v>758</v>
      </c>
      <c r="O465" s="705" t="s">
        <v>758</v>
      </c>
      <c r="P465" s="705" t="s">
        <v>758</v>
      </c>
      <c r="Q465" s="610" t="s">
        <v>758</v>
      </c>
    </row>
    <row r="466" spans="2:17" ht="15" thickBot="1" x14ac:dyDescent="0.35">
      <c r="B466" s="647" t="str">
        <f t="shared" si="12"/>
        <v>KRABY 244 60N</v>
      </c>
      <c r="M466" s="610" t="s">
        <v>759</v>
      </c>
      <c r="N466" s="610" t="s">
        <v>759</v>
      </c>
      <c r="O466" s="705" t="s">
        <v>759</v>
      </c>
      <c r="P466" s="705" t="s">
        <v>759</v>
      </c>
      <c r="Q466" s="610" t="s">
        <v>759</v>
      </c>
    </row>
    <row r="467" spans="2:17" ht="15" thickBot="1" x14ac:dyDescent="0.35">
      <c r="B467" s="647" t="str">
        <f t="shared" ref="B467:B530" si="13">IF($D$1=1,M467,IF($D$1=2,N467,IF($D$1=3,O467,IF($D$1=4,P467,IF($D$1=5,Q467,0)))))</f>
        <v>KRABY 244 90N</v>
      </c>
      <c r="M467" s="610" t="s">
        <v>760</v>
      </c>
      <c r="N467" s="610" t="s">
        <v>760</v>
      </c>
      <c r="O467" s="705" t="s">
        <v>760</v>
      </c>
      <c r="P467" s="705" t="s">
        <v>760</v>
      </c>
      <c r="Q467" s="610" t="s">
        <v>760</v>
      </c>
    </row>
    <row r="468" spans="2:17" ht="15" thickBot="1" x14ac:dyDescent="0.35">
      <c r="B468" s="647" t="str">
        <f t="shared" si="13"/>
        <v>KRABY 244 120N</v>
      </c>
      <c r="M468" s="610" t="s">
        <v>761</v>
      </c>
      <c r="N468" s="610" t="s">
        <v>761</v>
      </c>
      <c r="O468" s="705" t="s">
        <v>761</v>
      </c>
      <c r="P468" s="705" t="s">
        <v>761</v>
      </c>
      <c r="Q468" s="610" t="s">
        <v>761</v>
      </c>
    </row>
    <row r="469" spans="2:17" ht="15" thickBot="1" x14ac:dyDescent="0.35">
      <c r="B469" s="647" t="str">
        <f t="shared" si="13"/>
        <v>KRABY 355 45N</v>
      </c>
      <c r="M469" s="610" t="s">
        <v>762</v>
      </c>
      <c r="N469" s="610" t="s">
        <v>762</v>
      </c>
      <c r="O469" s="705" t="s">
        <v>762</v>
      </c>
      <c r="P469" s="705" t="s">
        <v>762</v>
      </c>
      <c r="Q469" s="610" t="s">
        <v>762</v>
      </c>
    </row>
    <row r="470" spans="2:17" ht="15" thickBot="1" x14ac:dyDescent="0.35">
      <c r="B470" s="647" t="str">
        <f t="shared" si="13"/>
        <v>KRABY 355 60N</v>
      </c>
      <c r="M470" s="610" t="s">
        <v>763</v>
      </c>
      <c r="N470" s="610" t="s">
        <v>763</v>
      </c>
      <c r="O470" s="705" t="s">
        <v>763</v>
      </c>
      <c r="P470" s="705" t="s">
        <v>763</v>
      </c>
      <c r="Q470" s="610" t="s">
        <v>763</v>
      </c>
    </row>
    <row r="471" spans="2:17" ht="15" thickBot="1" x14ac:dyDescent="0.35">
      <c r="B471" s="647" t="str">
        <f t="shared" si="13"/>
        <v>KRABY 355 90N</v>
      </c>
      <c r="M471" s="610" t="s">
        <v>764</v>
      </c>
      <c r="N471" s="610" t="s">
        <v>764</v>
      </c>
      <c r="O471" s="705" t="s">
        <v>764</v>
      </c>
      <c r="P471" s="705" t="s">
        <v>764</v>
      </c>
      <c r="Q471" s="610" t="s">
        <v>764</v>
      </c>
    </row>
    <row r="472" spans="2:17" ht="15" thickBot="1" x14ac:dyDescent="0.35">
      <c r="B472" s="647" t="str">
        <f t="shared" si="13"/>
        <v>KRABY 355 120N</v>
      </c>
      <c r="M472" s="610" t="s">
        <v>765</v>
      </c>
      <c r="N472" s="610" t="s">
        <v>765</v>
      </c>
      <c r="O472" s="705" t="s">
        <v>765</v>
      </c>
      <c r="P472" s="705" t="s">
        <v>765</v>
      </c>
      <c r="Q472" s="610" t="s">
        <v>765</v>
      </c>
    </row>
    <row r="473" spans="2:17" ht="15" thickBot="1" x14ac:dyDescent="0.35">
      <c r="B473" s="647" t="str">
        <f t="shared" si="13"/>
        <v>K12 244 50N</v>
      </c>
      <c r="M473" s="610" t="s">
        <v>1139</v>
      </c>
      <c r="N473" s="610" t="s">
        <v>1139</v>
      </c>
      <c r="O473" s="705" t="s">
        <v>1139</v>
      </c>
      <c r="P473" s="705" t="s">
        <v>1139</v>
      </c>
      <c r="Q473" s="610" t="s">
        <v>1139</v>
      </c>
    </row>
    <row r="474" spans="2:17" ht="15" thickBot="1" x14ac:dyDescent="0.35">
      <c r="B474" s="647" t="str">
        <f t="shared" si="13"/>
        <v>K12 244 80N</v>
      </c>
      <c r="M474" s="610" t="s">
        <v>1141</v>
      </c>
      <c r="N474" s="610" t="s">
        <v>1141</v>
      </c>
      <c r="O474" s="705" t="s">
        <v>1141</v>
      </c>
      <c r="P474" s="705" t="s">
        <v>1141</v>
      </c>
      <c r="Q474" s="610" t="s">
        <v>1141</v>
      </c>
    </row>
    <row r="475" spans="2:17" ht="15" thickBot="1" x14ac:dyDescent="0.35">
      <c r="B475" s="647" t="str">
        <f t="shared" si="13"/>
        <v>K12 244 100N</v>
      </c>
      <c r="M475" s="610" t="s">
        <v>1143</v>
      </c>
      <c r="N475" s="610" t="s">
        <v>1143</v>
      </c>
      <c r="O475" s="705" t="s">
        <v>1143</v>
      </c>
      <c r="P475" s="705" t="s">
        <v>1143</v>
      </c>
      <c r="Q475" s="610" t="s">
        <v>1143</v>
      </c>
    </row>
    <row r="476" spans="2:17" ht="15" thickBot="1" x14ac:dyDescent="0.35">
      <c r="B476" s="647" t="str">
        <f t="shared" si="13"/>
        <v>K12 244 120N</v>
      </c>
      <c r="M476" s="610" t="s">
        <v>1145</v>
      </c>
      <c r="N476" s="610" t="s">
        <v>1145</v>
      </c>
      <c r="O476" s="705" t="s">
        <v>1145</v>
      </c>
      <c r="P476" s="705" t="s">
        <v>1145</v>
      </c>
      <c r="Q476" s="610" t="s">
        <v>1145</v>
      </c>
    </row>
    <row r="477" spans="2:17" ht="15" thickBot="1" x14ac:dyDescent="0.35">
      <c r="B477" s="647" t="str">
        <f t="shared" si="13"/>
        <v>K12 355 60N</v>
      </c>
      <c r="M477" s="610" t="s">
        <v>1147</v>
      </c>
      <c r="N477" s="610" t="s">
        <v>1147</v>
      </c>
      <c r="O477" s="705" t="s">
        <v>1147</v>
      </c>
      <c r="P477" s="705" t="s">
        <v>1147</v>
      </c>
      <c r="Q477" s="610" t="s">
        <v>1147</v>
      </c>
    </row>
    <row r="478" spans="2:17" ht="15" thickBot="1" x14ac:dyDescent="0.35">
      <c r="B478" s="647" t="str">
        <f t="shared" si="13"/>
        <v>K12 355 90N</v>
      </c>
      <c r="M478" s="610" t="s">
        <v>1149</v>
      </c>
      <c r="N478" s="610" t="s">
        <v>1149</v>
      </c>
      <c r="O478" s="705" t="s">
        <v>1149</v>
      </c>
      <c r="P478" s="705" t="s">
        <v>1149</v>
      </c>
      <c r="Q478" s="610" t="s">
        <v>1149</v>
      </c>
    </row>
    <row r="479" spans="2:17" ht="15" thickBot="1" x14ac:dyDescent="0.35">
      <c r="B479" s="647" t="str">
        <f t="shared" si="13"/>
        <v>K12 355 110N</v>
      </c>
      <c r="M479" s="610" t="s">
        <v>1151</v>
      </c>
      <c r="N479" s="610" t="s">
        <v>1151</v>
      </c>
      <c r="O479" s="705" t="s">
        <v>1151</v>
      </c>
      <c r="P479" s="705" t="s">
        <v>1151</v>
      </c>
      <c r="Q479" s="610" t="s">
        <v>1151</v>
      </c>
    </row>
    <row r="480" spans="2:17" ht="15" thickBot="1" x14ac:dyDescent="0.35">
      <c r="B480" s="647" t="str">
        <f t="shared" si="13"/>
        <v>K12 355 130N</v>
      </c>
      <c r="M480" s="610" t="s">
        <v>1153</v>
      </c>
      <c r="N480" s="610" t="s">
        <v>1153</v>
      </c>
      <c r="O480" s="705" t="s">
        <v>1153</v>
      </c>
      <c r="P480" s="705" t="s">
        <v>1153</v>
      </c>
      <c r="Q480" s="610" t="s">
        <v>1153</v>
      </c>
    </row>
    <row r="481" spans="2:17" ht="15" thickBot="1" x14ac:dyDescent="0.35">
      <c r="B481" s="647" t="str">
        <f t="shared" si="13"/>
        <v>STRONG spodní bílý</v>
      </c>
      <c r="M481" s="632" t="s">
        <v>1155</v>
      </c>
      <c r="N481" s="632" t="s">
        <v>1350</v>
      </c>
      <c r="O481" s="705" t="s">
        <v>1351</v>
      </c>
      <c r="P481" s="705" t="s">
        <v>1352</v>
      </c>
      <c r="Q481" s="610" t="s">
        <v>2908</v>
      </c>
    </row>
    <row r="482" spans="2:17" ht="15" thickBot="1" x14ac:dyDescent="0.35">
      <c r="B482" s="647" t="str">
        <f t="shared" si="13"/>
        <v>STRONG spodní šedý</v>
      </c>
      <c r="M482" s="632" t="s">
        <v>1157</v>
      </c>
      <c r="N482" s="632" t="s">
        <v>1353</v>
      </c>
      <c r="O482" s="705" t="s">
        <v>1354</v>
      </c>
      <c r="P482" s="705" t="s">
        <v>1355</v>
      </c>
      <c r="Q482" s="610" t="s">
        <v>2909</v>
      </c>
    </row>
    <row r="483" spans="2:17" ht="15" thickBot="1" x14ac:dyDescent="0.35">
      <c r="B483" s="647" t="str">
        <f t="shared" si="13"/>
        <v xml:space="preserve">HUWIL DUO (90°) </v>
      </c>
      <c r="M483" s="610" t="s">
        <v>1159</v>
      </c>
      <c r="N483" s="610" t="s">
        <v>1159</v>
      </c>
      <c r="O483" s="705" t="s">
        <v>1159</v>
      </c>
      <c r="P483" s="705" t="s">
        <v>1159</v>
      </c>
      <c r="Q483" s="610" t="s">
        <v>859</v>
      </c>
    </row>
    <row r="484" spans="2:17" ht="15" thickBot="1" x14ac:dyDescent="0.35">
      <c r="B484" s="647" t="str">
        <f t="shared" si="13"/>
        <v>HUWIL DUO FORTE</v>
      </c>
      <c r="M484" s="610" t="s">
        <v>1125</v>
      </c>
      <c r="N484" s="610" t="s">
        <v>1125</v>
      </c>
      <c r="O484" s="705" t="s">
        <v>1125</v>
      </c>
      <c r="P484" s="705" t="s">
        <v>1125</v>
      </c>
      <c r="Q484" s="610" t="s">
        <v>1125</v>
      </c>
    </row>
    <row r="485" spans="2:17" ht="15" thickBot="1" x14ac:dyDescent="0.35">
      <c r="B485" s="647" t="str">
        <f t="shared" si="13"/>
        <v>KRABY 164 spodní</v>
      </c>
      <c r="M485" s="610" t="s">
        <v>1162</v>
      </c>
      <c r="N485" s="632" t="s">
        <v>1356</v>
      </c>
      <c r="O485" s="705" t="s">
        <v>1357</v>
      </c>
      <c r="P485" s="705" t="s">
        <v>1358</v>
      </c>
      <c r="Q485" s="610" t="s">
        <v>2714</v>
      </c>
    </row>
    <row r="486" spans="2:17" ht="15" thickBot="1" x14ac:dyDescent="0.35">
      <c r="B486" s="647" t="str">
        <f t="shared" si="13"/>
        <v>KRABY 244 spodní</v>
      </c>
      <c r="M486" s="610" t="s">
        <v>1164</v>
      </c>
      <c r="N486" s="632" t="s">
        <v>1359</v>
      </c>
      <c r="O486" s="705" t="s">
        <v>1360</v>
      </c>
      <c r="P486" s="705" t="s">
        <v>1361</v>
      </c>
      <c r="Q486" s="610" t="s">
        <v>2715</v>
      </c>
    </row>
    <row r="487" spans="2:17" ht="15" thickBot="1" x14ac:dyDescent="0.35">
      <c r="B487" s="647" t="str">
        <f t="shared" si="13"/>
        <v>KRABY 355 spodní</v>
      </c>
      <c r="M487" s="610" t="s">
        <v>1166</v>
      </c>
      <c r="N487" s="632" t="s">
        <v>1362</v>
      </c>
      <c r="O487" s="705" t="s">
        <v>1363</v>
      </c>
      <c r="P487" s="705" t="s">
        <v>1364</v>
      </c>
      <c r="Q487" s="610" t="s">
        <v>2716</v>
      </c>
    </row>
    <row r="488" spans="2:17" ht="15" thickBot="1" x14ac:dyDescent="0.35">
      <c r="B488" s="647" t="str">
        <f t="shared" si="13"/>
        <v>k nasunutí na vrut H0</v>
      </c>
      <c r="M488" s="610" t="s">
        <v>1186</v>
      </c>
      <c r="N488" s="632" t="s">
        <v>1365</v>
      </c>
      <c r="O488" s="705" t="s">
        <v>1366</v>
      </c>
      <c r="P488" s="705" t="s">
        <v>2547</v>
      </c>
      <c r="Q488" s="610" t="s">
        <v>2910</v>
      </c>
    </row>
    <row r="489" spans="2:17" ht="15" thickBot="1" x14ac:dyDescent="0.35">
      <c r="B489" s="647" t="str">
        <f t="shared" si="13"/>
        <v>k nasunutí EURO šroub H0</v>
      </c>
      <c r="M489" s="610" t="s">
        <v>1187</v>
      </c>
      <c r="N489" s="632" t="s">
        <v>1368</v>
      </c>
      <c r="O489" s="705" t="s">
        <v>1369</v>
      </c>
      <c r="P489" s="705" t="s">
        <v>2548</v>
      </c>
      <c r="Q489" s="610" t="s">
        <v>2911</v>
      </c>
    </row>
    <row r="490" spans="2:17" ht="15" thickBot="1" x14ac:dyDescent="0.35">
      <c r="B490" s="647" t="str">
        <f t="shared" si="13"/>
        <v>k nasunutí na vrut H2</v>
      </c>
      <c r="M490" s="610" t="s">
        <v>1188</v>
      </c>
      <c r="N490" s="632" t="s">
        <v>1371</v>
      </c>
      <c r="O490" s="705" t="s">
        <v>1372</v>
      </c>
      <c r="P490" s="705" t="s">
        <v>1373</v>
      </c>
      <c r="Q490" s="610" t="s">
        <v>2912</v>
      </c>
    </row>
    <row r="491" spans="2:17" ht="15" thickBot="1" x14ac:dyDescent="0.35">
      <c r="B491" s="647" t="str">
        <f t="shared" si="13"/>
        <v>k nasunutí EURO šroub H2</v>
      </c>
      <c r="M491" s="610" t="s">
        <v>1189</v>
      </c>
      <c r="N491" s="632" t="s">
        <v>1374</v>
      </c>
      <c r="O491" s="705" t="s">
        <v>1375</v>
      </c>
      <c r="P491" s="705" t="s">
        <v>2549</v>
      </c>
      <c r="Q491" s="610" t="s">
        <v>2913</v>
      </c>
    </row>
    <row r="492" spans="2:17" ht="15" thickBot="1" x14ac:dyDescent="0.35">
      <c r="B492" s="647" t="str">
        <f t="shared" si="13"/>
        <v>Clip na vrut H2</v>
      </c>
      <c r="M492" s="610" t="s">
        <v>212</v>
      </c>
      <c r="N492" s="632" t="s">
        <v>433</v>
      </c>
      <c r="O492" s="705" t="s">
        <v>497</v>
      </c>
      <c r="P492" s="705" t="s">
        <v>573</v>
      </c>
      <c r="Q492" s="610" t="s">
        <v>2806</v>
      </c>
    </row>
    <row r="493" spans="2:17" ht="15" thickBot="1" x14ac:dyDescent="0.35">
      <c r="B493" s="647" t="str">
        <f t="shared" si="13"/>
        <v>Clip vrut s excentrem H0</v>
      </c>
      <c r="M493" s="610" t="s">
        <v>1191</v>
      </c>
      <c r="N493" s="632" t="s">
        <v>1377</v>
      </c>
      <c r="O493" s="705" t="s">
        <v>1378</v>
      </c>
      <c r="P493" s="705" t="s">
        <v>1597</v>
      </c>
      <c r="Q493" s="610" t="s">
        <v>2914</v>
      </c>
    </row>
    <row r="494" spans="2:17" ht="15" thickBot="1" x14ac:dyDescent="0.35">
      <c r="B494" s="647" t="str">
        <f t="shared" si="13"/>
        <v>Clip na vrut H0</v>
      </c>
      <c r="M494" s="610" t="s">
        <v>210</v>
      </c>
      <c r="N494" s="632" t="s">
        <v>449</v>
      </c>
      <c r="O494" s="705" t="s">
        <v>514</v>
      </c>
      <c r="P494" s="705" t="s">
        <v>590</v>
      </c>
      <c r="Q494" s="610" t="s">
        <v>2825</v>
      </c>
    </row>
    <row r="495" spans="2:17" ht="15" thickBot="1" x14ac:dyDescent="0.35">
      <c r="B495" s="647" t="str">
        <f t="shared" si="13"/>
        <v>Minimální možný rozměr rámečku je 140x140mm</v>
      </c>
      <c r="M495" s="610" t="s">
        <v>1384</v>
      </c>
      <c r="N495" s="638" t="s">
        <v>1385</v>
      </c>
      <c r="O495" s="705" t="s">
        <v>1386</v>
      </c>
      <c r="P495" s="705" t="s">
        <v>1387</v>
      </c>
      <c r="Q495" s="610" t="s">
        <v>2027</v>
      </c>
    </row>
    <row r="496" spans="2:17" ht="15" thickBot="1" x14ac:dyDescent="0.35">
      <c r="B496" s="647" t="str">
        <f t="shared" si="13"/>
        <v xml:space="preserve">Sensys SiSy naložený </v>
      </c>
      <c r="M496" s="722" t="s">
        <v>1389</v>
      </c>
      <c r="N496" s="632" t="s">
        <v>1389</v>
      </c>
      <c r="O496" s="705" t="s">
        <v>1542</v>
      </c>
      <c r="P496" s="705" t="s">
        <v>1543</v>
      </c>
      <c r="Q496" s="610" t="s">
        <v>2915</v>
      </c>
    </row>
    <row r="497" spans="2:17" ht="15" thickBot="1" x14ac:dyDescent="0.35">
      <c r="B497" s="647" t="str">
        <f t="shared" si="13"/>
        <v xml:space="preserve">Sensys SiSy polonaložený </v>
      </c>
      <c r="M497" s="722" t="s">
        <v>1390</v>
      </c>
      <c r="N497" s="632" t="s">
        <v>1390</v>
      </c>
      <c r="O497" s="705" t="s">
        <v>1550</v>
      </c>
      <c r="P497" s="705" t="s">
        <v>2550</v>
      </c>
      <c r="Q497" s="610" t="s">
        <v>2916</v>
      </c>
    </row>
    <row r="498" spans="2:17" ht="15" thickBot="1" x14ac:dyDescent="0.35">
      <c r="B498" s="647" t="str">
        <f t="shared" si="13"/>
        <v xml:space="preserve">Sensys SiSy vložený </v>
      </c>
      <c r="M498" s="722" t="s">
        <v>1391</v>
      </c>
      <c r="N498" s="705" t="s">
        <v>1581</v>
      </c>
      <c r="O498" s="705" t="s">
        <v>1582</v>
      </c>
      <c r="P498" s="705" t="s">
        <v>2551</v>
      </c>
      <c r="Q498" s="610" t="s">
        <v>2917</v>
      </c>
    </row>
    <row r="499" spans="2:17" ht="15" thickBot="1" x14ac:dyDescent="0.35">
      <c r="B499" s="647" t="str">
        <f t="shared" si="13"/>
        <v xml:space="preserve">Sensys P2o naložený </v>
      </c>
      <c r="M499" s="722" t="s">
        <v>1392</v>
      </c>
      <c r="N499" s="632" t="s">
        <v>1392</v>
      </c>
      <c r="O499" s="705" t="s">
        <v>1544</v>
      </c>
      <c r="P499" s="705" t="s">
        <v>1545</v>
      </c>
      <c r="Q499" s="610" t="s">
        <v>2918</v>
      </c>
    </row>
    <row r="500" spans="2:17" ht="15" thickBot="1" x14ac:dyDescent="0.35">
      <c r="B500" s="647" t="str">
        <f t="shared" si="13"/>
        <v xml:space="preserve">Sensys P2o polonaložený </v>
      </c>
      <c r="M500" s="722" t="s">
        <v>1393</v>
      </c>
      <c r="N500" s="632" t="s">
        <v>1393</v>
      </c>
      <c r="O500" s="705" t="s">
        <v>1552</v>
      </c>
      <c r="P500" s="705" t="s">
        <v>2552</v>
      </c>
      <c r="Q500" s="610" t="s">
        <v>2919</v>
      </c>
    </row>
    <row r="501" spans="2:17" ht="15" thickBot="1" x14ac:dyDescent="0.35">
      <c r="B501" s="647" t="str">
        <f t="shared" si="13"/>
        <v xml:space="preserve">Sensys P2o vložený </v>
      </c>
      <c r="M501" s="722" t="s">
        <v>1394</v>
      </c>
      <c r="N501" s="705" t="s">
        <v>1584</v>
      </c>
      <c r="O501" s="705" t="s">
        <v>1585</v>
      </c>
      <c r="P501" s="705" t="s">
        <v>2553</v>
      </c>
      <c r="Q501" s="610" t="s">
        <v>2920</v>
      </c>
    </row>
    <row r="502" spans="2:17" ht="15" thickBot="1" x14ac:dyDescent="0.35">
      <c r="B502" s="647" t="str">
        <f t="shared" si="13"/>
        <v>Sensys naložený P2O</v>
      </c>
      <c r="M502" s="722" t="s">
        <v>1395</v>
      </c>
      <c r="N502" s="632" t="s">
        <v>1392</v>
      </c>
      <c r="O502" s="705" t="s">
        <v>1544</v>
      </c>
      <c r="P502" s="705" t="s">
        <v>1545</v>
      </c>
      <c r="Q502" s="610" t="s">
        <v>2921</v>
      </c>
    </row>
    <row r="503" spans="2:17" ht="15" thickBot="1" x14ac:dyDescent="0.35">
      <c r="B503" s="647" t="str">
        <f t="shared" si="13"/>
        <v>naložený s tlumením clip 110°, ONYX</v>
      </c>
      <c r="M503" s="610" t="s">
        <v>1396</v>
      </c>
      <c r="N503" s="632" t="s">
        <v>1546</v>
      </c>
      <c r="O503" s="705" t="s">
        <v>1547</v>
      </c>
      <c r="P503" s="705" t="s">
        <v>1578</v>
      </c>
      <c r="Q503" s="610" t="s">
        <v>2922</v>
      </c>
    </row>
    <row r="504" spans="2:17" ht="15" thickBot="1" x14ac:dyDescent="0.35">
      <c r="B504" s="647" t="str">
        <f t="shared" si="13"/>
        <v>polonaložený s tlumením clip 110°, ONYX</v>
      </c>
      <c r="M504" s="610" t="s">
        <v>1397</v>
      </c>
      <c r="N504" s="632" t="s">
        <v>1548</v>
      </c>
      <c r="O504" s="705" t="s">
        <v>1549</v>
      </c>
      <c r="P504" s="705" t="s">
        <v>2554</v>
      </c>
      <c r="Q504" s="610" t="s">
        <v>2923</v>
      </c>
    </row>
    <row r="505" spans="2:17" ht="15" thickBot="1" x14ac:dyDescent="0.35">
      <c r="B505" s="647" t="str">
        <f t="shared" si="13"/>
        <v>vložený s tlumením clip 110°, ONYX</v>
      </c>
      <c r="M505" s="632" t="s">
        <v>1398</v>
      </c>
      <c r="N505" s="632" t="s">
        <v>1590</v>
      </c>
      <c r="O505" s="705" t="s">
        <v>1591</v>
      </c>
      <c r="P505" s="705" t="s">
        <v>2555</v>
      </c>
      <c r="Q505" s="610" t="s">
        <v>2924</v>
      </c>
    </row>
    <row r="506" spans="2:17" ht="15" thickBot="1" x14ac:dyDescent="0.35">
      <c r="B506" s="647" t="str">
        <f t="shared" si="13"/>
        <v>naložený 95°, Onyx</v>
      </c>
      <c r="M506" s="610" t="s">
        <v>1399</v>
      </c>
      <c r="N506" s="632" t="s">
        <v>1566</v>
      </c>
      <c r="O506" s="705" t="s">
        <v>1567</v>
      </c>
      <c r="P506" s="705" t="s">
        <v>1580</v>
      </c>
      <c r="Q506" s="610" t="s">
        <v>2925</v>
      </c>
    </row>
    <row r="507" spans="2:17" ht="15" thickBot="1" x14ac:dyDescent="0.35">
      <c r="B507" s="647" t="str">
        <f t="shared" si="13"/>
        <v>STRONG Plus</v>
      </c>
      <c r="M507" s="638" t="s">
        <v>1408</v>
      </c>
      <c r="N507" s="638" t="s">
        <v>1408</v>
      </c>
      <c r="O507" s="705" t="s">
        <v>1408</v>
      </c>
      <c r="P507" s="705" t="s">
        <v>1408</v>
      </c>
      <c r="Q507" s="610" t="s">
        <v>1408</v>
      </c>
    </row>
    <row r="508" spans="2:17" ht="15" thickBot="1" x14ac:dyDescent="0.35">
      <c r="B508" s="647" t="str">
        <f t="shared" si="13"/>
        <v>Strong Plus naložený clip bez pružiny</v>
      </c>
      <c r="M508" s="610" t="s">
        <v>1694</v>
      </c>
      <c r="N508" s="705" t="s">
        <v>1554</v>
      </c>
      <c r="O508" s="705" t="s">
        <v>1558</v>
      </c>
      <c r="P508" s="705" t="s">
        <v>1559</v>
      </c>
      <c r="Q508" s="610" t="s">
        <v>2926</v>
      </c>
    </row>
    <row r="509" spans="2:17" ht="15" thickBot="1" x14ac:dyDescent="0.35">
      <c r="B509" s="647" t="str">
        <f t="shared" si="13"/>
        <v>Strong Plus naložený clip bez pružiny</v>
      </c>
      <c r="M509" s="610" t="s">
        <v>1694</v>
      </c>
      <c r="N509" s="705" t="s">
        <v>1555</v>
      </c>
      <c r="O509" s="705" t="s">
        <v>1558</v>
      </c>
      <c r="P509" s="705" t="s">
        <v>1559</v>
      </c>
      <c r="Q509" s="610" t="s">
        <v>2926</v>
      </c>
    </row>
    <row r="510" spans="2:17" ht="15" thickBot="1" x14ac:dyDescent="0.35">
      <c r="B510" s="647" t="str">
        <f t="shared" si="13"/>
        <v>Storng Plus vložený clip bez pružiny</v>
      </c>
      <c r="M510" s="632" t="s">
        <v>1598</v>
      </c>
      <c r="N510" s="705" t="s">
        <v>1599</v>
      </c>
      <c r="O510" s="705" t="s">
        <v>1600</v>
      </c>
      <c r="P510" s="705" t="s">
        <v>2556</v>
      </c>
      <c r="Q510" s="610" t="s">
        <v>2927</v>
      </c>
    </row>
    <row r="511" spans="2:17" ht="15" thickBot="1" x14ac:dyDescent="0.35">
      <c r="B511" s="647" t="str">
        <f t="shared" si="13"/>
        <v>Strong Plus 30° clip bez pružiny</v>
      </c>
      <c r="M511" s="610" t="s">
        <v>1602</v>
      </c>
      <c r="N511" s="705" t="s">
        <v>1603</v>
      </c>
      <c r="O511" s="705" t="s">
        <v>1604</v>
      </c>
      <c r="P511" s="705" t="s">
        <v>1605</v>
      </c>
      <c r="Q511" s="610" t="s">
        <v>2928</v>
      </c>
    </row>
    <row r="512" spans="2:17" ht="15" thickBot="1" x14ac:dyDescent="0.35">
      <c r="B512" s="647" t="str">
        <f t="shared" si="13"/>
        <v>Strong Plus naložený clip</v>
      </c>
      <c r="M512" s="610" t="s">
        <v>1557</v>
      </c>
      <c r="N512" s="632" t="s">
        <v>1557</v>
      </c>
      <c r="O512" s="705" t="s">
        <v>1562</v>
      </c>
      <c r="P512" s="705" t="s">
        <v>1563</v>
      </c>
      <c r="Q512" s="610" t="s">
        <v>2929</v>
      </c>
    </row>
    <row r="513" spans="2:17" ht="15" thickBot="1" x14ac:dyDescent="0.35">
      <c r="B513" s="647" t="str">
        <f t="shared" si="13"/>
        <v>Strong Plus polonaložený clip</v>
      </c>
      <c r="M513" s="610" t="s">
        <v>1556</v>
      </c>
      <c r="N513" s="632" t="s">
        <v>1556</v>
      </c>
      <c r="O513" s="705" t="s">
        <v>1564</v>
      </c>
      <c r="P513" s="705" t="s">
        <v>2557</v>
      </c>
      <c r="Q513" s="610" t="s">
        <v>2930</v>
      </c>
    </row>
    <row r="514" spans="2:17" ht="15" thickBot="1" x14ac:dyDescent="0.35">
      <c r="B514" s="647" t="str">
        <f t="shared" si="13"/>
        <v>Strong Plus vložený clip</v>
      </c>
      <c r="M514" s="632" t="s">
        <v>1587</v>
      </c>
      <c r="N514" s="705" t="s">
        <v>1587</v>
      </c>
      <c r="O514" s="705" t="s">
        <v>1588</v>
      </c>
      <c r="P514" s="705" t="s">
        <v>2558</v>
      </c>
      <c r="Q514" s="610" t="s">
        <v>2931</v>
      </c>
    </row>
    <row r="515" spans="2:17" ht="15" thickBot="1" x14ac:dyDescent="0.35">
      <c r="B515" s="647" t="str">
        <f t="shared" si="13"/>
        <v>Strong Plus 30°clip</v>
      </c>
      <c r="M515" s="610" t="s">
        <v>1606</v>
      </c>
      <c r="N515" s="638" t="s">
        <v>1606</v>
      </c>
      <c r="O515" s="705" t="s">
        <v>1606</v>
      </c>
      <c r="P515" s="705" t="s">
        <v>1606</v>
      </c>
      <c r="Q515" s="610" t="s">
        <v>2932</v>
      </c>
    </row>
    <row r="516" spans="2:17" ht="15" thickBot="1" x14ac:dyDescent="0.35">
      <c r="B516" s="647" t="str">
        <f t="shared" si="13"/>
        <v>Strong Plus naložený clip</v>
      </c>
      <c r="M516" s="610" t="s">
        <v>1557</v>
      </c>
      <c r="N516" s="632" t="s">
        <v>1557</v>
      </c>
      <c r="O516" s="705" t="s">
        <v>1562</v>
      </c>
      <c r="P516" s="705" t="s">
        <v>1563</v>
      </c>
      <c r="Q516" s="610" t="s">
        <v>2929</v>
      </c>
    </row>
    <row r="517" spans="2:17" ht="15" thickBot="1" x14ac:dyDescent="0.35">
      <c r="B517" s="647" t="str">
        <f t="shared" si="13"/>
        <v>Strong Plus naložený clip bez pružiny</v>
      </c>
      <c r="M517" s="610" t="s">
        <v>1694</v>
      </c>
      <c r="N517" s="705" t="s">
        <v>1554</v>
      </c>
      <c r="O517" s="705" t="s">
        <v>1558</v>
      </c>
      <c r="P517" s="705" t="s">
        <v>1559</v>
      </c>
      <c r="Q517" s="610" t="s">
        <v>2926</v>
      </c>
    </row>
    <row r="518" spans="2:17" ht="15" thickBot="1" x14ac:dyDescent="0.35">
      <c r="B518" s="647" t="str">
        <f t="shared" si="13"/>
        <v>Strong Plus Clip vrut s excentrem H0</v>
      </c>
      <c r="M518" s="610" t="s">
        <v>1711</v>
      </c>
      <c r="N518" s="632" t="s">
        <v>1712</v>
      </c>
      <c r="O518" s="705" t="s">
        <v>1713</v>
      </c>
      <c r="P518" s="705" t="s">
        <v>1714</v>
      </c>
      <c r="Q518" s="610" t="s">
        <v>2933</v>
      </c>
    </row>
    <row r="519" spans="2:17" ht="15" thickBot="1" x14ac:dyDescent="0.35">
      <c r="B519" s="647" t="str">
        <f t="shared" si="13"/>
        <v>Strong Plus Clip vrut s excentrem H2</v>
      </c>
      <c r="M519" s="610" t="s">
        <v>1715</v>
      </c>
      <c r="N519" s="632" t="s">
        <v>1716</v>
      </c>
      <c r="O519" s="705" t="s">
        <v>1717</v>
      </c>
      <c r="P519" s="705" t="s">
        <v>1718</v>
      </c>
      <c r="Q519" s="610" t="s">
        <v>2934</v>
      </c>
    </row>
    <row r="520" spans="2:17" ht="15" thickBot="1" x14ac:dyDescent="0.35">
      <c r="B520" s="647" t="str">
        <f t="shared" si="13"/>
        <v>Úvod</v>
      </c>
      <c r="M520" s="638" t="s">
        <v>1607</v>
      </c>
      <c r="N520" s="638" t="s">
        <v>1607</v>
      </c>
      <c r="O520" s="705" t="s">
        <v>1608</v>
      </c>
      <c r="P520" s="705" t="s">
        <v>2559</v>
      </c>
      <c r="Q520" s="610" t="s">
        <v>2054</v>
      </c>
    </row>
    <row r="521" spans="2:17" ht="15" thickBot="1" x14ac:dyDescent="0.35">
      <c r="B521" s="647" t="str">
        <f t="shared" si="13"/>
        <v>Maximální možný rozměr rámečku Corleone je 1500x600mm</v>
      </c>
      <c r="M521" s="715" t="s">
        <v>1620</v>
      </c>
      <c r="N521" s="632" t="s">
        <v>1621</v>
      </c>
      <c r="O521" s="705" t="s">
        <v>1622</v>
      </c>
      <c r="P521" s="705" t="s">
        <v>1623</v>
      </c>
      <c r="Q521" s="610" t="s">
        <v>2935</v>
      </c>
    </row>
    <row r="522" spans="2:17" ht="15" thickBot="1" x14ac:dyDescent="0.35">
      <c r="B522" s="647" t="str">
        <f t="shared" si="13"/>
        <v>Kombinace 2 profilů</v>
      </c>
      <c r="M522" s="638" t="s">
        <v>2140</v>
      </c>
      <c r="N522" s="610" t="s">
        <v>2290</v>
      </c>
      <c r="O522" s="705" t="s">
        <v>2291</v>
      </c>
      <c r="P522" s="705" t="s">
        <v>2292</v>
      </c>
      <c r="Q522" s="610" t="s">
        <v>2936</v>
      </c>
    </row>
    <row r="523" spans="2:17" ht="15" thickBot="1" x14ac:dyDescent="0.35">
      <c r="B523" s="647" t="str">
        <f t="shared" si="13"/>
        <v>Dělící lišty</v>
      </c>
      <c r="M523" s="610" t="s">
        <v>2293</v>
      </c>
      <c r="N523" s="610" t="s">
        <v>2295</v>
      </c>
      <c r="O523" s="705" t="s">
        <v>2065</v>
      </c>
      <c r="P523" s="705" t="s">
        <v>2294</v>
      </c>
      <c r="Q523" s="610" t="s">
        <v>2717</v>
      </c>
    </row>
    <row r="524" spans="2:17" ht="15" thickBot="1" x14ac:dyDescent="0.35">
      <c r="B524" s="647" t="str">
        <f t="shared" si="13"/>
        <v>Značka kování</v>
      </c>
      <c r="M524" s="610" t="s">
        <v>2142</v>
      </c>
      <c r="N524" s="610" t="s">
        <v>2296</v>
      </c>
      <c r="O524" s="705" t="s">
        <v>2297</v>
      </c>
      <c r="P524" s="705" t="s">
        <v>2560</v>
      </c>
      <c r="Q524" s="610" t="s">
        <v>2735</v>
      </c>
    </row>
    <row r="525" spans="2:17" ht="15" thickBot="1" x14ac:dyDescent="0.35">
      <c r="B525" s="647" t="str">
        <f t="shared" si="13"/>
        <v>Varianta kování</v>
      </c>
      <c r="M525" s="610" t="s">
        <v>2143</v>
      </c>
      <c r="N525" s="610" t="s">
        <v>2299</v>
      </c>
      <c r="O525" s="705" t="s">
        <v>2298</v>
      </c>
      <c r="P525" s="705" t="s">
        <v>2561</v>
      </c>
      <c r="Q525" s="610" t="s">
        <v>2734</v>
      </c>
    </row>
    <row r="526" spans="2:17" ht="15" thickBot="1" x14ac:dyDescent="0.35">
      <c r="B526" s="647" t="str">
        <f t="shared" si="13"/>
        <v>Naložení</v>
      </c>
      <c r="M526" s="610" t="s">
        <v>2266</v>
      </c>
      <c r="N526" s="610" t="s">
        <v>2300</v>
      </c>
      <c r="O526" s="705" t="s">
        <v>2612</v>
      </c>
      <c r="P526" s="705" t="s">
        <v>2301</v>
      </c>
      <c r="Q526" s="610" t="s">
        <v>2718</v>
      </c>
    </row>
    <row r="527" spans="2:17" ht="15" thickBot="1" x14ac:dyDescent="0.35">
      <c r="B527" s="647" t="str">
        <f t="shared" si="13"/>
        <v>Závěsy k Výklopu</v>
      </c>
      <c r="M527" s="610" t="s">
        <v>2303</v>
      </c>
      <c r="N527" s="610" t="s">
        <v>2302</v>
      </c>
      <c r="O527" s="705" t="s">
        <v>2613</v>
      </c>
      <c r="P527" s="705" t="s">
        <v>2562</v>
      </c>
      <c r="Q527" s="610" t="s">
        <v>2937</v>
      </c>
    </row>
    <row r="528" spans="2:17" ht="15" thickBot="1" x14ac:dyDescent="0.35">
      <c r="B528" s="647" t="str">
        <f t="shared" si="13"/>
        <v>Rozteč</v>
      </c>
      <c r="M528" s="610" t="s">
        <v>2306</v>
      </c>
      <c r="N528" s="610" t="s">
        <v>2306</v>
      </c>
      <c r="O528" s="705" t="s">
        <v>2307</v>
      </c>
      <c r="P528" s="705" t="s">
        <v>2308</v>
      </c>
      <c r="Q528" s="610" t="s">
        <v>2719</v>
      </c>
    </row>
    <row r="529" spans="2:17" ht="15" thickBot="1" x14ac:dyDescent="0.35">
      <c r="B529" s="647" t="str">
        <f t="shared" si="13"/>
        <v>Rozteč úchytky (mm)</v>
      </c>
      <c r="M529" s="610" t="s">
        <v>2648</v>
      </c>
      <c r="N529" s="610" t="s">
        <v>2649</v>
      </c>
      <c r="O529" s="705" t="s">
        <v>2650</v>
      </c>
      <c r="P529" s="705" t="s">
        <v>2651</v>
      </c>
      <c r="Q529" s="610" t="s">
        <v>2737</v>
      </c>
    </row>
    <row r="530" spans="2:17" ht="15" thickBot="1" x14ac:dyDescent="0.35">
      <c r="B530" s="647" t="str">
        <f t="shared" si="13"/>
        <v>Umístění úchytky</v>
      </c>
      <c r="M530" s="610" t="s">
        <v>2175</v>
      </c>
      <c r="N530" s="610" t="s">
        <v>2304</v>
      </c>
      <c r="O530" s="705" t="s">
        <v>2614</v>
      </c>
      <c r="P530" s="705" t="s">
        <v>2305</v>
      </c>
      <c r="Q530" s="610" t="s">
        <v>2738</v>
      </c>
    </row>
    <row r="531" spans="2:17" ht="15" thickBot="1" x14ac:dyDescent="0.35">
      <c r="B531" s="647" t="str">
        <f t="shared" ref="B531:B594" si="14">IF($D$1=1,M531,IF($D$1=2,N531,IF($D$1=3,O531,IF($D$1=4,P531,IF($D$1=5,Q531,0)))))</f>
        <v>Závěsy</v>
      </c>
      <c r="M531" s="610" t="s">
        <v>735</v>
      </c>
      <c r="N531" s="610" t="s">
        <v>736</v>
      </c>
      <c r="O531" s="705" t="s">
        <v>737</v>
      </c>
      <c r="P531" s="705" t="s">
        <v>738</v>
      </c>
      <c r="Q531" s="610" t="s">
        <v>2795</v>
      </c>
    </row>
    <row r="532" spans="2:17" ht="15" thickBot="1" x14ac:dyDescent="0.35">
      <c r="B532" s="647" t="str">
        <f t="shared" si="14"/>
        <v>Výklopy</v>
      </c>
      <c r="M532" s="610" t="s">
        <v>1085</v>
      </c>
      <c r="N532" s="610" t="s">
        <v>1085</v>
      </c>
      <c r="O532" s="705" t="s">
        <v>2346</v>
      </c>
      <c r="P532" s="705" t="s">
        <v>2347</v>
      </c>
      <c r="Q532" s="610" t="s">
        <v>2938</v>
      </c>
    </row>
    <row r="533" spans="2:17" ht="15" thickBot="1" x14ac:dyDescent="0.35">
      <c r="B533" s="647" t="str">
        <f t="shared" si="14"/>
        <v>Naložený</v>
      </c>
      <c r="M533" s="715" t="s">
        <v>125</v>
      </c>
      <c r="N533" s="632" t="s">
        <v>125</v>
      </c>
      <c r="O533" s="705" t="s">
        <v>492</v>
      </c>
      <c r="P533" s="705" t="s">
        <v>568</v>
      </c>
      <c r="Q533" s="610" t="s">
        <v>2970</v>
      </c>
    </row>
    <row r="534" spans="2:17" ht="15" thickBot="1" x14ac:dyDescent="0.35">
      <c r="B534" s="647" t="str">
        <f t="shared" si="14"/>
        <v>Polonaložený</v>
      </c>
      <c r="M534" s="715" t="s">
        <v>126</v>
      </c>
      <c r="N534" s="632" t="s">
        <v>126</v>
      </c>
      <c r="O534" s="705" t="s">
        <v>493</v>
      </c>
      <c r="P534" s="705" t="s">
        <v>2509</v>
      </c>
      <c r="Q534" s="610" t="s">
        <v>2803</v>
      </c>
    </row>
    <row r="535" spans="2:17" ht="15" thickBot="1" x14ac:dyDescent="0.35">
      <c r="B535" s="647" t="str">
        <f t="shared" si="14"/>
        <v>Vložený</v>
      </c>
      <c r="M535" s="715" t="s">
        <v>127</v>
      </c>
      <c r="N535" s="632" t="s">
        <v>127</v>
      </c>
      <c r="O535" s="705" t="s">
        <v>2348</v>
      </c>
      <c r="P535" s="705" t="s">
        <v>2510</v>
      </c>
      <c r="Q535" s="610" t="s">
        <v>1847</v>
      </c>
    </row>
    <row r="536" spans="2:17" ht="15" thickBot="1" x14ac:dyDescent="0.35">
      <c r="B536" s="647" t="str">
        <f t="shared" si="14"/>
        <v>Ano</v>
      </c>
      <c r="M536" s="723" t="s">
        <v>2389</v>
      </c>
      <c r="N536" s="610" t="s">
        <v>2395</v>
      </c>
      <c r="O536" s="705" t="s">
        <v>2394</v>
      </c>
      <c r="P536" s="705" t="s">
        <v>2391</v>
      </c>
      <c r="Q536" s="610" t="s">
        <v>2720</v>
      </c>
    </row>
    <row r="537" spans="2:17" ht="15" thickBot="1" x14ac:dyDescent="0.35">
      <c r="B537" s="647" t="str">
        <f t="shared" si="14"/>
        <v>Ne</v>
      </c>
      <c r="M537" s="723" t="s">
        <v>2390</v>
      </c>
      <c r="N537" s="610" t="s">
        <v>2393</v>
      </c>
      <c r="O537" s="705" t="s">
        <v>2393</v>
      </c>
      <c r="P537" s="705" t="s">
        <v>2392</v>
      </c>
      <c r="Q537" s="610" t="s">
        <v>2721</v>
      </c>
    </row>
    <row r="538" spans="2:17" ht="15" thickBot="1" x14ac:dyDescent="0.35">
      <c r="B538" s="647" t="str">
        <f t="shared" si="14"/>
        <v>Horizontálně</v>
      </c>
      <c r="M538" s="723" t="s">
        <v>2088</v>
      </c>
      <c r="N538" s="610" t="s">
        <v>2397</v>
      </c>
      <c r="O538" s="705" t="s">
        <v>2400</v>
      </c>
      <c r="P538" s="705" t="s">
        <v>2403</v>
      </c>
      <c r="Q538" s="610" t="s">
        <v>2939</v>
      </c>
    </row>
    <row r="539" spans="2:17" ht="15" thickBot="1" x14ac:dyDescent="0.35">
      <c r="B539" s="647" t="str">
        <f t="shared" si="14"/>
        <v>Vertikálně</v>
      </c>
      <c r="M539" s="723" t="s">
        <v>2085</v>
      </c>
      <c r="N539" s="610" t="s">
        <v>2398</v>
      </c>
      <c r="O539" s="705" t="s">
        <v>2401</v>
      </c>
      <c r="P539" s="705" t="s">
        <v>2404</v>
      </c>
      <c r="Q539" s="610" t="s">
        <v>2722</v>
      </c>
    </row>
    <row r="540" spans="2:17" ht="15" thickBot="1" x14ac:dyDescent="0.35">
      <c r="B540" s="647" t="str">
        <f t="shared" si="14"/>
        <v>Horizontálně i Vertikálně</v>
      </c>
      <c r="M540" s="723" t="s">
        <v>2396</v>
      </c>
      <c r="N540" s="610" t="s">
        <v>2399</v>
      </c>
      <c r="O540" s="705" t="s">
        <v>2402</v>
      </c>
      <c r="P540" s="705" t="s">
        <v>2405</v>
      </c>
      <c r="Q540" s="610" t="s">
        <v>2723</v>
      </c>
    </row>
    <row r="541" spans="2:17" ht="15" thickBot="1" x14ac:dyDescent="0.35">
      <c r="B541" s="647" t="str">
        <f t="shared" si="14"/>
        <v>Rámeček složený ze dvou různých profilů</v>
      </c>
      <c r="M541" s="610" t="s">
        <v>2141</v>
      </c>
      <c r="N541" s="610" t="s">
        <v>2406</v>
      </c>
      <c r="O541" s="705" t="s">
        <v>2615</v>
      </c>
      <c r="P541" s="705" t="s">
        <v>2407</v>
      </c>
      <c r="Q541" s="610" t="s">
        <v>2940</v>
      </c>
    </row>
    <row r="542" spans="2:17" ht="15" thickBot="1" x14ac:dyDescent="0.35">
      <c r="B542" s="647" t="str">
        <f t="shared" si="14"/>
        <v>Typ folie</v>
      </c>
      <c r="M542" s="723" t="s">
        <v>2075</v>
      </c>
      <c r="N542" s="610" t="s">
        <v>2448</v>
      </c>
      <c r="O542" s="705" t="s">
        <v>2449</v>
      </c>
      <c r="P542" s="705" t="s">
        <v>2450</v>
      </c>
      <c r="Q542" s="610" t="s">
        <v>2941</v>
      </c>
    </row>
    <row r="543" spans="2:17" ht="15" thickBot="1" x14ac:dyDescent="0.35">
      <c r="B543" s="647" t="str">
        <f t="shared" si="14"/>
        <v>Transparentní</v>
      </c>
      <c r="M543" s="610" t="s">
        <v>2086</v>
      </c>
      <c r="N543" s="610" t="s">
        <v>2451</v>
      </c>
      <c r="O543" s="705" t="s">
        <v>2616</v>
      </c>
      <c r="P543" s="705" t="s">
        <v>2454</v>
      </c>
      <c r="Q543" s="610" t="s">
        <v>2724</v>
      </c>
    </row>
    <row r="544" spans="2:17" ht="15" thickBot="1" x14ac:dyDescent="0.35">
      <c r="B544" s="647" t="str">
        <f t="shared" si="14"/>
        <v>Bílá</v>
      </c>
      <c r="M544" s="610" t="s">
        <v>2089</v>
      </c>
      <c r="N544" s="610" t="s">
        <v>2452</v>
      </c>
      <c r="O544" s="705" t="s">
        <v>2617</v>
      </c>
      <c r="P544" s="705" t="s">
        <v>2563</v>
      </c>
      <c r="Q544" s="610" t="s">
        <v>2725</v>
      </c>
    </row>
    <row r="545" spans="2:17" ht="15" thickBot="1" x14ac:dyDescent="0.35">
      <c r="B545" s="647" t="str">
        <f t="shared" si="14"/>
        <v>Černá</v>
      </c>
      <c r="M545" s="610" t="s">
        <v>2092</v>
      </c>
      <c r="N545" s="610" t="s">
        <v>2453</v>
      </c>
      <c r="O545" s="705" t="s">
        <v>2618</v>
      </c>
      <c r="P545" s="705" t="s">
        <v>2455</v>
      </c>
      <c r="Q545" s="610" t="s">
        <v>2726</v>
      </c>
    </row>
    <row r="546" spans="2:17" ht="15" thickBot="1" x14ac:dyDescent="0.35">
      <c r="B546" s="647" t="str">
        <f t="shared" si="14"/>
        <v>Dále</v>
      </c>
      <c r="M546" s="610" t="s">
        <v>2463</v>
      </c>
      <c r="N546" s="610" t="s">
        <v>2464</v>
      </c>
      <c r="O546" s="705" t="s">
        <v>2619</v>
      </c>
      <c r="P546" s="705" t="s">
        <v>2465</v>
      </c>
      <c r="Q546" s="610" t="s">
        <v>2727</v>
      </c>
    </row>
    <row r="547" spans="2:17" ht="15" thickBot="1" x14ac:dyDescent="0.35">
      <c r="B547" s="647" t="str">
        <f t="shared" si="14"/>
        <v>Souhrn</v>
      </c>
      <c r="M547" s="610" t="s">
        <v>2282</v>
      </c>
      <c r="N547" s="610" t="s">
        <v>2468</v>
      </c>
      <c r="O547" s="705" t="s">
        <v>2466</v>
      </c>
      <c r="P547" s="705" t="s">
        <v>2467</v>
      </c>
      <c r="Q547" s="610" t="s">
        <v>2728</v>
      </c>
    </row>
    <row r="548" spans="2:17" ht="15" thickBot="1" x14ac:dyDescent="0.35">
      <c r="B548" s="647" t="str">
        <f t="shared" si="14"/>
        <v>Varna (Vlevo a Vpravo) + Siena (Nahoře a dole)</v>
      </c>
      <c r="M548" s="610" t="str">
        <f>$B$60</f>
        <v>Varna (Vlevo a Vpravo) + Siena (Nahoře a dole)</v>
      </c>
      <c r="Q548" s="610" t="s">
        <v>2654</v>
      </c>
    </row>
    <row r="549" spans="2:17" ht="15" thickBot="1" x14ac:dyDescent="0.35">
      <c r="B549" s="647" t="str">
        <f t="shared" si="14"/>
        <v>Varna (Vlevo a Vpravo) + Palio (Nahoře a dole)</v>
      </c>
      <c r="M549" s="610" t="str">
        <f>$B$64</f>
        <v>Varna (Vlevo a Vpravo) + Palio (Nahoře a dole)</v>
      </c>
      <c r="Q549" s="610" t="s">
        <v>2658</v>
      </c>
    </row>
    <row r="550" spans="2:17" ht="15" thickBot="1" x14ac:dyDescent="0.35">
      <c r="B550" s="647" t="str">
        <f t="shared" si="14"/>
        <v>Varna (Vlevo a Vpravo) + Rocca (Nahoře a dole)</v>
      </c>
      <c r="M550" s="610" t="str">
        <f>$B$66</f>
        <v>Varna (Vlevo a Vpravo) + Rocca (Nahoře a dole)</v>
      </c>
      <c r="Q550" s="610" t="s">
        <v>2660</v>
      </c>
    </row>
    <row r="551" spans="2:17" ht="15" thickBot="1" x14ac:dyDescent="0.35">
      <c r="B551" s="647" t="str">
        <f t="shared" si="14"/>
        <v>Pohled na předěly je jen ilustrativní a nezobrazuje zvolený počet ks. předělů horizontálně / vertikálně.</v>
      </c>
      <c r="M551" s="610" t="s">
        <v>2469</v>
      </c>
      <c r="Q551" s="610" t="s">
        <v>2942</v>
      </c>
    </row>
    <row r="552" spans="2:17" ht="15" thickBot="1" x14ac:dyDescent="0.35">
      <c r="B552" s="647" t="str">
        <f t="shared" si="14"/>
        <v>Upozornění</v>
      </c>
      <c r="M552" s="610" t="s">
        <v>2473</v>
      </c>
      <c r="N552" s="610" t="s">
        <v>2474</v>
      </c>
      <c r="O552" s="610" t="s">
        <v>2476</v>
      </c>
      <c r="P552" s="610" t="s">
        <v>2475</v>
      </c>
      <c r="Q552" s="610" t="s">
        <v>2729</v>
      </c>
    </row>
    <row r="553" spans="2:17" ht="15" thickBot="1" x14ac:dyDescent="0.35">
      <c r="B553" s="647" t="str">
        <f t="shared" si="14"/>
        <v>Již neměnit po tom co vyberete</v>
      </c>
      <c r="M553" s="610" t="s">
        <v>2620</v>
      </c>
      <c r="N553" s="610" t="s">
        <v>2621</v>
      </c>
      <c r="O553" s="610" t="s">
        <v>2622</v>
      </c>
      <c r="P553" s="610" t="s">
        <v>2623</v>
      </c>
      <c r="Q553" s="610" t="s">
        <v>2943</v>
      </c>
    </row>
    <row r="554" spans="2:17" ht="15" thickBot="1" x14ac:dyDescent="0.35">
      <c r="B554" s="647" t="str">
        <f t="shared" si="14"/>
        <v>Zpět</v>
      </c>
      <c r="M554" s="610" t="s">
        <v>2624</v>
      </c>
      <c r="N554" s="610" t="s">
        <v>2627</v>
      </c>
      <c r="O554" s="610" t="s">
        <v>2626</v>
      </c>
      <c r="P554" s="610" t="s">
        <v>2625</v>
      </c>
      <c r="Q554" s="610" t="s">
        <v>2730</v>
      </c>
    </row>
    <row r="555" spans="2:17" ht="15" thickBot="1" x14ac:dyDescent="0.35">
      <c r="B555" s="647" t="str">
        <f t="shared" si="14"/>
        <v>Standardní vzdálenost závěsů od okraje je nastavena na 100mm (minimální  80mm). V případě potřeby změnit rozteč mezi jednotlivými závěsy, prosím, uveďte do poznámky (v mm).</v>
      </c>
      <c r="M555" s="610" t="s">
        <v>2633</v>
      </c>
      <c r="N555" s="610" t="s">
        <v>2634</v>
      </c>
      <c r="O555" s="610" t="s">
        <v>2635</v>
      </c>
      <c r="P555" s="610" t="s">
        <v>2636</v>
      </c>
      <c r="Q555" s="610" t="s">
        <v>2944</v>
      </c>
    </row>
    <row r="556" spans="2:17" ht="144.6" thickBot="1" x14ac:dyDescent="0.35">
      <c r="B556" s="647" t="str">
        <f t="shared" si="14"/>
        <v>Do zelených buněk upřesněte vzdálenost vrtání úchytky od kraje rámečku.
Pokud požadujete vrtání úchytky na střed rámečku a do středu profilu, vepište prosím do zelených buněk "x".</v>
      </c>
      <c r="M556" s="724" t="s">
        <v>3012</v>
      </c>
      <c r="N556" s="724" t="s">
        <v>3356</v>
      </c>
      <c r="O556" s="724" t="s">
        <v>3357</v>
      </c>
      <c r="P556" s="724" t="s">
        <v>3358</v>
      </c>
      <c r="Q556" s="724" t="s">
        <v>3013</v>
      </c>
    </row>
    <row r="557" spans="2:17" ht="15" thickBot="1" x14ac:dyDescent="0.35">
      <c r="B557" s="647" t="str">
        <f t="shared" si="14"/>
        <v>Při použití pantů je doporučený rozměr 600 mm.</v>
      </c>
      <c r="M557" s="610" t="s">
        <v>2740</v>
      </c>
      <c r="N557" s="610" t="s">
        <v>2742</v>
      </c>
      <c r="O557" s="610" t="s">
        <v>2741</v>
      </c>
      <c r="P557" s="610" t="s">
        <v>2743</v>
      </c>
      <c r="Q557" s="610" t="s">
        <v>2744</v>
      </c>
    </row>
    <row r="558" spans="2:17" ht="15" thickBot="1" x14ac:dyDescent="0.35">
      <c r="B558" s="647" t="str">
        <f t="shared" si="14"/>
        <v>Varna černá výrobce doporučuje délku max. 1200 mm</v>
      </c>
      <c r="M558" s="610" t="s">
        <v>2761</v>
      </c>
      <c r="N558" s="610" t="s">
        <v>2762</v>
      </c>
      <c r="O558" s="610" t="s">
        <v>2763</v>
      </c>
      <c r="P558" s="610" t="s">
        <v>2765</v>
      </c>
      <c r="Q558" s="610" t="s">
        <v>2767</v>
      </c>
    </row>
    <row r="559" spans="2:17" ht="15" thickBot="1" x14ac:dyDescent="0.35">
      <c r="B559" s="647" t="str">
        <f t="shared" si="14"/>
        <v>Varna černá výrobce doporučuje délku max. 1200 mm</v>
      </c>
      <c r="M559" s="610" t="s">
        <v>2761</v>
      </c>
      <c r="N559" s="610" t="s">
        <v>2769</v>
      </c>
      <c r="O559" s="610" t="s">
        <v>2763</v>
      </c>
      <c r="P559" s="610" t="s">
        <v>2765</v>
      </c>
      <c r="Q559" s="610" t="s">
        <v>2767</v>
      </c>
    </row>
    <row r="560" spans="2:17" ht="15" thickBot="1" x14ac:dyDescent="0.35">
      <c r="B560" s="647" t="str">
        <f t="shared" si="14"/>
        <v>Rocca černá délka max. 2150 mm/ Varna černá délka max. 1200 mm</v>
      </c>
      <c r="M560" s="610" t="s">
        <v>2770</v>
      </c>
      <c r="N560" s="610" t="s">
        <v>2760</v>
      </c>
      <c r="O560" s="610" t="s">
        <v>2764</v>
      </c>
      <c r="P560" s="610" t="s">
        <v>2766</v>
      </c>
      <c r="Q560" s="610" t="s">
        <v>2768</v>
      </c>
    </row>
    <row r="561" spans="2:17" ht="15" thickBot="1" x14ac:dyDescent="0.35">
      <c r="B561" s="647" t="str">
        <f t="shared" si="14"/>
        <v>Objednávka skla</v>
      </c>
      <c r="M561" s="610" t="s">
        <v>2771</v>
      </c>
      <c r="N561" s="610" t="s">
        <v>2771</v>
      </c>
      <c r="O561" s="610" t="s">
        <v>2772</v>
      </c>
      <c r="P561" s="610" t="s">
        <v>2773</v>
      </c>
      <c r="Q561" s="610" t="s">
        <v>2774</v>
      </c>
    </row>
    <row r="562" spans="2:17" ht="15" thickBot="1" x14ac:dyDescent="0.35">
      <c r="B562" s="647" t="str">
        <f t="shared" si="14"/>
        <v>závěs s pružinou a tlumením</v>
      </c>
      <c r="M562" s="610" t="s">
        <v>2253</v>
      </c>
      <c r="N562" s="610" t="s">
        <v>2971</v>
      </c>
      <c r="O562" s="610" t="s">
        <v>3020</v>
      </c>
      <c r="P562" s="610" t="s">
        <v>2974</v>
      </c>
      <c r="Q562" s="610" t="s">
        <v>2974</v>
      </c>
    </row>
    <row r="563" spans="2:17" ht="15" thickBot="1" x14ac:dyDescent="0.35">
      <c r="B563" s="647" t="str">
        <f t="shared" si="14"/>
        <v>závěs s pružinou bez tlumení</v>
      </c>
      <c r="M563" s="610" t="s">
        <v>2256</v>
      </c>
      <c r="N563" s="610" t="s">
        <v>2972</v>
      </c>
      <c r="O563" s="610" t="s">
        <v>3021</v>
      </c>
      <c r="P563" s="610" t="s">
        <v>2975</v>
      </c>
      <c r="Q563" s="610" t="s">
        <v>2975</v>
      </c>
    </row>
    <row r="564" spans="2:17" ht="15" thickBot="1" x14ac:dyDescent="0.35">
      <c r="B564" s="647" t="str">
        <f t="shared" si="14"/>
        <v>tip-on závěs bez pružiny/tlumení</v>
      </c>
      <c r="M564" s="610" t="s">
        <v>2260</v>
      </c>
      <c r="N564" s="610" t="s">
        <v>2973</v>
      </c>
      <c r="O564" s="610" t="s">
        <v>3022</v>
      </c>
      <c r="P564" s="610" t="s">
        <v>2976</v>
      </c>
      <c r="Q564" s="610" t="s">
        <v>2976</v>
      </c>
    </row>
    <row r="565" spans="2:17" ht="15" thickBot="1" x14ac:dyDescent="0.35">
      <c r="B565" s="647" t="str">
        <f t="shared" si="14"/>
        <v>stříbrná</v>
      </c>
      <c r="M565" s="610" t="s">
        <v>2254</v>
      </c>
      <c r="N565" s="610" t="s">
        <v>2981</v>
      </c>
      <c r="O565" s="610" t="s">
        <v>2982</v>
      </c>
      <c r="P565" s="610" t="s">
        <v>2977</v>
      </c>
      <c r="Q565" s="610" t="s">
        <v>2979</v>
      </c>
    </row>
    <row r="566" spans="2:17" ht="15" thickBot="1" x14ac:dyDescent="0.35">
      <c r="B566" s="647" t="str">
        <f t="shared" si="14"/>
        <v>černá</v>
      </c>
      <c r="M566" s="610" t="s">
        <v>2257</v>
      </c>
      <c r="N566" s="610" t="s">
        <v>2453</v>
      </c>
      <c r="O566" s="610" t="s">
        <v>2983</v>
      </c>
      <c r="P566" s="610" t="s">
        <v>2978</v>
      </c>
      <c r="Q566" s="610" t="s">
        <v>2980</v>
      </c>
    </row>
    <row r="567" spans="2:17" ht="15" thickBot="1" x14ac:dyDescent="0.35">
      <c r="B567" s="647" t="str">
        <f t="shared" si="14"/>
        <v>Při použití se sklem je maximální doporučený rozměr 1500 x 600 mm</v>
      </c>
      <c r="M567" s="610" t="s">
        <v>3016</v>
      </c>
      <c r="N567" s="610" t="s">
        <v>3019</v>
      </c>
      <c r="O567" s="610" t="s">
        <v>3017</v>
      </c>
      <c r="P567" s="610" t="s">
        <v>3018</v>
      </c>
      <c r="Q567" s="610" t="s">
        <v>3015</v>
      </c>
    </row>
    <row r="568" spans="2:17" x14ac:dyDescent="0.3">
      <c r="B568" s="610" t="s">
        <v>3355</v>
      </c>
    </row>
    <row r="569" spans="2:17" ht="15" thickBot="1" x14ac:dyDescent="0.35">
      <c r="B569" s="647" t="str">
        <f t="shared" si="14"/>
        <v>(spodního)</v>
      </c>
      <c r="M569" s="137" t="s">
        <v>2629</v>
      </c>
      <c r="N569" s="610" t="s">
        <v>3359</v>
      </c>
      <c r="O569" s="610" t="s">
        <v>3371</v>
      </c>
      <c r="P569" s="610" t="s">
        <v>3363</v>
      </c>
      <c r="Q569" s="610" t="s">
        <v>3367</v>
      </c>
    </row>
    <row r="570" spans="2:17" ht="15" thickBot="1" x14ac:dyDescent="0.35">
      <c r="B570" s="647" t="str">
        <f t="shared" si="14"/>
        <v>(levého)</v>
      </c>
      <c r="M570" s="137" t="s">
        <v>2631</v>
      </c>
      <c r="N570" s="610" t="s">
        <v>3360</v>
      </c>
      <c r="O570" s="610" t="s">
        <v>3372</v>
      </c>
      <c r="P570" s="610" t="s">
        <v>3364</v>
      </c>
      <c r="Q570" s="610" t="s">
        <v>3368</v>
      </c>
    </row>
    <row r="571" spans="2:17" ht="15" thickBot="1" x14ac:dyDescent="0.35">
      <c r="B571" s="647" t="str">
        <f t="shared" si="14"/>
        <v>(horního)</v>
      </c>
      <c r="M571" s="137" t="s">
        <v>2630</v>
      </c>
      <c r="N571" s="610" t="s">
        <v>3361</v>
      </c>
      <c r="O571" s="610" t="s">
        <v>3373</v>
      </c>
      <c r="P571" s="610" t="s">
        <v>3365</v>
      </c>
      <c r="Q571" s="610" t="s">
        <v>3369</v>
      </c>
    </row>
    <row r="572" spans="2:17" ht="15" thickBot="1" x14ac:dyDescent="0.35">
      <c r="B572" s="647" t="str">
        <f t="shared" si="14"/>
        <v>(pravého)</v>
      </c>
      <c r="M572" s="137" t="s">
        <v>2632</v>
      </c>
      <c r="N572" s="610" t="s">
        <v>3362</v>
      </c>
      <c r="O572" s="610" t="s">
        <v>3374</v>
      </c>
      <c r="P572" s="610" t="s">
        <v>3366</v>
      </c>
      <c r="Q572" s="610" t="s">
        <v>3370</v>
      </c>
    </row>
    <row r="573" spans="2:17" ht="15" thickBot="1" x14ac:dyDescent="0.35">
      <c r="B573" s="647" t="str">
        <f t="shared" si="14"/>
        <v>275672- autom. 30N šedá</v>
      </c>
      <c r="M573" s="610" t="s">
        <v>3377</v>
      </c>
      <c r="N573" s="610" t="s">
        <v>3378</v>
      </c>
      <c r="O573" s="610" t="s">
        <v>3379</v>
      </c>
      <c r="P573" s="610" t="s">
        <v>3380</v>
      </c>
      <c r="Q573" s="610" t="s">
        <v>3381</v>
      </c>
    </row>
    <row r="574" spans="2:17" ht="15" thickBot="1" x14ac:dyDescent="0.35">
      <c r="B574" s="647" t="str">
        <f t="shared" si="14"/>
        <v>275673- autom. 60N šedá</v>
      </c>
      <c r="M574" s="610" t="s">
        <v>3382</v>
      </c>
      <c r="N574" s="610" t="s">
        <v>3383</v>
      </c>
      <c r="O574" s="610" t="s">
        <v>3384</v>
      </c>
      <c r="P574" s="610" t="s">
        <v>3385</v>
      </c>
      <c r="Q574" s="610" t="s">
        <v>3386</v>
      </c>
    </row>
    <row r="575" spans="2:17" ht="15" thickBot="1" x14ac:dyDescent="0.35">
      <c r="B575" s="647" t="str">
        <f t="shared" si="14"/>
        <v>275674- autom. 80N šedá</v>
      </c>
      <c r="M575" s="610" t="s">
        <v>3387</v>
      </c>
      <c r="N575" s="610" t="s">
        <v>3388</v>
      </c>
      <c r="O575" s="610" t="s">
        <v>3389</v>
      </c>
      <c r="P575" s="610" t="s">
        <v>3390</v>
      </c>
      <c r="Q575" s="610" t="s">
        <v>3391</v>
      </c>
    </row>
    <row r="576" spans="2:17" ht="15" thickBot="1" x14ac:dyDescent="0.35">
      <c r="B576" s="647" t="str">
        <f t="shared" si="14"/>
        <v>275675- autom. 100N šedá</v>
      </c>
      <c r="M576" s="610" t="s">
        <v>3392</v>
      </c>
      <c r="N576" s="610" t="s">
        <v>3393</v>
      </c>
      <c r="O576" s="610" t="s">
        <v>3394</v>
      </c>
      <c r="P576" s="610" t="s">
        <v>3395</v>
      </c>
      <c r="Q576" s="610" t="s">
        <v>3396</v>
      </c>
    </row>
    <row r="577" spans="2:17" ht="15" thickBot="1" x14ac:dyDescent="0.35">
      <c r="B577" s="647" t="str">
        <f t="shared" si="14"/>
        <v>275676- autom. 120N šedá</v>
      </c>
      <c r="M577" s="610" t="s">
        <v>3397</v>
      </c>
      <c r="N577" s="610" t="s">
        <v>3398</v>
      </c>
      <c r="O577" s="610" t="s">
        <v>3399</v>
      </c>
      <c r="P577" s="610" t="s">
        <v>3400</v>
      </c>
      <c r="Q577" s="610" t="s">
        <v>3401</v>
      </c>
    </row>
    <row r="578" spans="2:17" ht="15" thickBot="1" x14ac:dyDescent="0.35">
      <c r="B578" s="741" t="s">
        <v>3376</v>
      </c>
    </row>
    <row r="579" spans="2:17" ht="15" thickBot="1" x14ac:dyDescent="0.35">
      <c r="B579" s="647" t="str">
        <f t="shared" si="14"/>
        <v>248162- autom. 30N bílá</v>
      </c>
      <c r="M579" s="610" t="s">
        <v>3402</v>
      </c>
      <c r="N579" s="610" t="s">
        <v>3403</v>
      </c>
      <c r="O579" s="610" t="s">
        <v>3404</v>
      </c>
      <c r="P579" s="610" t="s">
        <v>3405</v>
      </c>
      <c r="Q579" s="610" t="s">
        <v>3406</v>
      </c>
    </row>
    <row r="580" spans="2:17" ht="15" thickBot="1" x14ac:dyDescent="0.35">
      <c r="B580" s="647" t="str">
        <f t="shared" si="14"/>
        <v>248163- autom. 60N bílá</v>
      </c>
      <c r="M580" s="610" t="s">
        <v>3407</v>
      </c>
      <c r="N580" s="610" t="s">
        <v>3408</v>
      </c>
      <c r="O580" s="610" t="s">
        <v>3409</v>
      </c>
      <c r="P580" s="610" t="s">
        <v>3410</v>
      </c>
      <c r="Q580" s="610" t="s">
        <v>3411</v>
      </c>
    </row>
    <row r="581" spans="2:17" ht="15" thickBot="1" x14ac:dyDescent="0.35">
      <c r="B581" s="647" t="str">
        <f t="shared" si="14"/>
        <v>248164- autom. 80N bílá</v>
      </c>
      <c r="M581" s="610" t="s">
        <v>3412</v>
      </c>
      <c r="N581" s="610" t="s">
        <v>3413</v>
      </c>
      <c r="O581" s="610" t="s">
        <v>3414</v>
      </c>
      <c r="P581" s="610" t="s">
        <v>3415</v>
      </c>
      <c r="Q581" s="610" t="s">
        <v>3416</v>
      </c>
    </row>
    <row r="582" spans="2:17" ht="15" thickBot="1" x14ac:dyDescent="0.35">
      <c r="B582" s="647" t="str">
        <f t="shared" si="14"/>
        <v>248165- autom. 100N bílá</v>
      </c>
      <c r="M582" s="610" t="s">
        <v>3417</v>
      </c>
      <c r="N582" s="610" t="s">
        <v>3418</v>
      </c>
      <c r="O582" s="610" t="s">
        <v>3419</v>
      </c>
      <c r="P582" s="610" t="s">
        <v>3420</v>
      </c>
      <c r="Q582" s="610" t="s">
        <v>3421</v>
      </c>
    </row>
    <row r="583" spans="2:17" ht="15" thickBot="1" x14ac:dyDescent="0.35">
      <c r="B583" s="647" t="str">
        <f t="shared" si="14"/>
        <v>248166- autom. 120N bílá</v>
      </c>
      <c r="M583" s="610" t="s">
        <v>3422</v>
      </c>
      <c r="N583" s="610" t="s">
        <v>3423</v>
      </c>
      <c r="O583" s="610" t="s">
        <v>3424</v>
      </c>
      <c r="P583" s="610" t="s">
        <v>3425</v>
      </c>
      <c r="Q583" s="610" t="s">
        <v>3426</v>
      </c>
    </row>
    <row r="584" spans="2:17" ht="15" thickBot="1" x14ac:dyDescent="0.35">
      <c r="B584" s="647" t="str">
        <f t="shared" si="14"/>
        <v>284250- poloh. 60N šedá</v>
      </c>
      <c r="M584" s="610" t="s">
        <v>3427</v>
      </c>
      <c r="N584" s="610" t="s">
        <v>3428</v>
      </c>
      <c r="O584" s="610" t="s">
        <v>3429</v>
      </c>
      <c r="P584" s="610" t="s">
        <v>3430</v>
      </c>
      <c r="Q584" s="610" t="s">
        <v>3431</v>
      </c>
    </row>
    <row r="585" spans="2:17" ht="15" thickBot="1" x14ac:dyDescent="0.35">
      <c r="B585" s="741" t="s">
        <v>3376</v>
      </c>
    </row>
    <row r="586" spans="2:17" ht="15" thickBot="1" x14ac:dyDescent="0.35">
      <c r="B586" s="647" t="str">
        <f t="shared" si="14"/>
        <v>284251- poloh. 80N šedá</v>
      </c>
      <c r="M586" s="610" t="s">
        <v>3432</v>
      </c>
      <c r="N586" s="610" t="s">
        <v>3433</v>
      </c>
      <c r="O586" s="610" t="s">
        <v>3434</v>
      </c>
      <c r="P586" s="610" t="s">
        <v>3435</v>
      </c>
      <c r="Q586" s="610" t="s">
        <v>3436</v>
      </c>
    </row>
    <row r="587" spans="2:17" ht="15" thickBot="1" x14ac:dyDescent="0.35">
      <c r="B587" s="647" t="str">
        <f t="shared" si="14"/>
        <v>284252- poloh. 100N šedá</v>
      </c>
      <c r="M587" s="610" t="s">
        <v>3437</v>
      </c>
      <c r="N587" s="610" t="s">
        <v>3438</v>
      </c>
      <c r="O587" s="610" t="s">
        <v>3439</v>
      </c>
      <c r="P587" s="610" t="s">
        <v>3440</v>
      </c>
      <c r="Q587" s="610" t="s">
        <v>3441</v>
      </c>
    </row>
    <row r="588" spans="2:17" ht="15" thickBot="1" x14ac:dyDescent="0.35">
      <c r="B588" s="647" t="str">
        <f t="shared" si="14"/>
        <v>284253- poloh. 120N šedá</v>
      </c>
      <c r="M588" s="610" t="s">
        <v>3442</v>
      </c>
      <c r="N588" s="610" t="s">
        <v>3443</v>
      </c>
      <c r="O588" s="610" t="s">
        <v>3444</v>
      </c>
      <c r="P588" s="610" t="s">
        <v>3445</v>
      </c>
      <c r="Q588" s="610" t="s">
        <v>3446</v>
      </c>
    </row>
    <row r="589" spans="2:17" ht="15" thickBot="1" x14ac:dyDescent="0.35">
      <c r="B589" s="647" t="str">
        <f t="shared" si="14"/>
        <v>284254- poloh. 60N bílá</v>
      </c>
      <c r="M589" s="610" t="s">
        <v>3447</v>
      </c>
      <c r="N589" s="610" t="s">
        <v>3448</v>
      </c>
      <c r="O589" s="610" t="s">
        <v>3449</v>
      </c>
      <c r="P589" s="610" t="s">
        <v>3450</v>
      </c>
      <c r="Q589" s="610" t="s">
        <v>3451</v>
      </c>
    </row>
    <row r="590" spans="2:17" ht="15" thickBot="1" x14ac:dyDescent="0.35">
      <c r="B590" s="647" t="str">
        <f t="shared" si="14"/>
        <v>284255- poloh. 80N bílá</v>
      </c>
      <c r="M590" s="610" t="s">
        <v>3452</v>
      </c>
      <c r="N590" s="610" t="s">
        <v>3453</v>
      </c>
      <c r="O590" s="610" t="s">
        <v>3454</v>
      </c>
      <c r="P590" s="610" t="s">
        <v>3455</v>
      </c>
      <c r="Q590" s="610" t="s">
        <v>3456</v>
      </c>
    </row>
    <row r="591" spans="2:17" ht="15" thickBot="1" x14ac:dyDescent="0.35">
      <c r="B591" s="647" t="str">
        <f t="shared" si="14"/>
        <v>284256- poloh. 100N bílá</v>
      </c>
      <c r="M591" s="610" t="s">
        <v>3457</v>
      </c>
      <c r="N591" s="610" t="s">
        <v>3458</v>
      </c>
      <c r="O591" s="610" t="s">
        <v>3459</v>
      </c>
      <c r="P591" s="610" t="s">
        <v>3460</v>
      </c>
      <c r="Q591" s="610" t="s">
        <v>3461</v>
      </c>
    </row>
    <row r="592" spans="2:17" ht="15" thickBot="1" x14ac:dyDescent="0.35">
      <c r="B592" s="647" t="str">
        <f t="shared" si="14"/>
        <v>284257- poloh. 120N bílá</v>
      </c>
      <c r="M592" s="610" t="s">
        <v>3462</v>
      </c>
      <c r="N592" s="610" t="s">
        <v>3463</v>
      </c>
      <c r="O592" s="610" t="s">
        <v>3464</v>
      </c>
      <c r="P592" s="610" t="s">
        <v>3465</v>
      </c>
      <c r="Q592" s="610" t="s">
        <v>3466</v>
      </c>
    </row>
    <row r="593" spans="2:17" ht="15" thickBot="1" x14ac:dyDescent="0.35">
      <c r="B593" s="741" t="s">
        <v>3376</v>
      </c>
    </row>
    <row r="594" spans="2:17" ht="15" thickBot="1" x14ac:dyDescent="0.35">
      <c r="B594" s="647" t="str">
        <f t="shared" si="14"/>
        <v>275689- spodní 80N šedá</v>
      </c>
      <c r="M594" s="610" t="s">
        <v>3467</v>
      </c>
      <c r="N594" s="610" t="s">
        <v>3468</v>
      </c>
      <c r="O594" s="610" t="s">
        <v>3469</v>
      </c>
      <c r="P594" s="610" t="s">
        <v>3470</v>
      </c>
      <c r="Q594" s="610" t="s">
        <v>3471</v>
      </c>
    </row>
    <row r="595" spans="2:17" ht="15" thickBot="1" x14ac:dyDescent="0.35">
      <c r="B595" s="647" t="str">
        <f t="shared" ref="B595:B607" si="15">IF($D$1=1,M595,IF($D$1=2,N595,IF($D$1=3,O595,IF($D$1=4,P595,IF($D$1=5,Q595,0)))))</f>
        <v>248167- spodní 80N bílá</v>
      </c>
      <c r="M595" s="610" t="s">
        <v>3472</v>
      </c>
      <c r="N595" s="610" t="s">
        <v>3473</v>
      </c>
      <c r="O595" s="610" t="s">
        <v>3474</v>
      </c>
      <c r="P595" s="610" t="s">
        <v>3475</v>
      </c>
      <c r="Q595" s="610" t="s">
        <v>3476</v>
      </c>
    </row>
    <row r="596" spans="2:17" ht="15" thickBot="1" x14ac:dyDescent="0.35">
      <c r="B596" s="647" t="str">
        <f t="shared" si="15"/>
        <v>197608-20L3200.06-výška skříňky=300 – 349 mm</v>
      </c>
      <c r="M596" s="610" t="s">
        <v>3477</v>
      </c>
      <c r="N596" s="610" t="s">
        <v>3478</v>
      </c>
      <c r="O596" s="610" t="s">
        <v>3479</v>
      </c>
      <c r="P596" s="610" t="s">
        <v>3480</v>
      </c>
      <c r="Q596" s="610" t="s">
        <v>3481</v>
      </c>
    </row>
    <row r="597" spans="2:17" ht="15" thickBot="1" x14ac:dyDescent="0.35">
      <c r="B597" s="647" t="str">
        <f t="shared" si="15"/>
        <v>197609-20L3500.06-výška skříňky=350 – 399 mm</v>
      </c>
      <c r="M597" s="610" t="s">
        <v>3482</v>
      </c>
      <c r="N597" s="610" t="s">
        <v>3483</v>
      </c>
      <c r="O597" s="610" t="s">
        <v>3484</v>
      </c>
      <c r="P597" s="610" t="s">
        <v>3485</v>
      </c>
      <c r="Q597" s="610" t="s">
        <v>3486</v>
      </c>
    </row>
    <row r="598" spans="2:17" ht="15" thickBot="1" x14ac:dyDescent="0.35">
      <c r="B598" s="647" t="str">
        <f t="shared" si="15"/>
        <v>197610-20L3800.06-výška skříňky=400 – 550 mm</v>
      </c>
      <c r="M598" s="610" t="s">
        <v>3487</v>
      </c>
      <c r="N598" s="610" t="s">
        <v>3488</v>
      </c>
      <c r="O598" s="610" t="s">
        <v>3489</v>
      </c>
      <c r="P598" s="610" t="s">
        <v>3490</v>
      </c>
      <c r="Q598" s="610" t="s">
        <v>3491</v>
      </c>
    </row>
    <row r="599" spans="2:17" ht="15" thickBot="1" x14ac:dyDescent="0.35">
      <c r="B599" s="647" t="str">
        <f t="shared" si="15"/>
        <v>197611-20L3900.06-výška skříňky=450 – 580 mm</v>
      </c>
      <c r="M599" s="610" t="s">
        <v>3492</v>
      </c>
      <c r="N599" s="610" t="s">
        <v>3493</v>
      </c>
      <c r="O599" s="610" t="s">
        <v>3494</v>
      </c>
      <c r="P599" s="610" t="s">
        <v>3495</v>
      </c>
      <c r="Q599" s="610" t="s">
        <v>3496</v>
      </c>
    </row>
    <row r="600" spans="2:17" ht="15" thickBot="1" x14ac:dyDescent="0.35">
      <c r="B600" s="647" t="str">
        <f t="shared" si="15"/>
        <v>Servo:</v>
      </c>
      <c r="M600" s="610" t="s">
        <v>3497</v>
      </c>
      <c r="N600" s="610" t="s">
        <v>3497</v>
      </c>
      <c r="O600" s="610" t="s">
        <v>3497</v>
      </c>
      <c r="P600" s="610" t="s">
        <v>3497</v>
      </c>
      <c r="Q600" s="610" t="s">
        <v>3497</v>
      </c>
    </row>
    <row r="601" spans="2:17" ht="15" thickBot="1" x14ac:dyDescent="0.35">
      <c r="B601" s="647" t="str">
        <f t="shared" si="15"/>
        <v>197612-21L3200.01-výška skříňky=300 – 349 mm</v>
      </c>
      <c r="M601" s="610" t="s">
        <v>3498</v>
      </c>
      <c r="N601" s="610" t="s">
        <v>3499</v>
      </c>
      <c r="O601" s="610" t="s">
        <v>3500</v>
      </c>
      <c r="P601" s="610" t="s">
        <v>3501</v>
      </c>
      <c r="Q601" s="610" t="s">
        <v>3502</v>
      </c>
    </row>
    <row r="602" spans="2:17" ht="15" thickBot="1" x14ac:dyDescent="0.35">
      <c r="B602" s="647" t="str">
        <f t="shared" si="15"/>
        <v>197613-21L3500.01-výška skříňky=350 – 399 mm</v>
      </c>
      <c r="M602" s="610" t="s">
        <v>3503</v>
      </c>
      <c r="N602" s="610" t="s">
        <v>3504</v>
      </c>
      <c r="O602" s="610" t="s">
        <v>3505</v>
      </c>
      <c r="P602" s="610" t="s">
        <v>3506</v>
      </c>
      <c r="Q602" s="610" t="s">
        <v>3507</v>
      </c>
    </row>
    <row r="603" spans="2:17" ht="15" thickBot="1" x14ac:dyDescent="0.35">
      <c r="B603" s="647" t="str">
        <f t="shared" si="15"/>
        <v>197614-21L3800.01-výška skříňky=400 – 550 mm</v>
      </c>
      <c r="M603" s="610" t="s">
        <v>3508</v>
      </c>
      <c r="N603" s="610" t="s">
        <v>3509</v>
      </c>
      <c r="O603" s="610" t="s">
        <v>3510</v>
      </c>
      <c r="P603" s="610" t="s">
        <v>3511</v>
      </c>
      <c r="Q603" s="610" t="s">
        <v>3512</v>
      </c>
    </row>
    <row r="604" spans="2:17" ht="15" thickBot="1" x14ac:dyDescent="0.35">
      <c r="B604" s="647" t="str">
        <f t="shared" si="15"/>
        <v>197615-21L3900.01-výška skříňky=450 – 580 mm</v>
      </c>
      <c r="M604" s="610" t="s">
        <v>3513</v>
      </c>
      <c r="N604" s="610" t="s">
        <v>3514</v>
      </c>
      <c r="O604" s="610" t="s">
        <v>3515</v>
      </c>
      <c r="P604" s="610" t="s">
        <v>3516</v>
      </c>
      <c r="Q604" s="610" t="s">
        <v>3517</v>
      </c>
    </row>
    <row r="605" spans="2:17" ht="15" thickBot="1" x14ac:dyDescent="0.35">
      <c r="B605" s="647">
        <f t="shared" si="15"/>
        <v>0</v>
      </c>
    </row>
    <row r="606" spans="2:17" ht="15" thickBot="1" x14ac:dyDescent="0.35">
      <c r="B606" s="647">
        <f t="shared" si="15"/>
        <v>0</v>
      </c>
    </row>
    <row r="607" spans="2:17" ht="15" thickBot="1" x14ac:dyDescent="0.35">
      <c r="B607" s="647">
        <f t="shared" si="15"/>
        <v>0</v>
      </c>
    </row>
  </sheetData>
  <mergeCells count="338">
    <mergeCell ref="K85:L85"/>
    <mergeCell ref="C89:D89"/>
    <mergeCell ref="C144:D144"/>
    <mergeCell ref="E144:F144"/>
    <mergeCell ref="G144:H144"/>
    <mergeCell ref="I144:J144"/>
    <mergeCell ref="K144:L144"/>
    <mergeCell ref="C146:D146"/>
    <mergeCell ref="E146:F146"/>
    <mergeCell ref="G146:H146"/>
    <mergeCell ref="I146:J146"/>
    <mergeCell ref="K146:L146"/>
    <mergeCell ref="E139:F139"/>
    <mergeCell ref="G139:H139"/>
    <mergeCell ref="I139:J139"/>
    <mergeCell ref="K139:L139"/>
    <mergeCell ref="C140:D140"/>
    <mergeCell ref="E140:F140"/>
    <mergeCell ref="G140:H140"/>
    <mergeCell ref="I140:J140"/>
    <mergeCell ref="K140:L140"/>
    <mergeCell ref="C137:D137"/>
    <mergeCell ref="E137:F137"/>
    <mergeCell ref="G137:H137"/>
    <mergeCell ref="A6:A57"/>
    <mergeCell ref="A82:A146"/>
    <mergeCell ref="A60:A65"/>
    <mergeCell ref="C143:D143"/>
    <mergeCell ref="E143:F143"/>
    <mergeCell ref="G143:H143"/>
    <mergeCell ref="I143:J143"/>
    <mergeCell ref="K143:L143"/>
    <mergeCell ref="C145:D145"/>
    <mergeCell ref="E145:F145"/>
    <mergeCell ref="G145:H145"/>
    <mergeCell ref="I145:J145"/>
    <mergeCell ref="K145:L145"/>
    <mergeCell ref="C141:D141"/>
    <mergeCell ref="E141:F141"/>
    <mergeCell ref="G141:H141"/>
    <mergeCell ref="I141:J141"/>
    <mergeCell ref="K141:L141"/>
    <mergeCell ref="C142:D142"/>
    <mergeCell ref="E142:F142"/>
    <mergeCell ref="G142:H142"/>
    <mergeCell ref="I142:J142"/>
    <mergeCell ref="K142:L142"/>
    <mergeCell ref="C139:D139"/>
    <mergeCell ref="I137:J137"/>
    <mergeCell ref="K137:L137"/>
    <mergeCell ref="C138:D138"/>
    <mergeCell ref="E138:F138"/>
    <mergeCell ref="G138:H138"/>
    <mergeCell ref="I138:J138"/>
    <mergeCell ref="K138:L138"/>
    <mergeCell ref="C135:D135"/>
    <mergeCell ref="E135:F135"/>
    <mergeCell ref="G135:H135"/>
    <mergeCell ref="I135:J135"/>
    <mergeCell ref="K135:L135"/>
    <mergeCell ref="C136:D136"/>
    <mergeCell ref="E136:F136"/>
    <mergeCell ref="G136:H136"/>
    <mergeCell ref="I136:J136"/>
    <mergeCell ref="K136:L136"/>
    <mergeCell ref="C133:D133"/>
    <mergeCell ref="E133:F133"/>
    <mergeCell ref="G133:H133"/>
    <mergeCell ref="I133:J133"/>
    <mergeCell ref="K133:L133"/>
    <mergeCell ref="C134:D134"/>
    <mergeCell ref="E134:F134"/>
    <mergeCell ref="G134:H134"/>
    <mergeCell ref="I134:J134"/>
    <mergeCell ref="K134:L134"/>
    <mergeCell ref="C131:D131"/>
    <mergeCell ref="E131:F131"/>
    <mergeCell ref="G131:H131"/>
    <mergeCell ref="I131:J131"/>
    <mergeCell ref="K131:L131"/>
    <mergeCell ref="C132:D132"/>
    <mergeCell ref="E132:F132"/>
    <mergeCell ref="G132:H132"/>
    <mergeCell ref="I132:J132"/>
    <mergeCell ref="K132:L132"/>
    <mergeCell ref="C129:D129"/>
    <mergeCell ref="E129:F129"/>
    <mergeCell ref="G129:H129"/>
    <mergeCell ref="I129:J129"/>
    <mergeCell ref="K129:L129"/>
    <mergeCell ref="C130:D130"/>
    <mergeCell ref="E130:F130"/>
    <mergeCell ref="G130:H130"/>
    <mergeCell ref="I130:J130"/>
    <mergeCell ref="K130:L130"/>
    <mergeCell ref="C127:D127"/>
    <mergeCell ref="E127:F127"/>
    <mergeCell ref="G127:H127"/>
    <mergeCell ref="I127:J127"/>
    <mergeCell ref="K127:L127"/>
    <mergeCell ref="C128:D128"/>
    <mergeCell ref="E128:F128"/>
    <mergeCell ref="G128:H128"/>
    <mergeCell ref="I128:J128"/>
    <mergeCell ref="K128:L128"/>
    <mergeCell ref="C125:D125"/>
    <mergeCell ref="E125:F125"/>
    <mergeCell ref="G125:H125"/>
    <mergeCell ref="I125:J125"/>
    <mergeCell ref="K125:L125"/>
    <mergeCell ref="C126:D126"/>
    <mergeCell ref="E126:F126"/>
    <mergeCell ref="G126:H126"/>
    <mergeCell ref="I126:J126"/>
    <mergeCell ref="K126:L126"/>
    <mergeCell ref="C123:D123"/>
    <mergeCell ref="E123:F123"/>
    <mergeCell ref="G123:H123"/>
    <mergeCell ref="I123:J123"/>
    <mergeCell ref="K123:L123"/>
    <mergeCell ref="C124:D124"/>
    <mergeCell ref="E124:F124"/>
    <mergeCell ref="G124:H124"/>
    <mergeCell ref="I124:J124"/>
    <mergeCell ref="K124:L124"/>
    <mergeCell ref="C121:D121"/>
    <mergeCell ref="E121:F121"/>
    <mergeCell ref="G121:H121"/>
    <mergeCell ref="I121:J121"/>
    <mergeCell ref="K121:L121"/>
    <mergeCell ref="C122:D122"/>
    <mergeCell ref="E122:F122"/>
    <mergeCell ref="G122:H122"/>
    <mergeCell ref="I122:J122"/>
    <mergeCell ref="K122:L122"/>
    <mergeCell ref="C119:D119"/>
    <mergeCell ref="E119:F119"/>
    <mergeCell ref="G119:H119"/>
    <mergeCell ref="I119:J119"/>
    <mergeCell ref="K119:L119"/>
    <mergeCell ref="C120:D120"/>
    <mergeCell ref="E120:F120"/>
    <mergeCell ref="G120:H120"/>
    <mergeCell ref="I120:J120"/>
    <mergeCell ref="K120:L120"/>
    <mergeCell ref="C117:D117"/>
    <mergeCell ref="E117:F117"/>
    <mergeCell ref="G117:H117"/>
    <mergeCell ref="I117:J117"/>
    <mergeCell ref="K117:L117"/>
    <mergeCell ref="C118:D118"/>
    <mergeCell ref="E118:F118"/>
    <mergeCell ref="G118:H118"/>
    <mergeCell ref="I118:J118"/>
    <mergeCell ref="K118:L118"/>
    <mergeCell ref="C115:D115"/>
    <mergeCell ref="E115:F115"/>
    <mergeCell ref="G115:H115"/>
    <mergeCell ref="I115:J115"/>
    <mergeCell ref="K115:L115"/>
    <mergeCell ref="C116:D116"/>
    <mergeCell ref="E116:F116"/>
    <mergeCell ref="G116:H116"/>
    <mergeCell ref="I116:J116"/>
    <mergeCell ref="K116:L116"/>
    <mergeCell ref="C113:D113"/>
    <mergeCell ref="E113:F113"/>
    <mergeCell ref="G113:H113"/>
    <mergeCell ref="I113:J113"/>
    <mergeCell ref="K113:L113"/>
    <mergeCell ref="C114:D114"/>
    <mergeCell ref="E114:F114"/>
    <mergeCell ref="G114:H114"/>
    <mergeCell ref="I114:J114"/>
    <mergeCell ref="K114:L114"/>
    <mergeCell ref="C111:D111"/>
    <mergeCell ref="E111:F111"/>
    <mergeCell ref="G111:H111"/>
    <mergeCell ref="I111:J111"/>
    <mergeCell ref="K111:L111"/>
    <mergeCell ref="C112:D112"/>
    <mergeCell ref="E112:F112"/>
    <mergeCell ref="G112:H112"/>
    <mergeCell ref="I112:J112"/>
    <mergeCell ref="K112:L112"/>
    <mergeCell ref="C109:D109"/>
    <mergeCell ref="E109:F109"/>
    <mergeCell ref="G109:H109"/>
    <mergeCell ref="I109:J109"/>
    <mergeCell ref="K109:L109"/>
    <mergeCell ref="C110:D110"/>
    <mergeCell ref="E110:F110"/>
    <mergeCell ref="G110:H110"/>
    <mergeCell ref="I110:J110"/>
    <mergeCell ref="K110:L110"/>
    <mergeCell ref="C107:D107"/>
    <mergeCell ref="E107:F107"/>
    <mergeCell ref="G107:H107"/>
    <mergeCell ref="I107:J107"/>
    <mergeCell ref="K107:L107"/>
    <mergeCell ref="C108:D108"/>
    <mergeCell ref="E108:F108"/>
    <mergeCell ref="G108:H108"/>
    <mergeCell ref="I108:J108"/>
    <mergeCell ref="K108:L108"/>
    <mergeCell ref="C105:D105"/>
    <mergeCell ref="E105:F105"/>
    <mergeCell ref="G105:H105"/>
    <mergeCell ref="I105:J105"/>
    <mergeCell ref="K105:L105"/>
    <mergeCell ref="C106:D106"/>
    <mergeCell ref="E106:F106"/>
    <mergeCell ref="G106:H106"/>
    <mergeCell ref="I106:J106"/>
    <mergeCell ref="K106:L106"/>
    <mergeCell ref="C103:D103"/>
    <mergeCell ref="E103:F103"/>
    <mergeCell ref="G103:H103"/>
    <mergeCell ref="I103:J103"/>
    <mergeCell ref="K103:L103"/>
    <mergeCell ref="C104:D104"/>
    <mergeCell ref="E104:F104"/>
    <mergeCell ref="G104:H104"/>
    <mergeCell ref="I104:J104"/>
    <mergeCell ref="K104:L104"/>
    <mergeCell ref="C101:D101"/>
    <mergeCell ref="E101:F101"/>
    <mergeCell ref="G101:H101"/>
    <mergeCell ref="I101:J101"/>
    <mergeCell ref="K101:L101"/>
    <mergeCell ref="C102:D102"/>
    <mergeCell ref="E102:F102"/>
    <mergeCell ref="G102:H102"/>
    <mergeCell ref="I102:J102"/>
    <mergeCell ref="K102:L102"/>
    <mergeCell ref="C99:D99"/>
    <mergeCell ref="E99:F99"/>
    <mergeCell ref="G99:H99"/>
    <mergeCell ref="I99:J99"/>
    <mergeCell ref="K99:L99"/>
    <mergeCell ref="C100:D100"/>
    <mergeCell ref="E100:F100"/>
    <mergeCell ref="G100:H100"/>
    <mergeCell ref="I100:J100"/>
    <mergeCell ref="K100:L100"/>
    <mergeCell ref="C97:D97"/>
    <mergeCell ref="E97:F97"/>
    <mergeCell ref="G97:H97"/>
    <mergeCell ref="I97:J97"/>
    <mergeCell ref="K97:L97"/>
    <mergeCell ref="C98:D98"/>
    <mergeCell ref="E98:F98"/>
    <mergeCell ref="G98:H98"/>
    <mergeCell ref="I98:J98"/>
    <mergeCell ref="K98:L98"/>
    <mergeCell ref="C95:D95"/>
    <mergeCell ref="E95:F95"/>
    <mergeCell ref="G95:H95"/>
    <mergeCell ref="I95:J95"/>
    <mergeCell ref="K95:L95"/>
    <mergeCell ref="C96:D96"/>
    <mergeCell ref="E96:F96"/>
    <mergeCell ref="G96:H96"/>
    <mergeCell ref="I96:J96"/>
    <mergeCell ref="K96:L96"/>
    <mergeCell ref="C93:D93"/>
    <mergeCell ref="E93:F93"/>
    <mergeCell ref="G93:H93"/>
    <mergeCell ref="I93:J93"/>
    <mergeCell ref="K93:L93"/>
    <mergeCell ref="C94:D94"/>
    <mergeCell ref="E94:F94"/>
    <mergeCell ref="G94:H94"/>
    <mergeCell ref="I94:J94"/>
    <mergeCell ref="K94:L94"/>
    <mergeCell ref="C91:D91"/>
    <mergeCell ref="E91:F91"/>
    <mergeCell ref="G91:H91"/>
    <mergeCell ref="I91:J91"/>
    <mergeCell ref="K91:L91"/>
    <mergeCell ref="C92:D92"/>
    <mergeCell ref="E92:F92"/>
    <mergeCell ref="G92:H92"/>
    <mergeCell ref="I92:J92"/>
    <mergeCell ref="K92:L92"/>
    <mergeCell ref="E89:F89"/>
    <mergeCell ref="G89:H89"/>
    <mergeCell ref="I89:J89"/>
    <mergeCell ref="K89:L89"/>
    <mergeCell ref="C90:D90"/>
    <mergeCell ref="E90:F90"/>
    <mergeCell ref="G90:H90"/>
    <mergeCell ref="I90:J90"/>
    <mergeCell ref="K90:L90"/>
    <mergeCell ref="C87:D87"/>
    <mergeCell ref="E87:F87"/>
    <mergeCell ref="G87:H87"/>
    <mergeCell ref="I87:J87"/>
    <mergeCell ref="K87:L87"/>
    <mergeCell ref="C88:D88"/>
    <mergeCell ref="E88:F88"/>
    <mergeCell ref="G88:H88"/>
    <mergeCell ref="I88:J88"/>
    <mergeCell ref="K88:L88"/>
    <mergeCell ref="C82:D82"/>
    <mergeCell ref="E82:F82"/>
    <mergeCell ref="G82:H82"/>
    <mergeCell ref="I82:J82"/>
    <mergeCell ref="K82:L82"/>
    <mergeCell ref="C86:D86"/>
    <mergeCell ref="E86:F86"/>
    <mergeCell ref="G86:H86"/>
    <mergeCell ref="I86:J86"/>
    <mergeCell ref="K86:L86"/>
    <mergeCell ref="C83:D83"/>
    <mergeCell ref="E83:F83"/>
    <mergeCell ref="G83:H83"/>
    <mergeCell ref="I83:J83"/>
    <mergeCell ref="K83:L83"/>
    <mergeCell ref="C84:D84"/>
    <mergeCell ref="E84:F84"/>
    <mergeCell ref="G84:H84"/>
    <mergeCell ref="I84:J84"/>
    <mergeCell ref="K84:L84"/>
    <mergeCell ref="C85:D85"/>
    <mergeCell ref="E85:F85"/>
    <mergeCell ref="G85:H85"/>
    <mergeCell ref="I85:J85"/>
    <mergeCell ref="C4:D4"/>
    <mergeCell ref="E4:F4"/>
    <mergeCell ref="G4:H4"/>
    <mergeCell ref="I4:J4"/>
    <mergeCell ref="K4:L4"/>
    <mergeCell ref="C81:D81"/>
    <mergeCell ref="E81:F81"/>
    <mergeCell ref="G81:H81"/>
    <mergeCell ref="I81:J81"/>
    <mergeCell ref="K81:L81"/>
  </mergeCells>
  <conditionalFormatting sqref="M562:M567 M573:M624">
    <cfRule type="duplicateValues" dxfId="789" priority="367"/>
  </conditionalFormatting>
  <dataValidations disablePrompts="1" count="1">
    <dataValidation type="list" allowBlank="1" showInputMessage="1" showErrorMessage="1" sqref="C1" xr:uid="{BD32B9AD-F1EA-4B6B-9DDD-13659587FE0F}">
      <formula1>$E$1:$L$1</formula1>
    </dataValidation>
  </dataValidations>
  <hyperlinks>
    <hyperlink ref="N295" r:id="rId1" xr:uid="{1F57033B-36F0-45FE-B898-8F6EEC46C4F5}"/>
    <hyperlink ref="M295" r:id="rId2" xr:uid="{B4582F68-47EE-45A7-AA15-DDF85F8EEED1}"/>
  </hyperlinks>
  <pageMargins left="0.7" right="0.7" top="0.78740157499999996" bottom="0.78740157499999996" header="0.3" footer="0.3"/>
  <pageSetup paperSize="9" orientation="portrait" verticalDpi="300"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90D32-65AD-43FA-878D-27D675A3FE4A}">
  <sheetPr codeName="List13">
    <tabColor rgb="FF00B0F0"/>
    <pageSetUpPr fitToPage="1"/>
  </sheetPr>
  <dimension ref="A1:BM138"/>
  <sheetViews>
    <sheetView showGridLines="0" showRowColHeaders="0" zoomScale="80" zoomScaleNormal="80" workbookViewId="0">
      <selection activeCell="H24" sqref="H24:Q24"/>
    </sheetView>
  </sheetViews>
  <sheetFormatPr defaultColWidth="0" defaultRowHeight="14.4" zeroHeight="1" x14ac:dyDescent="0.3"/>
  <cols>
    <col min="1" max="1" width="3.33203125" style="1244" customWidth="1"/>
    <col min="2" max="2" width="5.33203125" style="1245" customWidth="1"/>
    <col min="3" max="3" width="5.33203125" style="1252" customWidth="1"/>
    <col min="4" max="7" width="5.5546875" style="1250" customWidth="1"/>
    <col min="8" max="13" width="5.33203125" style="1250" customWidth="1"/>
    <col min="14" max="17" width="4.44140625" style="1250" customWidth="1"/>
    <col min="18" max="18" width="5.33203125" style="1250" customWidth="1"/>
    <col min="19" max="19" width="4.21875" style="1250" customWidth="1"/>
    <col min="20" max="21" width="5.33203125" style="1250" customWidth="1"/>
    <col min="22" max="22" width="3.33203125" style="1250" customWidth="1"/>
    <col min="23" max="25" width="5.33203125" style="1250" customWidth="1"/>
    <col min="26" max="26" width="5.33203125" style="1252" customWidth="1"/>
    <col min="27" max="27" width="3.88671875" style="1252" customWidth="1"/>
    <col min="28" max="28" width="5.33203125" style="1252" customWidth="1"/>
    <col min="29" max="29" width="3.5546875" style="1252" customWidth="1"/>
    <col min="30" max="30" width="5.33203125" style="1256" customWidth="1"/>
    <col min="31" max="31" width="5.33203125" style="1245" customWidth="1"/>
    <col min="32" max="33" width="5.33203125" style="1252" customWidth="1"/>
    <col min="34" max="34" width="4.21875" style="1252" customWidth="1"/>
    <col min="35" max="36" width="5.33203125" style="1252" customWidth="1"/>
    <col min="37" max="37" width="3.33203125" style="1252" customWidth="1"/>
    <col min="38" max="38" width="5.33203125" style="1252" customWidth="1"/>
    <col min="39" max="39" width="3.5546875" style="1252" customWidth="1"/>
    <col min="40" max="40" width="5.33203125" style="1252" customWidth="1"/>
    <col min="41" max="41" width="2.88671875" style="1252" customWidth="1"/>
    <col min="42" max="42" width="3.88671875" style="1252" customWidth="1"/>
    <col min="43" max="43" width="5.44140625" style="1252" customWidth="1"/>
    <col min="44" max="44" width="4.44140625" style="1252" customWidth="1"/>
    <col min="45" max="45" width="8.88671875" style="1252" customWidth="1"/>
    <col min="46" max="46" width="16.33203125" style="1252" hidden="1"/>
    <col min="47" max="47" width="18" style="1226" hidden="1"/>
    <col min="48" max="48" width="5" style="1226" hidden="1"/>
    <col min="49" max="49" width="8.88671875" style="1250" hidden="1"/>
    <col min="50" max="50" width="16.33203125" style="1250" hidden="1"/>
    <col min="51" max="53" width="18" style="1250" hidden="1"/>
    <col min="54" max="55" width="8.88671875" style="1250" hidden="1"/>
    <col min="56" max="16384" width="8.88671875" style="1251" hidden="1"/>
  </cols>
  <sheetData>
    <row r="1" spans="1:65" s="1228" customFormat="1" ht="8.4" customHeight="1" x14ac:dyDescent="0.3">
      <c r="A1" s="557"/>
      <c r="B1" s="557"/>
      <c r="C1" s="506"/>
      <c r="D1" s="506"/>
      <c r="E1" s="506"/>
      <c r="F1" s="506"/>
      <c r="G1" s="506"/>
      <c r="H1" s="506"/>
      <c r="I1" s="506"/>
      <c r="J1" s="506"/>
      <c r="K1" s="506"/>
      <c r="L1" s="506"/>
      <c r="M1" s="506"/>
      <c r="N1" s="506"/>
      <c r="O1" s="506"/>
      <c r="P1" s="506"/>
      <c r="Q1" s="506"/>
      <c r="R1" s="506"/>
      <c r="S1" s="506"/>
      <c r="T1" s="506"/>
      <c r="U1" s="506"/>
      <c r="V1" s="507"/>
      <c r="W1" s="507"/>
      <c r="X1" s="507"/>
      <c r="Y1" s="507"/>
      <c r="Z1" s="400"/>
      <c r="AA1" s="400"/>
      <c r="AB1" s="400"/>
      <c r="AC1" s="400"/>
      <c r="AD1" s="508"/>
      <c r="AE1" s="509"/>
      <c r="AF1" s="400"/>
      <c r="AG1" s="400"/>
      <c r="AH1" s="400"/>
      <c r="AI1" s="400"/>
      <c r="AJ1" s="400"/>
      <c r="AK1" s="400"/>
      <c r="AL1" s="400"/>
      <c r="AM1" s="400"/>
      <c r="AN1" s="400"/>
      <c r="AO1" s="400"/>
      <c r="AP1" s="400"/>
      <c r="AQ1" s="400"/>
      <c r="AR1" s="400"/>
      <c r="AS1" s="400"/>
      <c r="AT1" s="1225"/>
      <c r="AU1" s="1226"/>
      <c r="AV1" s="1226"/>
      <c r="AW1" s="1227"/>
      <c r="AX1" s="1227"/>
      <c r="AY1" s="1227"/>
      <c r="AZ1" s="1227"/>
      <c r="BA1" s="1227"/>
      <c r="BB1" s="1227"/>
      <c r="BC1" s="1227"/>
    </row>
    <row r="2" spans="1:65" s="1228" customFormat="1" ht="11.4" customHeight="1" x14ac:dyDescent="0.3">
      <c r="A2" s="860" t="str">
        <f>'Translate &amp; Prices'!$B$149&amp;" "&amp;" "&amp;1</f>
        <v>Rámeček  1</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560"/>
      <c r="AL2" s="560"/>
      <c r="AM2" s="560"/>
      <c r="AN2" s="560"/>
      <c r="AO2" s="511"/>
      <c r="AP2" s="745" t="str">
        <f>'Translate &amp; Prices'!$B$520</f>
        <v>Úvod</v>
      </c>
      <c r="AQ2" s="746"/>
      <c r="AR2" s="746"/>
      <c r="AS2" s="746"/>
      <c r="AT2" s="1225"/>
      <c r="AU2" s="1226"/>
      <c r="AV2" s="1226"/>
      <c r="AW2" s="1227"/>
      <c r="AX2" s="1229" t="e">
        <f>VLOOKUP(VLOOKUP(H8,'Translate &amp; Prices'!B60:D69,3,0),'Translate &amp; Prices'!B6:D57,2,0)</f>
        <v>#N/A</v>
      </c>
      <c r="AY2" s="1230" t="e">
        <f>((AR14/1000)*2)*AT8</f>
        <v>#N/A</v>
      </c>
      <c r="AZ2" s="1231" t="e">
        <f>((AI30/1000)*2)*AX2</f>
        <v>#N/A</v>
      </c>
      <c r="BA2" s="1231" t="e">
        <f>AY2+AZ2</f>
        <v>#N/A</v>
      </c>
      <c r="BB2" s="1229"/>
      <c r="BC2" s="1229"/>
      <c r="BD2" s="1232"/>
      <c r="BE2" s="1232"/>
      <c r="BF2" s="1232"/>
      <c r="BG2" s="1232"/>
      <c r="BH2" s="1233"/>
      <c r="BI2" s="1233"/>
      <c r="BJ2" s="1233"/>
      <c r="BK2" s="1233"/>
      <c r="BL2" s="1233"/>
      <c r="BM2" s="1233"/>
    </row>
    <row r="3" spans="1:65" s="1228" customFormat="1" ht="11.4" customHeight="1" x14ac:dyDescent="0.3">
      <c r="A3" s="860"/>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560"/>
      <c r="AL3" s="560"/>
      <c r="AM3" s="560"/>
      <c r="AN3" s="560"/>
      <c r="AO3" s="511"/>
      <c r="AP3" s="745"/>
      <c r="AQ3" s="746"/>
      <c r="AR3" s="746"/>
      <c r="AS3" s="746"/>
      <c r="AT3" s="1225"/>
      <c r="AU3" s="1226"/>
      <c r="AV3" s="1226"/>
      <c r="AW3" s="1227"/>
      <c r="AX3" s="1229" t="e">
        <f>VLOOKUP(VLOOKUP(H8,'Translate &amp; Prices'!B60:D69,3,0),'Translate &amp; Prices'!B:D,3,0)</f>
        <v>#N/A</v>
      </c>
      <c r="AY3" s="1234" t="e">
        <f>AT9+AX3</f>
        <v>#N/A</v>
      </c>
      <c r="AZ3" s="1231"/>
      <c r="BA3" s="1230"/>
      <c r="BB3" s="1229"/>
      <c r="BC3" s="1229"/>
      <c r="BD3" s="1235">
        <f>(AI30/1000)*H11</f>
        <v>0</v>
      </c>
      <c r="BE3" s="1235"/>
      <c r="BF3" s="1235"/>
      <c r="BG3" s="1235"/>
      <c r="BH3" s="1235"/>
      <c r="BI3" s="1235">
        <f>(AR14/1000)*M11</f>
        <v>0</v>
      </c>
      <c r="BJ3" s="1235"/>
      <c r="BK3" s="1235"/>
      <c r="BL3" s="1235"/>
      <c r="BM3" s="1235"/>
    </row>
    <row r="4" spans="1:65" s="1239" customFormat="1" ht="6.6" customHeight="1" x14ac:dyDescent="0.3">
      <c r="A4" s="552"/>
      <c r="B4" s="552"/>
      <c r="C4" s="553"/>
      <c r="D4" s="553"/>
      <c r="E4" s="553"/>
      <c r="F4" s="553"/>
      <c r="G4" s="553"/>
      <c r="H4" s="553"/>
      <c r="I4" s="553"/>
      <c r="J4" s="554"/>
      <c r="K4" s="554"/>
      <c r="L4" s="554"/>
      <c r="M4" s="554"/>
      <c r="N4" s="554"/>
      <c r="O4" s="554"/>
      <c r="P4" s="555"/>
      <c r="Q4" s="555"/>
      <c r="R4" s="555"/>
      <c r="S4" s="555"/>
      <c r="T4" s="555"/>
      <c r="U4" s="555"/>
      <c r="V4" s="555"/>
      <c r="W4" s="555"/>
      <c r="X4" s="555"/>
      <c r="Y4" s="555"/>
      <c r="Z4" s="555"/>
      <c r="AA4" s="555"/>
      <c r="AB4" s="555"/>
      <c r="AC4" s="555"/>
      <c r="AD4" s="508"/>
      <c r="AE4" s="509"/>
      <c r="AF4" s="529"/>
      <c r="AG4" s="529"/>
      <c r="AH4" s="529"/>
      <c r="AI4" s="529"/>
      <c r="AJ4" s="529"/>
      <c r="AK4" s="529"/>
      <c r="AL4" s="529"/>
      <c r="AM4" s="529"/>
      <c r="AN4" s="529"/>
      <c r="AO4" s="529"/>
      <c r="AP4" s="529"/>
      <c r="AQ4" s="529"/>
      <c r="AR4" s="529"/>
      <c r="AS4" s="558"/>
      <c r="AT4" s="1236"/>
      <c r="AU4" s="1237"/>
      <c r="AV4" s="1237"/>
      <c r="AW4" s="1238"/>
      <c r="AX4" s="1238"/>
      <c r="AY4" s="1238"/>
      <c r="AZ4" s="1238"/>
      <c r="BA4" s="1238"/>
      <c r="BB4" s="1238"/>
      <c r="BC4" s="1238"/>
    </row>
    <row r="5" spans="1:65" s="1228" customFormat="1" ht="14.4" customHeight="1" thickBot="1" x14ac:dyDescent="0.35">
      <c r="A5" s="510"/>
      <c r="B5" s="845" t="str">
        <f>'Translate &amp; Prices'!$B$149&amp;" "&amp;" "&amp;1</f>
        <v>Rámeček  1</v>
      </c>
      <c r="C5" s="845"/>
      <c r="D5" s="845"/>
      <c r="E5" s="561"/>
      <c r="F5" s="845" t="str">
        <f>'Translate &amp; Prices'!$B$149&amp;" "&amp;" "&amp;2</f>
        <v>Rámeček  2</v>
      </c>
      <c r="G5" s="845"/>
      <c r="H5" s="845"/>
      <c r="I5" s="512"/>
      <c r="J5" s="845" t="str">
        <f>'Translate &amp; Prices'!$B$149&amp;" "&amp;" "&amp;3</f>
        <v>Rámeček  3</v>
      </c>
      <c r="K5" s="845"/>
      <c r="L5" s="845"/>
      <c r="M5" s="512"/>
      <c r="N5" s="845" t="str">
        <f>'Translate &amp; Prices'!$B$149&amp;" "&amp;" "&amp;4</f>
        <v>Rámeček  4</v>
      </c>
      <c r="O5" s="845"/>
      <c r="P5" s="845"/>
      <c r="Q5" s="512"/>
      <c r="R5" s="845" t="str">
        <f>'Translate &amp; Prices'!$B$149&amp;" "&amp;" "&amp;5</f>
        <v>Rámeček  5</v>
      </c>
      <c r="S5" s="845"/>
      <c r="T5" s="845"/>
      <c r="U5" s="512"/>
      <c r="V5" s="845" t="str">
        <f>'Translate &amp; Prices'!$B$149&amp;" "&amp;" "&amp;6</f>
        <v>Rámeček  6</v>
      </c>
      <c r="W5" s="845"/>
      <c r="X5" s="845"/>
      <c r="Y5" s="510"/>
      <c r="Z5" s="510"/>
      <c r="AA5" s="400"/>
      <c r="AB5" s="400"/>
      <c r="AC5" s="400"/>
      <c r="AD5" s="400"/>
      <c r="AE5" s="400"/>
      <c r="AF5" s="400"/>
      <c r="AG5" s="400"/>
      <c r="AH5" s="400"/>
      <c r="AI5" s="400"/>
      <c r="AJ5" s="400"/>
      <c r="AK5" s="400"/>
      <c r="AL5" s="400"/>
      <c r="AM5" s="400"/>
      <c r="AN5" s="400"/>
      <c r="AO5" s="400"/>
      <c r="AP5" s="400"/>
      <c r="AQ5" s="400"/>
      <c r="AR5" s="400"/>
      <c r="AS5" s="557"/>
      <c r="AT5" s="1229"/>
      <c r="AU5" s="1226"/>
      <c r="AV5" s="1226"/>
      <c r="AW5" s="1227"/>
      <c r="AX5" s="1227"/>
      <c r="AY5" s="1227"/>
      <c r="AZ5" s="1227"/>
      <c r="BA5" s="1227"/>
      <c r="BB5" s="1227"/>
      <c r="BC5" s="1227"/>
    </row>
    <row r="6" spans="1:65" s="1228" customFormat="1" ht="16.8" customHeight="1" thickTop="1" thickBot="1" x14ac:dyDescent="0.35">
      <c r="A6" s="510"/>
      <c r="B6" s="510"/>
      <c r="C6" s="510"/>
      <c r="D6" s="510"/>
      <c r="E6" s="510"/>
      <c r="F6" s="510"/>
      <c r="G6" s="510"/>
      <c r="H6" s="510"/>
      <c r="I6" s="510"/>
      <c r="J6" s="510"/>
      <c r="K6" s="510"/>
      <c r="L6" s="510"/>
      <c r="M6" s="510"/>
      <c r="N6" s="510"/>
      <c r="O6" s="510"/>
      <c r="P6" s="510"/>
      <c r="Q6" s="510"/>
      <c r="R6" s="510"/>
      <c r="S6" s="510"/>
      <c r="T6" s="510"/>
      <c r="U6" s="510"/>
      <c r="V6" s="510"/>
      <c r="W6" s="510"/>
      <c r="X6" s="510"/>
      <c r="Y6" s="510"/>
      <c r="Z6" s="571"/>
      <c r="AA6" s="513"/>
      <c r="AB6" s="514"/>
      <c r="AC6" s="515"/>
      <c r="AD6" s="515"/>
      <c r="AE6" s="514"/>
      <c r="AF6" s="514"/>
      <c r="AG6" s="514"/>
      <c r="AH6" s="514"/>
      <c r="AI6" s="516"/>
      <c r="AJ6" s="517"/>
      <c r="AK6" s="514"/>
      <c r="AL6" s="514"/>
      <c r="AM6" s="515"/>
      <c r="AN6" s="515"/>
      <c r="AO6" s="514"/>
      <c r="AP6" s="518"/>
      <c r="AQ6" s="531"/>
      <c r="AR6" s="400"/>
      <c r="AS6" s="400"/>
      <c r="AT6" s="1240"/>
      <c r="AU6" s="1226"/>
      <c r="AV6" s="1226"/>
      <c r="AW6" s="1227"/>
      <c r="AX6" s="1227"/>
      <c r="AY6" s="1227"/>
      <c r="AZ6" s="1227"/>
      <c r="BA6" s="1227"/>
      <c r="BB6" s="1227"/>
      <c r="BC6" s="1227"/>
    </row>
    <row r="7" spans="1:65" s="1228" customFormat="1" ht="14.4" customHeight="1" thickBot="1" x14ac:dyDescent="0.35">
      <c r="A7" s="510"/>
      <c r="B7" s="849" t="str">
        <f>'Translate &amp; Prices'!$B$522</f>
        <v>Kombinace 2 profilů</v>
      </c>
      <c r="C7" s="850"/>
      <c r="D7" s="850"/>
      <c r="E7" s="850"/>
      <c r="F7" s="850"/>
      <c r="G7" s="855">
        <f>IF(H8='Translate &amp; Prices'!B18,'Translate &amp; Prices'!B567,IF(H8='Translate &amp; Prices'!B19,'Translate &amp; Prices'!B567,IF(H8='Translate &amp; Prices'!B20,'Translate &amp; Prices'!B567,0)))</f>
        <v>0</v>
      </c>
      <c r="H7" s="855"/>
      <c r="I7" s="855"/>
      <c r="J7" s="855"/>
      <c r="K7" s="855"/>
      <c r="L7" s="855"/>
      <c r="M7" s="855"/>
      <c r="N7" s="855"/>
      <c r="O7" s="855"/>
      <c r="P7" s="855"/>
      <c r="Q7" s="855"/>
      <c r="R7" s="856"/>
      <c r="S7" s="798" t="str">
        <f>'Translate &amp; Prices'!$B$552</f>
        <v>Upozornění</v>
      </c>
      <c r="T7" s="798"/>
      <c r="U7" s="798"/>
      <c r="V7" s="400"/>
      <c r="W7" s="510"/>
      <c r="X7" s="400"/>
      <c r="Y7" s="400"/>
      <c r="Z7" s="571"/>
      <c r="AA7" s="519"/>
      <c r="AB7" s="520"/>
      <c r="AC7" s="521"/>
      <c r="AD7" s="521"/>
      <c r="AE7" s="521"/>
      <c r="AF7" s="521"/>
      <c r="AG7" s="522"/>
      <c r="AH7" s="522"/>
      <c r="AI7" s="523"/>
      <c r="AJ7" s="800">
        <v>0</v>
      </c>
      <c r="AK7" s="521"/>
      <c r="AL7" s="521"/>
      <c r="AM7" s="521"/>
      <c r="AN7" s="521"/>
      <c r="AO7" s="524"/>
      <c r="AP7" s="525"/>
      <c r="AQ7" s="858">
        <f>IFERROR(IF($AU$17&gt;2,'Translate &amp; Prices'!$B$557,0),0)</f>
        <v>0</v>
      </c>
      <c r="AR7" s="400"/>
      <c r="AS7" s="400"/>
      <c r="AT7" s="1229"/>
      <c r="AU7" s="1241" t="e">
        <f>VLOOKUP(H8,kombinace_1!$A:$B,2,0)</f>
        <v>#N/A</v>
      </c>
      <c r="AV7" s="1230" t="e">
        <f>IF(AU7=2,"Široký","Úzký")</f>
        <v>#N/A</v>
      </c>
      <c r="AW7" s="1227"/>
      <c r="AX7" s="1227"/>
      <c r="AY7" s="1227"/>
      <c r="AZ7" s="1227"/>
      <c r="BA7" s="1227"/>
      <c r="BB7" s="1227"/>
      <c r="BC7" s="1227"/>
    </row>
    <row r="8" spans="1:65" s="1228" customFormat="1" ht="30" customHeight="1" x14ac:dyDescent="0.3">
      <c r="A8" s="559"/>
      <c r="B8" s="823" t="str">
        <f>'Translate &amp; Prices'!$B$152</f>
        <v>Typ profilu</v>
      </c>
      <c r="C8" s="824"/>
      <c r="D8" s="824"/>
      <c r="E8" s="824"/>
      <c r="F8" s="824"/>
      <c r="G8" s="550"/>
      <c r="H8" s="852"/>
      <c r="I8" s="852"/>
      <c r="J8" s="852"/>
      <c r="K8" s="852"/>
      <c r="L8" s="852"/>
      <c r="M8" s="852"/>
      <c r="N8" s="852"/>
      <c r="O8" s="852"/>
      <c r="P8" s="852"/>
      <c r="Q8" s="853"/>
      <c r="R8" s="598"/>
      <c r="S8" s="868">
        <f>IF(AU10&gt;0,'Translate &amp; Prices'!B283,IF(H8=kombinace_1!A51,'Translate &amp; Prices'!B558,IF(H8=kombinace_1!A53,'Translate &amp; Prices'!B559,IF(H8=kombinace_1!A55,'Translate &amp; Prices'!B560,0))))</f>
        <v>0</v>
      </c>
      <c r="T8" s="869"/>
      <c r="U8" s="869"/>
      <c r="V8" s="869"/>
      <c r="W8" s="869"/>
      <c r="X8" s="869"/>
      <c r="Y8" s="870"/>
      <c r="Z8" s="571"/>
      <c r="AA8" s="527"/>
      <c r="AB8" s="507"/>
      <c r="AC8" s="806" t="str">
        <f>'Translate &amp; Prices'!$B$222</f>
        <v>Vzdálenost od kraje</v>
      </c>
      <c r="AD8" s="806"/>
      <c r="AE8" s="806"/>
      <c r="AF8" s="806"/>
      <c r="AG8" s="806"/>
      <c r="AH8" s="400"/>
      <c r="AI8" s="508"/>
      <c r="AJ8" s="800"/>
      <c r="AK8" s="400"/>
      <c r="AL8" s="400"/>
      <c r="AM8" s="400"/>
      <c r="AN8" s="400"/>
      <c r="AO8" s="400"/>
      <c r="AP8" s="527"/>
      <c r="AQ8" s="858"/>
      <c r="AR8" s="400"/>
      <c r="AS8" s="400"/>
      <c r="AT8" s="1232" t="e">
        <f>VLOOKUP(VLOOKUP(H8,'Translate &amp; Prices'!B60:C69,2,0),'Translate &amp; Prices'!B6:C570,2,0)</f>
        <v>#N/A</v>
      </c>
      <c r="AU8" s="1230"/>
      <c r="AV8" s="1230"/>
      <c r="AW8" s="1227"/>
    </row>
    <row r="9" spans="1:65" s="1228" customFormat="1" ht="15.6" customHeight="1" x14ac:dyDescent="0.3">
      <c r="A9" s="559"/>
      <c r="B9" s="823">
        <f>IFERROR(IF(VLOOKUP(H8,kombinace_1!$A:$D,4,0)=1,'Translate &amp; Prices'!$B$523,0),0)</f>
        <v>0</v>
      </c>
      <c r="C9" s="824"/>
      <c r="D9" s="824"/>
      <c r="E9" s="824"/>
      <c r="F9" s="824"/>
      <c r="G9" s="550"/>
      <c r="H9" s="756"/>
      <c r="I9" s="756"/>
      <c r="J9" s="756"/>
      <c r="K9" s="756"/>
      <c r="L9" s="756"/>
      <c r="M9" s="756"/>
      <c r="N9" s="756"/>
      <c r="O9" s="756"/>
      <c r="P9" s="756"/>
      <c r="Q9" s="825"/>
      <c r="R9" s="510"/>
      <c r="S9" s="846"/>
      <c r="T9" s="847"/>
      <c r="U9" s="847"/>
      <c r="V9" s="847"/>
      <c r="W9" s="847"/>
      <c r="X9" s="847"/>
      <c r="Y9" s="848"/>
      <c r="Z9" s="571"/>
      <c r="AA9" s="528"/>
      <c r="AB9" s="507"/>
      <c r="AC9" s="821">
        <v>0</v>
      </c>
      <c r="AD9" s="821"/>
      <c r="AE9" s="526"/>
      <c r="AF9" s="830" t="str">
        <f>('Translate &amp; Prices'!$B$528)&amp;" "&amp;H26&amp;" "&amp;"mm"</f>
        <v>Rozteč  mm</v>
      </c>
      <c r="AG9" s="830"/>
      <c r="AH9" s="830"/>
      <c r="AI9" s="830"/>
      <c r="AJ9" s="830"/>
      <c r="AK9" s="830"/>
      <c r="AL9" s="400"/>
      <c r="AM9" s="400"/>
      <c r="AN9" s="400"/>
      <c r="AO9" s="400"/>
      <c r="AP9" s="528"/>
      <c r="AQ9" s="858"/>
      <c r="AR9" s="400"/>
      <c r="AS9" s="400"/>
      <c r="AT9" s="1229">
        <f>VLOOKUP(VLOOKUP(H8,'Translate &amp; Prices'!B60:C651,2,0),'Translate &amp; Prices'!B3:D567,3,0)</f>
        <v>0</v>
      </c>
      <c r="AU9" s="1241" t="e">
        <f>VLOOKUP(H12,kombinace_1!$DP:$DQ,2,0)</f>
        <v>#N/A</v>
      </c>
      <c r="AV9" s="1230"/>
      <c r="AW9" s="1227"/>
    </row>
    <row r="10" spans="1:65" s="1228" customFormat="1" ht="18" customHeight="1" x14ac:dyDescent="0.3">
      <c r="A10" s="559"/>
      <c r="B10" s="562"/>
      <c r="C10" s="551"/>
      <c r="D10" s="551"/>
      <c r="E10" s="551"/>
      <c r="F10" s="551"/>
      <c r="G10" s="551"/>
      <c r="H10" s="861" t="str">
        <f>'Translate &amp; Prices'!$B$538</f>
        <v>Horizontálně</v>
      </c>
      <c r="I10" s="861"/>
      <c r="J10" s="861"/>
      <c r="K10" s="861"/>
      <c r="L10" s="864"/>
      <c r="M10" s="861" t="str">
        <f>'Translate &amp; Prices'!$B$539</f>
        <v>Vertikálně</v>
      </c>
      <c r="N10" s="861"/>
      <c r="O10" s="861"/>
      <c r="P10" s="861"/>
      <c r="Q10" s="862"/>
      <c r="R10" s="559"/>
      <c r="S10" s="846">
        <f>IF(AU10&gt;0,'Translate &amp; Prices'!B551,0)</f>
        <v>0</v>
      </c>
      <c r="T10" s="847"/>
      <c r="U10" s="847"/>
      <c r="V10" s="847"/>
      <c r="W10" s="847"/>
      <c r="X10" s="847"/>
      <c r="Y10" s="848"/>
      <c r="Z10" s="571"/>
      <c r="AA10" s="528"/>
      <c r="AB10" s="507"/>
      <c r="AC10" s="507"/>
      <c r="AD10" s="802">
        <v>0</v>
      </c>
      <c r="AE10" s="804" t="str">
        <f>'Translate &amp; Prices'!$B$222</f>
        <v>Vzdálenost od kraje</v>
      </c>
      <c r="AF10" s="400"/>
      <c r="AG10" s="400"/>
      <c r="AH10" s="400"/>
      <c r="AI10" s="508"/>
      <c r="AJ10" s="509"/>
      <c r="AK10" s="400"/>
      <c r="AL10" s="400"/>
      <c r="AM10" s="400"/>
      <c r="AN10" s="400"/>
      <c r="AO10" s="400"/>
      <c r="AP10" s="528"/>
      <c r="AQ10" s="858"/>
      <c r="AR10" s="400"/>
      <c r="AS10" s="400"/>
      <c r="AT10" s="1232" t="s">
        <v>2429</v>
      </c>
      <c r="AU10" s="1230">
        <f>IFERROR(VLOOKUP(H9,kombinace_1!$BY$13:$BZ$16,2,0),0)</f>
        <v>0</v>
      </c>
      <c r="AV10" s="1230"/>
      <c r="AW10" s="1227"/>
    </row>
    <row r="11" spans="1:65" s="1228" customFormat="1" ht="18" customHeight="1" x14ac:dyDescent="0.3">
      <c r="A11" s="559"/>
      <c r="B11" s="823" t="str">
        <f>('Translate &amp; Prices'!$B$523)&amp;" "&amp;"("&amp;'Translate &amp; Prices'!$B$154&amp;")"</f>
        <v>Dělící lišty (Počet kusů)</v>
      </c>
      <c r="C11" s="824"/>
      <c r="D11" s="824"/>
      <c r="E11" s="824"/>
      <c r="F11" s="824"/>
      <c r="G11" s="550"/>
      <c r="H11" s="756"/>
      <c r="I11" s="756"/>
      <c r="J11" s="756"/>
      <c r="K11" s="756"/>
      <c r="L11" s="863"/>
      <c r="M11" s="756"/>
      <c r="N11" s="756"/>
      <c r="O11" s="756"/>
      <c r="P11" s="756"/>
      <c r="Q11" s="825"/>
      <c r="R11" s="559"/>
      <c r="S11" s="846"/>
      <c r="T11" s="847"/>
      <c r="U11" s="847"/>
      <c r="V11" s="847"/>
      <c r="W11" s="847"/>
      <c r="X11" s="847"/>
      <c r="Y11" s="848"/>
      <c r="Z11" s="571"/>
      <c r="AA11" s="530"/>
      <c r="AB11" s="531"/>
      <c r="AC11" s="400"/>
      <c r="AD11" s="802"/>
      <c r="AE11" s="804"/>
      <c r="AF11" s="400"/>
      <c r="AG11" s="400"/>
      <c r="AH11" s="400"/>
      <c r="AI11" s="508"/>
      <c r="AJ11" s="509"/>
      <c r="AK11" s="400"/>
      <c r="AL11" s="400"/>
      <c r="AM11" s="400"/>
      <c r="AN11" s="400"/>
      <c r="AO11" s="532"/>
      <c r="AP11" s="525"/>
      <c r="AQ11" s="858"/>
      <c r="AR11" s="400"/>
      <c r="AS11" s="400"/>
      <c r="AT11" s="1242">
        <f>IFERROR(IF(kombinace_1!$H$1=TRUE,BA2+AY3,0),0)</f>
        <v>0</v>
      </c>
      <c r="AU11" s="1241"/>
      <c r="AV11" s="1230"/>
      <c r="AW11" s="1227"/>
    </row>
    <row r="12" spans="1:65" s="1228" customFormat="1" ht="18" customHeight="1" x14ac:dyDescent="0.3">
      <c r="A12" s="559"/>
      <c r="B12" s="823" t="str">
        <f>'Translate &amp; Prices'!$B$238</f>
        <v>Typ kování</v>
      </c>
      <c r="C12" s="824"/>
      <c r="D12" s="824"/>
      <c r="E12" s="824"/>
      <c r="F12" s="824"/>
      <c r="G12" s="550"/>
      <c r="H12" s="756"/>
      <c r="I12" s="756"/>
      <c r="J12" s="756"/>
      <c r="K12" s="756"/>
      <c r="L12" s="756"/>
      <c r="M12" s="756"/>
      <c r="N12" s="756"/>
      <c r="O12" s="756"/>
      <c r="P12" s="756"/>
      <c r="Q12" s="825"/>
      <c r="R12" s="559"/>
      <c r="S12" s="846"/>
      <c r="T12" s="847"/>
      <c r="U12" s="847"/>
      <c r="V12" s="847"/>
      <c r="W12" s="847"/>
      <c r="X12" s="847"/>
      <c r="Y12" s="848"/>
      <c r="Z12" s="571"/>
      <c r="AA12" s="530"/>
      <c r="AB12" s="531"/>
      <c r="AC12" s="400"/>
      <c r="AD12" s="802"/>
      <c r="AE12" s="804"/>
      <c r="AF12" s="400"/>
      <c r="AG12" s="400"/>
      <c r="AH12" s="400"/>
      <c r="AI12" s="508"/>
      <c r="AJ12" s="509"/>
      <c r="AK12" s="400"/>
      <c r="AL12" s="400"/>
      <c r="AM12" s="400"/>
      <c r="AN12" s="400"/>
      <c r="AO12" s="532"/>
      <c r="AP12" s="525"/>
      <c r="AQ12" s="858"/>
      <c r="AR12" s="400"/>
      <c r="AS12" s="400"/>
      <c r="AT12" s="1233"/>
      <c r="AU12" s="1230"/>
      <c r="AV12" s="1230"/>
      <c r="AW12" s="1227"/>
    </row>
    <row r="13" spans="1:65" s="1228" customFormat="1" ht="18" customHeight="1" x14ac:dyDescent="0.3">
      <c r="A13" s="559"/>
      <c r="B13" s="823" t="str">
        <f>'Translate &amp; Prices'!$B$524</f>
        <v>Značka kování</v>
      </c>
      <c r="C13" s="824"/>
      <c r="D13" s="824"/>
      <c r="E13" s="824"/>
      <c r="F13" s="824"/>
      <c r="G13" s="550"/>
      <c r="H13" s="756"/>
      <c r="I13" s="756"/>
      <c r="J13" s="756"/>
      <c r="K13" s="756"/>
      <c r="L13" s="756"/>
      <c r="M13" s="756"/>
      <c r="N13" s="756"/>
      <c r="O13" s="756"/>
      <c r="P13" s="756"/>
      <c r="Q13" s="825"/>
      <c r="R13" s="559"/>
      <c r="S13" s="846">
        <f>IF(H19&gt;=2,'Translate &amp; Prices'!B555,0)</f>
        <v>0</v>
      </c>
      <c r="T13" s="847"/>
      <c r="U13" s="847"/>
      <c r="V13" s="847"/>
      <c r="W13" s="847"/>
      <c r="X13" s="847"/>
      <c r="Y13" s="848"/>
      <c r="Z13" s="571"/>
      <c r="AA13" s="530"/>
      <c r="AB13" s="531"/>
      <c r="AC13" s="507"/>
      <c r="AD13" s="526"/>
      <c r="AE13" s="804"/>
      <c r="AF13" s="400"/>
      <c r="AG13" s="400"/>
      <c r="AH13" s="400"/>
      <c r="AI13" s="508"/>
      <c r="AJ13" s="509"/>
      <c r="AK13" s="400"/>
      <c r="AL13" s="400"/>
      <c r="AM13" s="400"/>
      <c r="AN13" s="400"/>
      <c r="AO13" s="532"/>
      <c r="AP13" s="525"/>
      <c r="AQ13" s="858"/>
      <c r="AR13" s="529"/>
      <c r="AS13" s="400"/>
      <c r="AT13" s="1243">
        <f>IFERROR((((AI30/1000)+(AR14/1000))*2)*(VLOOKUP(H8,'Translate &amp; Prices'!B6:C67,2,0))+(VLOOKUP(H8,'Translate &amp; Prices'!B6:D67,3,0)),0)</f>
        <v>0</v>
      </c>
      <c r="AU13" s="1241"/>
      <c r="AV13" s="1230"/>
      <c r="AW13" s="1227"/>
    </row>
    <row r="14" spans="1:65" s="1228" customFormat="1" ht="18" customHeight="1" x14ac:dyDescent="0.3">
      <c r="A14" s="559"/>
      <c r="B14" s="823">
        <f>IFERROR(IF(H12='Translate &amp; Prices'!B531,'Translate &amp; Prices'!$B$526,0),0)</f>
        <v>0</v>
      </c>
      <c r="C14" s="824"/>
      <c r="D14" s="824"/>
      <c r="E14" s="824"/>
      <c r="F14" s="824"/>
      <c r="G14" s="550"/>
      <c r="H14" s="756"/>
      <c r="I14" s="756"/>
      <c r="J14" s="756"/>
      <c r="K14" s="756"/>
      <c r="L14" s="756"/>
      <c r="M14" s="756"/>
      <c r="N14" s="756"/>
      <c r="O14" s="756"/>
      <c r="P14" s="756"/>
      <c r="Q14" s="825"/>
      <c r="R14" s="559"/>
      <c r="S14" s="846"/>
      <c r="T14" s="847"/>
      <c r="U14" s="847"/>
      <c r="V14" s="847"/>
      <c r="W14" s="847"/>
      <c r="X14" s="847"/>
      <c r="Y14" s="848"/>
      <c r="Z14" s="571"/>
      <c r="AA14" s="530"/>
      <c r="AB14" s="531"/>
      <c r="AC14" s="507"/>
      <c r="AD14" s="851" t="str">
        <f>('Translate &amp; Prices'!$B$528)&amp;" "&amp;H26&amp;" "&amp;"mm"</f>
        <v>Rozteč  mm</v>
      </c>
      <c r="AE14" s="804"/>
      <c r="AF14" s="400"/>
      <c r="AG14" s="400"/>
      <c r="AH14" s="400"/>
      <c r="AI14" s="508"/>
      <c r="AJ14" s="509"/>
      <c r="AK14" s="400"/>
      <c r="AL14" s="400"/>
      <c r="AM14" s="799" t="str">
        <f>('Translate &amp; Prices'!$B$528)&amp;" "&amp;H26&amp;" "&amp;"mm"</f>
        <v>Rozteč  mm</v>
      </c>
      <c r="AN14" s="400"/>
      <c r="AO14" s="533"/>
      <c r="AP14" s="525"/>
      <c r="AQ14" s="858"/>
      <c r="AR14" s="859"/>
      <c r="AS14" s="400"/>
      <c r="AT14" s="1242"/>
      <c r="AU14" s="1244"/>
      <c r="AV14" s="1230"/>
      <c r="AW14" s="1227"/>
      <c r="AX14" s="1228" t="e" cm="1">
        <f t="array" aca="1" ref="AX14" ca="1">IF(AU9=2,INDIRECT(CONCATENATE("_",AV7,"_",H13,"_",AA29)),IF(AU9=3,INDIRECT(VLOOKUP(H13,kombinace_1!$AA:$AB,2,0))))</f>
        <v>#N/A</v>
      </c>
    </row>
    <row r="15" spans="1:65" s="1228" customFormat="1" ht="18" customHeight="1" x14ac:dyDescent="0.3">
      <c r="A15" s="559"/>
      <c r="B15" s="823" t="str">
        <f>'Translate &amp; Prices'!$B$525</f>
        <v>Varianta kování</v>
      </c>
      <c r="C15" s="824"/>
      <c r="D15" s="824"/>
      <c r="E15" s="824"/>
      <c r="F15" s="824"/>
      <c r="G15" s="550"/>
      <c r="H15" s="837"/>
      <c r="I15" s="837"/>
      <c r="J15" s="837"/>
      <c r="K15" s="837"/>
      <c r="L15" s="837"/>
      <c r="M15" s="837"/>
      <c r="N15" s="837"/>
      <c r="O15" s="837"/>
      <c r="P15" s="837"/>
      <c r="Q15" s="838"/>
      <c r="R15" s="559"/>
      <c r="S15" s="846"/>
      <c r="T15" s="847"/>
      <c r="U15" s="847"/>
      <c r="V15" s="847"/>
      <c r="W15" s="847"/>
      <c r="X15" s="847"/>
      <c r="Y15" s="848"/>
      <c r="Z15" s="571"/>
      <c r="AA15" s="530"/>
      <c r="AB15" s="534"/>
      <c r="AC15" s="400"/>
      <c r="AD15" s="851"/>
      <c r="AE15" s="804"/>
      <c r="AF15" s="400"/>
      <c r="AG15" s="400"/>
      <c r="AH15" s="400"/>
      <c r="AI15" s="508"/>
      <c r="AJ15" s="509"/>
      <c r="AK15" s="400"/>
      <c r="AL15" s="400"/>
      <c r="AM15" s="799"/>
      <c r="AN15" s="400"/>
      <c r="AO15" s="533"/>
      <c r="AP15" s="525"/>
      <c r="AQ15" s="858"/>
      <c r="AR15" s="859"/>
      <c r="AS15" s="400"/>
      <c r="AT15" s="1242">
        <f>((BD3+BI3)*2)*'Translate &amp; Prices'!C80</f>
        <v>0</v>
      </c>
      <c r="AU15" s="1244"/>
      <c r="AV15" s="1230"/>
      <c r="AW15" s="1227"/>
    </row>
    <row r="16" spans="1:65" s="1228" customFormat="1" ht="18" customHeight="1" x14ac:dyDescent="0.3">
      <c r="A16" s="559"/>
      <c r="B16" s="843" t="str">
        <f>IF(H15=kombinace_1!AB40,'Translate &amp; Prices'!$B$204,IF(H15=kombinace_1!AB41,'Translate &amp; Prices'!$B$204,'Translate &amp; Prices'!$B$198))</f>
        <v>Výběr pozice rámečku</v>
      </c>
      <c r="C16" s="835"/>
      <c r="D16" s="835"/>
      <c r="E16" s="835"/>
      <c r="F16" s="854"/>
      <c r="G16" s="854"/>
      <c r="H16" s="854"/>
      <c r="I16" s="854"/>
      <c r="J16" s="835" t="str">
        <f>IF(H15=kombinace_1!AB40,'Translate &amp; Prices'!$B$206,IF(H15=kombinace_1!AB41,'Translate &amp; Prices'!$B$206,'Translate &amp; Prices'!$B$212))</f>
        <v>Provedení druhého dvířka</v>
      </c>
      <c r="K16" s="835"/>
      <c r="L16" s="835"/>
      <c r="M16" s="835"/>
      <c r="N16" s="833"/>
      <c r="O16" s="833"/>
      <c r="P16" s="833"/>
      <c r="Q16" s="834"/>
      <c r="R16" s="559"/>
      <c r="S16" s="846"/>
      <c r="T16" s="847"/>
      <c r="U16" s="847"/>
      <c r="V16" s="847"/>
      <c r="W16" s="847"/>
      <c r="X16" s="847"/>
      <c r="Y16" s="848"/>
      <c r="Z16" s="571"/>
      <c r="AA16" s="530"/>
      <c r="AB16" s="534"/>
      <c r="AC16" s="507"/>
      <c r="AD16" s="851"/>
      <c r="AE16" s="804"/>
      <c r="AF16" s="400"/>
      <c r="AG16" s="400"/>
      <c r="AH16" s="400"/>
      <c r="AI16" s="508"/>
      <c r="AJ16" s="509"/>
      <c r="AK16" s="400"/>
      <c r="AL16" s="400"/>
      <c r="AM16" s="799"/>
      <c r="AN16" s="400"/>
      <c r="AO16" s="533"/>
      <c r="AP16" s="525"/>
      <c r="AQ16" s="858"/>
      <c r="AR16" s="859"/>
      <c r="AS16" s="400"/>
      <c r="AT16" s="1242"/>
      <c r="AU16" s="1244"/>
      <c r="AV16" s="1230"/>
      <c r="AW16" s="1227"/>
    </row>
    <row r="17" spans="1:49" s="1228" customFormat="1" ht="18" customHeight="1" x14ac:dyDescent="0.3">
      <c r="A17" s="559"/>
      <c r="B17" s="823">
        <f>IF(H12='Translate &amp; Prices'!B531,"Umístění závěsů",IF(H15=kombinace_1!AB8,'Translate &amp; Prices'!B264,0))</f>
        <v>0</v>
      </c>
      <c r="C17" s="824"/>
      <c r="D17" s="824"/>
      <c r="E17" s="824"/>
      <c r="F17" s="824"/>
      <c r="G17" s="550"/>
      <c r="H17" s="756"/>
      <c r="I17" s="756"/>
      <c r="J17" s="756"/>
      <c r="K17" s="756"/>
      <c r="L17" s="756"/>
      <c r="M17" s="756"/>
      <c r="N17" s="756"/>
      <c r="O17" s="756"/>
      <c r="P17" s="756"/>
      <c r="Q17" s="825"/>
      <c r="R17" s="559"/>
      <c r="S17" s="846"/>
      <c r="T17" s="847"/>
      <c r="U17" s="847"/>
      <c r="V17" s="847"/>
      <c r="W17" s="847"/>
      <c r="X17" s="847"/>
      <c r="Y17" s="848"/>
      <c r="Z17" s="571"/>
      <c r="AA17" s="530"/>
      <c r="AB17" s="534"/>
      <c r="AC17" s="507"/>
      <c r="AD17" s="851"/>
      <c r="AE17" s="400"/>
      <c r="AF17" s="400"/>
      <c r="AG17" s="400"/>
      <c r="AH17" s="400"/>
      <c r="AI17" s="508"/>
      <c r="AJ17" s="509"/>
      <c r="AK17" s="400"/>
      <c r="AL17" s="400"/>
      <c r="AM17" s="799"/>
      <c r="AN17" s="400"/>
      <c r="AO17" s="533"/>
      <c r="AP17" s="525"/>
      <c r="AQ17" s="858"/>
      <c r="AR17" s="859"/>
      <c r="AS17" s="400"/>
      <c r="AT17" s="1242">
        <f>IF(AU10=1,BD3*'Translate &amp; Prices'!C53,IF(AU10=2,BI3*'Translate &amp; Prices'!C53,IF(AU10=3,(BD3+BI3)*'Translate &amp; Prices'!C53,IF(AU10=0,0))))</f>
        <v>0</v>
      </c>
      <c r="AU17" s="1245" t="e">
        <f>VLOOKUP(H17,kombinace_1!$BY:$BZ,2,0)</f>
        <v>#N/A</v>
      </c>
      <c r="AV17" s="1230"/>
      <c r="AW17" s="1227"/>
    </row>
    <row r="18" spans="1:49" s="1228" customFormat="1" ht="18" customHeight="1" x14ac:dyDescent="0.3">
      <c r="A18" s="559"/>
      <c r="B18" s="823">
        <f>IFERROR(IF(VLOOKUP(H15,kombinace_1!CD:CE,2,0)=1,'Translate &amp; Prices'!$B$527,0),0)</f>
        <v>0</v>
      </c>
      <c r="C18" s="824"/>
      <c r="D18" s="824"/>
      <c r="E18" s="824"/>
      <c r="F18" s="824"/>
      <c r="G18" s="550"/>
      <c r="H18" s="756"/>
      <c r="I18" s="756"/>
      <c r="J18" s="756"/>
      <c r="K18" s="756"/>
      <c r="L18" s="756"/>
      <c r="M18" s="756"/>
      <c r="N18" s="756"/>
      <c r="O18" s="756"/>
      <c r="P18" s="756"/>
      <c r="Q18" s="825"/>
      <c r="R18" s="559"/>
      <c r="S18" s="846">
        <f>IF(H27&gt;"",'Translate &amp; Prices'!B556,0)</f>
        <v>0</v>
      </c>
      <c r="T18" s="847"/>
      <c r="U18" s="847"/>
      <c r="V18" s="847"/>
      <c r="W18" s="847"/>
      <c r="X18" s="847"/>
      <c r="Y18" s="848"/>
      <c r="Z18" s="571"/>
      <c r="AA18" s="530"/>
      <c r="AB18" s="534"/>
      <c r="AC18" s="507"/>
      <c r="AD18" s="851"/>
      <c r="AE18" s="400"/>
      <c r="AF18" s="400"/>
      <c r="AG18" s="400"/>
      <c r="AH18" s="400"/>
      <c r="AI18" s="508"/>
      <c r="AJ18" s="509"/>
      <c r="AK18" s="400"/>
      <c r="AL18" s="400"/>
      <c r="AM18" s="799"/>
      <c r="AN18" s="400"/>
      <c r="AO18" s="533"/>
      <c r="AP18" s="525"/>
      <c r="AQ18" s="858"/>
      <c r="AR18" s="859"/>
      <c r="AS18" s="400"/>
      <c r="AT18" s="1242"/>
      <c r="AU18" s="1244"/>
      <c r="AV18" s="1230"/>
      <c r="AW18" s="1227"/>
    </row>
    <row r="19" spans="1:49" s="1228" customFormat="1" ht="18" customHeight="1" x14ac:dyDescent="0.3">
      <c r="A19" s="559"/>
      <c r="B19" s="823">
        <f>IFERROR(IF(H12='Translate &amp; Prices'!B531,'Translate &amp; Prices'!$B$203,IF(VLOOKUP(H15,kombinace_1!CD:CE,2,0)=1,'Translate &amp; Prices'!$B$203,)),0)</f>
        <v>0</v>
      </c>
      <c r="C19" s="824"/>
      <c r="D19" s="824"/>
      <c r="E19" s="824"/>
      <c r="F19" s="824"/>
      <c r="G19" s="550"/>
      <c r="H19" s="756"/>
      <c r="I19" s="756"/>
      <c r="J19" s="756"/>
      <c r="K19" s="756"/>
      <c r="L19" s="756"/>
      <c r="M19" s="756"/>
      <c r="N19" s="756"/>
      <c r="O19" s="756"/>
      <c r="P19" s="756"/>
      <c r="Q19" s="825"/>
      <c r="R19" s="559"/>
      <c r="S19" s="846"/>
      <c r="T19" s="847"/>
      <c r="U19" s="847"/>
      <c r="V19" s="847"/>
      <c r="W19" s="847"/>
      <c r="X19" s="847"/>
      <c r="Y19" s="848"/>
      <c r="Z19" s="571"/>
      <c r="AA19" s="528"/>
      <c r="AB19" s="803">
        <v>0</v>
      </c>
      <c r="AC19" s="803"/>
      <c r="AD19" s="851"/>
      <c r="AE19" s="400"/>
      <c r="AF19" s="400"/>
      <c r="AG19" s="400"/>
      <c r="AH19" s="400"/>
      <c r="AI19" s="508"/>
      <c r="AJ19" s="509"/>
      <c r="AK19" s="400"/>
      <c r="AL19" s="807" t="str">
        <f>'Translate &amp; Prices'!$B$222</f>
        <v>Vzdálenost od kraje</v>
      </c>
      <c r="AM19" s="799"/>
      <c r="AN19" s="803">
        <v>0</v>
      </c>
      <c r="AO19" s="803"/>
      <c r="AP19" s="527"/>
      <c r="AQ19" s="858"/>
      <c r="AR19" s="805" t="str">
        <f>'Translate &amp; Prices'!$B$156</f>
        <v>Výška</v>
      </c>
      <c r="AS19" s="400"/>
      <c r="AT19" s="1242"/>
      <c r="AU19" s="1244">
        <f>IFERROR(VLOOKUP(H15,kombinace_1!$CD:$CF,3,0),0)</f>
        <v>0</v>
      </c>
      <c r="AV19" s="1230"/>
      <c r="AW19" s="1227"/>
    </row>
    <row r="20" spans="1:49" s="1228" customFormat="1" ht="18" customHeight="1" x14ac:dyDescent="0.3">
      <c r="A20" s="559"/>
      <c r="B20" s="827">
        <f>IFERROR('Translate &amp; Prices'!$B$222&amp;" "&amp;(VLOOKUP(H17,kombinace_1!$BY$32:$CA$35,2,0)),0)</f>
        <v>0</v>
      </c>
      <c r="C20" s="828"/>
      <c r="D20" s="828"/>
      <c r="E20" s="828"/>
      <c r="F20" s="829">
        <v>100</v>
      </c>
      <c r="G20" s="829"/>
      <c r="H20" s="829"/>
      <c r="I20" s="829"/>
      <c r="J20" s="828">
        <f>IFERROR('Translate &amp; Prices'!$B$222&amp;" "&amp;(VLOOKUP(H17,kombinace_1!$BY$32:$CA$35,3,0)),0)</f>
        <v>0</v>
      </c>
      <c r="K20" s="828"/>
      <c r="L20" s="828"/>
      <c r="M20" s="828"/>
      <c r="N20" s="829">
        <v>100</v>
      </c>
      <c r="O20" s="829"/>
      <c r="P20" s="829"/>
      <c r="Q20" s="839"/>
      <c r="R20" s="559"/>
      <c r="S20" s="846"/>
      <c r="T20" s="847"/>
      <c r="U20" s="847"/>
      <c r="V20" s="847"/>
      <c r="W20" s="847"/>
      <c r="X20" s="847"/>
      <c r="Y20" s="848"/>
      <c r="Z20" s="571"/>
      <c r="AA20" s="530"/>
      <c r="AB20" s="531"/>
      <c r="AC20" s="507"/>
      <c r="AD20" s="851"/>
      <c r="AE20" s="400"/>
      <c r="AF20" s="400"/>
      <c r="AG20" s="400"/>
      <c r="AH20" s="400"/>
      <c r="AI20" s="508"/>
      <c r="AJ20" s="509"/>
      <c r="AK20" s="400"/>
      <c r="AL20" s="807"/>
      <c r="AM20" s="799"/>
      <c r="AN20" s="400"/>
      <c r="AO20" s="533"/>
      <c r="AP20" s="525"/>
      <c r="AQ20" s="858"/>
      <c r="AR20" s="805"/>
      <c r="AS20" s="400"/>
      <c r="AT20" s="1242"/>
      <c r="AU20" s="1244"/>
      <c r="AV20" s="1230"/>
      <c r="AW20" s="1227"/>
    </row>
    <row r="21" spans="1:49" s="1228" customFormat="1" ht="18" customHeight="1" x14ac:dyDescent="0.3">
      <c r="A21" s="559"/>
      <c r="B21" s="823" t="str">
        <f>'Translate &amp; Prices'!$B$153</f>
        <v>Typ skla</v>
      </c>
      <c r="C21" s="824"/>
      <c r="D21" s="824"/>
      <c r="E21" s="824"/>
      <c r="F21" s="824"/>
      <c r="G21" s="550"/>
      <c r="H21" s="775" t="str">
        <f>'Translate &amp; Prices'!$B$85</f>
        <v>Bez úprav</v>
      </c>
      <c r="I21" s="776"/>
      <c r="J21" s="776"/>
      <c r="K21" s="770" t="str">
        <f>'Translate &amp; Prices'!$B$83</f>
        <v>Kalené</v>
      </c>
      <c r="L21" s="770"/>
      <c r="M21" s="770"/>
      <c r="N21" s="770" t="str">
        <f>'Translate &amp; Prices'!$B$84</f>
        <v>Folie</v>
      </c>
      <c r="O21" s="770"/>
      <c r="P21" s="770"/>
      <c r="Q21" s="840"/>
      <c r="R21" s="559"/>
      <c r="S21" s="846"/>
      <c r="T21" s="847"/>
      <c r="U21" s="847"/>
      <c r="V21" s="847"/>
      <c r="W21" s="847"/>
      <c r="X21" s="847"/>
      <c r="Y21" s="848"/>
      <c r="Z21" s="571"/>
      <c r="AA21" s="530"/>
      <c r="AB21" s="531"/>
      <c r="AC21" s="400"/>
      <c r="AD21" s="851"/>
      <c r="AE21" s="400"/>
      <c r="AF21" s="400"/>
      <c r="AG21" s="400"/>
      <c r="AH21" s="400"/>
      <c r="AI21" s="508"/>
      <c r="AJ21" s="509"/>
      <c r="AK21" s="400"/>
      <c r="AL21" s="807"/>
      <c r="AM21" s="799"/>
      <c r="AN21" s="400"/>
      <c r="AO21" s="532"/>
      <c r="AP21" s="525"/>
      <c r="AQ21" s="858"/>
      <c r="AR21" s="805"/>
      <c r="AS21" s="400"/>
      <c r="AT21" s="1242"/>
      <c r="AU21" s="1244"/>
      <c r="AV21" s="1230"/>
      <c r="AW21" s="1227"/>
    </row>
    <row r="22" spans="1:49" s="1228" customFormat="1" ht="18" customHeight="1" x14ac:dyDescent="0.3">
      <c r="A22" s="559"/>
      <c r="B22" s="562"/>
      <c r="C22" s="551"/>
      <c r="D22" s="551"/>
      <c r="E22" s="551"/>
      <c r="F22" s="551"/>
      <c r="G22" s="551"/>
      <c r="H22" s="775"/>
      <c r="I22" s="776"/>
      <c r="J22" s="776"/>
      <c r="K22" s="770"/>
      <c r="L22" s="770"/>
      <c r="M22" s="770"/>
      <c r="N22" s="770"/>
      <c r="O22" s="770"/>
      <c r="P22" s="770"/>
      <c r="Q22" s="840"/>
      <c r="R22" s="559"/>
      <c r="S22" s="846"/>
      <c r="T22" s="847"/>
      <c r="U22" s="847"/>
      <c r="V22" s="847"/>
      <c r="W22" s="847"/>
      <c r="X22" s="847"/>
      <c r="Y22" s="848"/>
      <c r="Z22" s="571"/>
      <c r="AA22" s="530"/>
      <c r="AB22" s="531"/>
      <c r="AC22" s="400"/>
      <c r="AD22" s="400"/>
      <c r="AE22" s="400"/>
      <c r="AF22" s="400"/>
      <c r="AG22" s="400"/>
      <c r="AH22" s="400"/>
      <c r="AI22" s="508"/>
      <c r="AJ22" s="509"/>
      <c r="AK22" s="400"/>
      <c r="AL22" s="807"/>
      <c r="AM22" s="526"/>
      <c r="AN22" s="400"/>
      <c r="AO22" s="532"/>
      <c r="AP22" s="525"/>
      <c r="AQ22" s="858"/>
      <c r="AR22" s="805"/>
      <c r="AS22" s="400"/>
      <c r="AT22" s="1242"/>
      <c r="AU22" s="1244"/>
      <c r="AV22" s="1230"/>
      <c r="AW22" s="1227"/>
    </row>
    <row r="23" spans="1:49" s="1228" customFormat="1" ht="18" customHeight="1" x14ac:dyDescent="0.3">
      <c r="A23" s="559"/>
      <c r="B23" s="562"/>
      <c r="C23" s="551"/>
      <c r="D23" s="551"/>
      <c r="E23" s="551"/>
      <c r="F23" s="551"/>
      <c r="G23" s="551"/>
      <c r="H23" s="771" t="str">
        <f>"↥↥"&amp;"   "&amp;'Translate &amp; Prices'!$B$553&amp;" "&amp;B25&amp;"   "&amp;"↥↥"</f>
        <v>↥↥   Již neměnit po tom co vyberete Typ skla   ↥↥</v>
      </c>
      <c r="I23" s="771"/>
      <c r="J23" s="771"/>
      <c r="K23" s="771"/>
      <c r="L23" s="771"/>
      <c r="M23" s="771"/>
      <c r="N23" s="771"/>
      <c r="O23" s="771"/>
      <c r="P23" s="771"/>
      <c r="Q23" s="844"/>
      <c r="R23" s="559"/>
      <c r="S23" s="865"/>
      <c r="T23" s="866"/>
      <c r="U23" s="866"/>
      <c r="V23" s="866"/>
      <c r="W23" s="866"/>
      <c r="X23" s="866"/>
      <c r="Y23" s="867"/>
      <c r="Z23" s="571"/>
      <c r="AA23" s="530"/>
      <c r="AB23" s="531"/>
      <c r="AC23" s="507"/>
      <c r="AD23" s="400"/>
      <c r="AE23" s="400"/>
      <c r="AF23" s="400"/>
      <c r="AG23" s="400"/>
      <c r="AH23" s="400"/>
      <c r="AI23" s="508"/>
      <c r="AJ23" s="509"/>
      <c r="AK23" s="400"/>
      <c r="AL23" s="807"/>
      <c r="AM23" s="800">
        <v>0</v>
      </c>
      <c r="AN23" s="400"/>
      <c r="AO23" s="532"/>
      <c r="AP23" s="525"/>
      <c r="AQ23" s="858"/>
      <c r="AR23" s="805"/>
      <c r="AS23" s="400"/>
      <c r="AT23" s="1242"/>
      <c r="AU23" s="1244" t="e">
        <f>VLOOKUP(H17,kombinace_1!$BY:$BZ,2,0)</f>
        <v>#N/A</v>
      </c>
      <c r="AV23" s="1230"/>
      <c r="AW23" s="1227"/>
    </row>
    <row r="24" spans="1:49" s="1228" customFormat="1" ht="18" customHeight="1" x14ac:dyDescent="0.3">
      <c r="A24" s="559"/>
      <c r="B24" s="823" t="str">
        <f>'Translate &amp; Prices'!$B$542</f>
        <v>Typ folie</v>
      </c>
      <c r="C24" s="824"/>
      <c r="D24" s="824"/>
      <c r="E24" s="824"/>
      <c r="F24" s="824"/>
      <c r="G24" s="550"/>
      <c r="H24" s="756"/>
      <c r="I24" s="756"/>
      <c r="J24" s="756"/>
      <c r="K24" s="756"/>
      <c r="L24" s="756"/>
      <c r="M24" s="756"/>
      <c r="N24" s="756"/>
      <c r="O24" s="756"/>
      <c r="P24" s="756"/>
      <c r="Q24" s="825"/>
      <c r="R24" s="559"/>
      <c r="S24" s="798" t="str">
        <f>'Translate &amp; Prices'!$B$157</f>
        <v>Poznámky</v>
      </c>
      <c r="T24" s="798"/>
      <c r="U24" s="798"/>
      <c r="V24" s="570"/>
      <c r="W24" s="570"/>
      <c r="X24" s="570"/>
      <c r="Y24" s="570"/>
      <c r="Z24" s="571"/>
      <c r="AA24" s="530"/>
      <c r="AB24" s="531"/>
      <c r="AC24" s="822" t="str">
        <f>'Translate &amp; Prices'!$B$222</f>
        <v>Vzdálenost od kraje</v>
      </c>
      <c r="AD24" s="822"/>
      <c r="AE24" s="822"/>
      <c r="AF24" s="822"/>
      <c r="AG24" s="822"/>
      <c r="AH24" s="400"/>
      <c r="AI24" s="508"/>
      <c r="AJ24" s="509"/>
      <c r="AK24" s="400"/>
      <c r="AL24" s="807"/>
      <c r="AM24" s="800"/>
      <c r="AN24" s="400"/>
      <c r="AO24" s="532"/>
      <c r="AP24" s="535"/>
      <c r="AQ24" s="858"/>
      <c r="AR24" s="529"/>
      <c r="AS24" s="400"/>
      <c r="AT24" s="1242"/>
      <c r="AU24" s="1244" t="e">
        <f>CONCATENATE(AU23,"_",H19)</f>
        <v>#N/A</v>
      </c>
      <c r="AV24" s="1230"/>
      <c r="AW24" s="1227"/>
    </row>
    <row r="25" spans="1:49" s="1228" customFormat="1" ht="18" customHeight="1" x14ac:dyDescent="0.3">
      <c r="A25" s="559"/>
      <c r="B25" s="823" t="str">
        <f>'Translate &amp; Prices'!$B$153</f>
        <v>Typ skla</v>
      </c>
      <c r="C25" s="824"/>
      <c r="D25" s="824"/>
      <c r="E25" s="824"/>
      <c r="F25" s="824"/>
      <c r="G25" s="550"/>
      <c r="H25" s="756"/>
      <c r="I25" s="756"/>
      <c r="J25" s="756"/>
      <c r="K25" s="756"/>
      <c r="L25" s="756"/>
      <c r="M25" s="756"/>
      <c r="N25" s="756"/>
      <c r="O25" s="756"/>
      <c r="P25" s="756"/>
      <c r="Q25" s="825"/>
      <c r="R25" s="559"/>
      <c r="S25" s="808"/>
      <c r="T25" s="809"/>
      <c r="U25" s="809"/>
      <c r="V25" s="809"/>
      <c r="W25" s="809"/>
      <c r="X25" s="809"/>
      <c r="Y25" s="810"/>
      <c r="Z25" s="571"/>
      <c r="AA25" s="530"/>
      <c r="AB25" s="531"/>
      <c r="AC25" s="803">
        <v>0</v>
      </c>
      <c r="AD25" s="803"/>
      <c r="AE25" s="526"/>
      <c r="AF25" s="830" t="str">
        <f>('Translate &amp; Prices'!$B$528)&amp;" "&amp;H26&amp;" "&amp;"mm"</f>
        <v>Rozteč  mm</v>
      </c>
      <c r="AG25" s="830"/>
      <c r="AH25" s="830"/>
      <c r="AI25" s="830"/>
      <c r="AJ25" s="830"/>
      <c r="AK25" s="830"/>
      <c r="AL25" s="807"/>
      <c r="AM25" s="800"/>
      <c r="AN25" s="400"/>
      <c r="AO25" s="532"/>
      <c r="AP25" s="535"/>
      <c r="AQ25" s="858"/>
      <c r="AR25" s="400"/>
      <c r="AS25" s="400"/>
      <c r="AT25" s="1242"/>
      <c r="AU25" s="1245" t="e">
        <f>VLOOKUP(H27,kombinace_1!$BY:$BZ,2,0)</f>
        <v>#N/A</v>
      </c>
      <c r="AV25" s="1230"/>
      <c r="AW25" s="1227"/>
    </row>
    <row r="26" spans="1:49" s="1228" customFormat="1" ht="18" customHeight="1" x14ac:dyDescent="0.3">
      <c r="A26" s="559"/>
      <c r="B26" s="823" t="str">
        <f>'Translate &amp; Prices'!$B$529</f>
        <v>Rozteč úchytky (mm)</v>
      </c>
      <c r="C26" s="824"/>
      <c r="D26" s="824"/>
      <c r="E26" s="824"/>
      <c r="F26" s="824"/>
      <c r="G26" s="550"/>
      <c r="H26" s="773"/>
      <c r="I26" s="773"/>
      <c r="J26" s="773"/>
      <c r="K26" s="773"/>
      <c r="L26" s="773"/>
      <c r="M26" s="773"/>
      <c r="N26" s="773"/>
      <c r="O26" s="773"/>
      <c r="P26" s="773"/>
      <c r="Q26" s="836"/>
      <c r="R26" s="559"/>
      <c r="S26" s="811"/>
      <c r="T26" s="812"/>
      <c r="U26" s="812"/>
      <c r="V26" s="812"/>
      <c r="W26" s="812"/>
      <c r="X26" s="812"/>
      <c r="Y26" s="813"/>
      <c r="Z26" s="571"/>
      <c r="AA26" s="530"/>
      <c r="AB26" s="531"/>
      <c r="AC26" s="400"/>
      <c r="AD26" s="400"/>
      <c r="AE26" s="400"/>
      <c r="AF26" s="400"/>
      <c r="AG26" s="400"/>
      <c r="AH26" s="400"/>
      <c r="AI26" s="508"/>
      <c r="AJ26" s="802">
        <v>0</v>
      </c>
      <c r="AK26" s="400"/>
      <c r="AL26" s="400"/>
      <c r="AM26" s="400"/>
      <c r="AN26" s="400"/>
      <c r="AO26" s="532"/>
      <c r="AP26" s="525"/>
      <c r="AQ26" s="858"/>
      <c r="AR26" s="400"/>
      <c r="AS26" s="400"/>
      <c r="AT26" s="1242"/>
      <c r="AU26" s="1226"/>
      <c r="AV26" s="1226"/>
      <c r="AW26" s="1227"/>
    </row>
    <row r="27" spans="1:49" s="1228" customFormat="1" ht="18" customHeight="1" x14ac:dyDescent="0.3">
      <c r="A27" s="559"/>
      <c r="B27" s="823" t="str">
        <f>'Translate &amp; Prices'!$B$530</f>
        <v>Umístění úchytky</v>
      </c>
      <c r="C27" s="824"/>
      <c r="D27" s="824"/>
      <c r="E27" s="824"/>
      <c r="F27" s="824"/>
      <c r="G27" s="550"/>
      <c r="H27" s="756"/>
      <c r="I27" s="756"/>
      <c r="J27" s="756"/>
      <c r="K27" s="756"/>
      <c r="L27" s="756"/>
      <c r="M27" s="756"/>
      <c r="N27" s="756"/>
      <c r="O27" s="756"/>
      <c r="P27" s="756"/>
      <c r="Q27" s="825"/>
      <c r="R27" s="559"/>
      <c r="S27" s="811"/>
      <c r="T27" s="812"/>
      <c r="U27" s="812"/>
      <c r="V27" s="812"/>
      <c r="W27" s="812"/>
      <c r="X27" s="812"/>
      <c r="Y27" s="813"/>
      <c r="Z27" s="571"/>
      <c r="AA27" s="519"/>
      <c r="AB27" s="536"/>
      <c r="AC27" s="537"/>
      <c r="AD27" s="537"/>
      <c r="AE27" s="537"/>
      <c r="AF27" s="537"/>
      <c r="AG27" s="537"/>
      <c r="AH27" s="538"/>
      <c r="AI27" s="539"/>
      <c r="AJ27" s="802"/>
      <c r="AK27" s="537"/>
      <c r="AL27" s="537"/>
      <c r="AM27" s="537"/>
      <c r="AN27" s="537"/>
      <c r="AO27" s="540"/>
      <c r="AP27" s="525"/>
      <c r="AQ27" s="858"/>
      <c r="AR27" s="400"/>
      <c r="AS27" s="400"/>
      <c r="AT27" s="1242"/>
      <c r="AU27" s="1226"/>
      <c r="AV27" s="1226"/>
      <c r="AW27" s="1227"/>
    </row>
    <row r="28" spans="1:49" s="1228" customFormat="1" ht="18" customHeight="1" x14ac:dyDescent="0.3">
      <c r="A28" s="559"/>
      <c r="B28" s="823" t="str">
        <f>('Translate &amp; Prices'!$B$154)&amp;" "&amp;"-"&amp;" "&amp;('Translate &amp; Prices'!$B$149)&amp;" "&amp;" "&amp;1</f>
        <v>Počet kusů - Rámeček  1</v>
      </c>
      <c r="C28" s="824"/>
      <c r="D28" s="824"/>
      <c r="E28" s="824"/>
      <c r="F28" s="824"/>
      <c r="G28" s="550"/>
      <c r="H28" s="756"/>
      <c r="I28" s="756"/>
      <c r="J28" s="756"/>
      <c r="K28" s="756"/>
      <c r="L28" s="756"/>
      <c r="M28" s="756"/>
      <c r="N28" s="756"/>
      <c r="O28" s="756"/>
      <c r="P28" s="756"/>
      <c r="Q28" s="825"/>
      <c r="R28" s="559"/>
      <c r="S28" s="811"/>
      <c r="T28" s="812"/>
      <c r="U28" s="812"/>
      <c r="V28" s="812"/>
      <c r="W28" s="812"/>
      <c r="X28" s="812"/>
      <c r="Y28" s="813"/>
      <c r="Z28" s="571"/>
      <c r="AA28" s="541"/>
      <c r="AB28" s="542"/>
      <c r="AC28" s="543"/>
      <c r="AD28" s="543"/>
      <c r="AE28" s="542"/>
      <c r="AF28" s="542"/>
      <c r="AG28" s="542"/>
      <c r="AH28" s="542"/>
      <c r="AI28" s="544"/>
      <c r="AJ28" s="517"/>
      <c r="AK28" s="542"/>
      <c r="AL28" s="542"/>
      <c r="AM28" s="543"/>
      <c r="AN28" s="543"/>
      <c r="AO28" s="542"/>
      <c r="AP28" s="545"/>
      <c r="AQ28" s="531"/>
      <c r="AR28" s="400"/>
      <c r="AS28" s="507"/>
      <c r="AT28" s="1242"/>
      <c r="AU28" s="1226"/>
      <c r="AV28" s="1226"/>
      <c r="AW28" s="1227"/>
    </row>
    <row r="29" spans="1:49" s="1228" customFormat="1" ht="18" customHeight="1" x14ac:dyDescent="0.3">
      <c r="A29" s="559"/>
      <c r="B29" s="563"/>
      <c r="C29" s="549"/>
      <c r="D29" s="549"/>
      <c r="E29" s="549"/>
      <c r="F29" s="549"/>
      <c r="G29" s="549"/>
      <c r="H29" s="831"/>
      <c r="I29" s="831"/>
      <c r="J29" s="841" t="str">
        <f>S44&amp;" "&amp;'Translate &amp; Prices'!$B$205</f>
        <v xml:space="preserve"> Dodat včetně uvedeného kování</v>
      </c>
      <c r="K29" s="841"/>
      <c r="L29" s="841"/>
      <c r="M29" s="841"/>
      <c r="N29" s="841"/>
      <c r="O29" s="841"/>
      <c r="P29" s="841"/>
      <c r="Q29" s="842"/>
      <c r="R29" s="559"/>
      <c r="S29" s="811"/>
      <c r="T29" s="812"/>
      <c r="U29" s="812"/>
      <c r="V29" s="812"/>
      <c r="W29" s="812"/>
      <c r="X29" s="812"/>
      <c r="Y29" s="813"/>
      <c r="Z29" s="510"/>
      <c r="AA29" s="572" t="e">
        <f>VLOOKUP(H14,kombinace_1!$DN$7:$DO$21,2,0)</f>
        <v>#N/A</v>
      </c>
      <c r="AB29" s="857">
        <f>IFERROR(IF(AND($AU$17&lt;=2,H12=kombinace_1!BQ2),'Translate &amp; Prices'!$B$557,0),0)</f>
        <v>0</v>
      </c>
      <c r="AC29" s="857"/>
      <c r="AD29" s="857"/>
      <c r="AE29" s="857"/>
      <c r="AF29" s="857"/>
      <c r="AG29" s="857"/>
      <c r="AH29" s="857"/>
      <c r="AI29" s="857"/>
      <c r="AJ29" s="857"/>
      <c r="AK29" s="857"/>
      <c r="AL29" s="857"/>
      <c r="AM29" s="857"/>
      <c r="AN29" s="857"/>
      <c r="AO29" s="857"/>
      <c r="AP29" s="572"/>
      <c r="AQ29" s="400"/>
      <c r="AR29" s="400"/>
      <c r="AS29" s="400"/>
      <c r="AT29" s="1242"/>
      <c r="AU29" s="1226"/>
      <c r="AV29" s="1226"/>
      <c r="AW29" s="1227"/>
    </row>
    <row r="30" spans="1:49" s="1228" customFormat="1" ht="13.8" customHeight="1" x14ac:dyDescent="0.3">
      <c r="A30" s="559"/>
      <c r="B30" s="817" t="str">
        <f>'Translate &amp; Prices'!$B$158</f>
        <v>Cena rámečků celkem</v>
      </c>
      <c r="C30" s="761"/>
      <c r="D30" s="761"/>
      <c r="E30" s="761"/>
      <c r="F30" s="761"/>
      <c r="G30" s="761"/>
      <c r="H30" s="761"/>
      <c r="I30" s="761"/>
      <c r="J30" s="761"/>
      <c r="K30" s="764"/>
      <c r="L30" s="766">
        <f>((AT11+AT13+AT15+AT17+AT33+AT35+AT37)*AT43)*(1-Zakaznik!K23)</f>
        <v>0</v>
      </c>
      <c r="M30" s="766"/>
      <c r="N30" s="766"/>
      <c r="O30" s="766"/>
      <c r="P30" s="766"/>
      <c r="Q30" s="819"/>
      <c r="R30" s="559"/>
      <c r="S30" s="811"/>
      <c r="T30" s="812"/>
      <c r="U30" s="812"/>
      <c r="V30" s="812"/>
      <c r="W30" s="812"/>
      <c r="X30" s="812"/>
      <c r="Y30" s="813"/>
      <c r="Z30" s="510"/>
      <c r="AA30" s="507"/>
      <c r="AB30" s="559"/>
      <c r="AC30" s="507"/>
      <c r="AD30" s="507"/>
      <c r="AE30" s="529"/>
      <c r="AF30" s="826" t="str">
        <f>'Translate &amp; Prices'!$B$155</f>
        <v xml:space="preserve">Šířka </v>
      </c>
      <c r="AG30" s="826"/>
      <c r="AH30" s="826"/>
      <c r="AI30" s="801"/>
      <c r="AJ30" s="801"/>
      <c r="AK30" s="801"/>
      <c r="AL30" s="529"/>
      <c r="AM30" s="529"/>
      <c r="AN30" s="400"/>
      <c r="AO30" s="400"/>
      <c r="AP30" s="510"/>
      <c r="AQ30" s="510"/>
      <c r="AR30" s="510"/>
      <c r="AS30" s="510"/>
      <c r="AT30" s="1242"/>
      <c r="AU30" s="1226"/>
      <c r="AV30" s="1226"/>
      <c r="AW30" s="1227"/>
    </row>
    <row r="31" spans="1:49" s="1228" customFormat="1" ht="13.8" customHeight="1" thickBot="1" x14ac:dyDescent="0.35">
      <c r="A31" s="559"/>
      <c r="B31" s="818"/>
      <c r="C31" s="763"/>
      <c r="D31" s="763"/>
      <c r="E31" s="763"/>
      <c r="F31" s="763"/>
      <c r="G31" s="763"/>
      <c r="H31" s="763"/>
      <c r="I31" s="763"/>
      <c r="J31" s="763"/>
      <c r="K31" s="765"/>
      <c r="L31" s="768"/>
      <c r="M31" s="768"/>
      <c r="N31" s="768"/>
      <c r="O31" s="768"/>
      <c r="P31" s="768"/>
      <c r="Q31" s="820"/>
      <c r="R31" s="559"/>
      <c r="S31" s="814"/>
      <c r="T31" s="815"/>
      <c r="U31" s="815"/>
      <c r="V31" s="815"/>
      <c r="W31" s="815"/>
      <c r="X31" s="815"/>
      <c r="Y31" s="816"/>
      <c r="Z31" s="510"/>
      <c r="AA31" s="556"/>
      <c r="AB31" s="546"/>
      <c r="AC31" s="546"/>
      <c r="AD31" s="556"/>
      <c r="AE31" s="556"/>
      <c r="AF31" s="556"/>
      <c r="AG31" s="556"/>
      <c r="AH31" s="556"/>
      <c r="AI31" s="556"/>
      <c r="AJ31" s="556"/>
      <c r="AK31" s="556"/>
      <c r="AL31" s="556"/>
      <c r="AM31" s="556"/>
      <c r="AN31" s="556"/>
      <c r="AO31" s="797" t="str">
        <f>'Translate &amp; Prices'!$B$547</f>
        <v>Souhrn</v>
      </c>
      <c r="AP31" s="797"/>
      <c r="AQ31" s="797"/>
      <c r="AR31" s="797"/>
      <c r="AS31" s="510"/>
      <c r="AT31" s="1242"/>
      <c r="AU31" s="1226"/>
      <c r="AV31" s="1226"/>
      <c r="AW31" s="1227"/>
    </row>
    <row r="32" spans="1:49" s="1228" customFormat="1" ht="18.600000000000001" customHeight="1" x14ac:dyDescent="0.3">
      <c r="A32" s="559"/>
      <c r="B32" s="832" t="str">
        <f>'Translate &amp; Prices'!$B$151</f>
        <v>Uvedené ceny jsou bez DPH a nezahrnují cenu požadovaného kování!</v>
      </c>
      <c r="C32" s="832"/>
      <c r="D32" s="832"/>
      <c r="E32" s="832"/>
      <c r="F32" s="832"/>
      <c r="G32" s="832"/>
      <c r="H32" s="832"/>
      <c r="I32" s="832"/>
      <c r="J32" s="832"/>
      <c r="K32" s="832"/>
      <c r="L32" s="832"/>
      <c r="M32" s="832"/>
      <c r="N32" s="832"/>
      <c r="O32" s="832"/>
      <c r="P32" s="832"/>
      <c r="Q32" s="832"/>
      <c r="R32" s="559"/>
      <c r="S32" s="510"/>
      <c r="T32" s="510"/>
      <c r="U32" s="510"/>
      <c r="V32" s="510"/>
      <c r="W32" s="510"/>
      <c r="X32" s="510"/>
      <c r="Y32" s="510"/>
      <c r="Z32" s="510"/>
      <c r="AA32" s="510"/>
      <c r="AB32" s="559"/>
      <c r="AC32" s="510"/>
      <c r="AD32" s="510"/>
      <c r="AE32" s="510"/>
      <c r="AF32" s="510"/>
      <c r="AG32" s="510"/>
      <c r="AH32" s="510"/>
      <c r="AI32" s="510"/>
      <c r="AJ32" s="510"/>
      <c r="AK32" s="510"/>
      <c r="AL32" s="510"/>
      <c r="AM32" s="510"/>
      <c r="AN32" s="510"/>
      <c r="AO32" s="797"/>
      <c r="AP32" s="797"/>
      <c r="AQ32" s="797"/>
      <c r="AR32" s="797"/>
      <c r="AS32" s="559"/>
      <c r="AT32" s="1242"/>
      <c r="AU32" s="1226"/>
      <c r="AV32" s="1226"/>
      <c r="AW32" s="1227"/>
    </row>
    <row r="33" spans="1:55" s="1228" customFormat="1" ht="15" customHeight="1" x14ac:dyDescent="0.3">
      <c r="A33" s="559"/>
      <c r="B33" s="510"/>
      <c r="C33" s="510"/>
      <c r="D33" s="510"/>
      <c r="E33" s="510"/>
      <c r="F33" s="510"/>
      <c r="G33" s="510"/>
      <c r="H33" s="510"/>
      <c r="I33" s="510"/>
      <c r="J33" s="510"/>
      <c r="K33" s="510"/>
      <c r="L33" s="510"/>
      <c r="M33" s="510"/>
      <c r="N33" s="510"/>
      <c r="O33" s="510"/>
      <c r="P33" s="510"/>
      <c r="Q33" s="510"/>
      <c r="R33" s="559"/>
      <c r="S33" s="510"/>
      <c r="T33" s="510"/>
      <c r="U33" s="510"/>
      <c r="V33" s="510"/>
      <c r="W33" s="510"/>
      <c r="X33" s="510"/>
      <c r="Y33" s="510"/>
      <c r="Z33" s="510"/>
      <c r="AA33" s="510"/>
      <c r="AB33" s="559"/>
      <c r="AC33" s="510"/>
      <c r="AD33" s="510"/>
      <c r="AE33" s="510"/>
      <c r="AF33" s="510"/>
      <c r="AG33" s="510"/>
      <c r="AH33" s="510"/>
      <c r="AI33" s="510"/>
      <c r="AJ33" s="510"/>
      <c r="AK33" s="510"/>
      <c r="AL33" s="510"/>
      <c r="AM33" s="510"/>
      <c r="AN33" s="510"/>
      <c r="AO33" s="510"/>
      <c r="AP33" s="510"/>
      <c r="AQ33" s="510"/>
      <c r="AR33" s="400"/>
      <c r="AS33" s="559"/>
      <c r="AT33" s="1242">
        <f>IF(kombinace_1!V1=2,((AR14/1000)*(AI30/1000))*'Translate &amp; Prices'!C77,0)</f>
        <v>0</v>
      </c>
      <c r="AU33" s="1226"/>
      <c r="AV33" s="1226"/>
      <c r="AW33" s="1227"/>
    </row>
    <row r="34" spans="1:55" s="1247" customFormat="1" ht="18.600000000000001" hidden="1" customHeight="1" x14ac:dyDescent="0.3">
      <c r="A34" s="1253"/>
      <c r="R34" s="1253"/>
      <c r="AS34" s="1246"/>
      <c r="AT34" s="1246"/>
    </row>
    <row r="35" spans="1:55" s="1228" customFormat="1" ht="15" hidden="1" customHeight="1" x14ac:dyDescent="0.3">
      <c r="A35" s="1230"/>
      <c r="R35" s="1230"/>
      <c r="S35" s="1244"/>
      <c r="T35" s="1248"/>
      <c r="AN35" s="1247"/>
      <c r="AO35" s="1247"/>
      <c r="AP35" s="1247"/>
      <c r="AQ35" s="1247"/>
      <c r="AR35" s="1225"/>
      <c r="AS35" s="1242"/>
      <c r="AT35" s="1242">
        <f>IF(kombinace_1!$V$1=3,IFERROR(((VLOOKUP(H24,'Translate &amp; Prices'!B74:C76,2,0))*(AR14/1000)),0),0)</f>
        <v>0</v>
      </c>
      <c r="AU35" s="1226"/>
      <c r="AV35" s="1226"/>
      <c r="AW35" s="1227"/>
      <c r="AX35" s="1227"/>
      <c r="AY35" s="1227"/>
      <c r="AZ35" s="1227"/>
      <c r="BA35" s="1227"/>
      <c r="BB35" s="1227"/>
      <c r="BC35" s="1227"/>
    </row>
    <row r="36" spans="1:55" s="1249" customFormat="1" ht="18.600000000000001" hidden="1" customHeight="1" x14ac:dyDescent="0.3">
      <c r="A36" s="1254"/>
      <c r="R36" s="1254"/>
      <c r="S36" s="1254"/>
      <c r="T36" s="1248"/>
      <c r="AK36" s="1255"/>
      <c r="AL36" s="1255"/>
      <c r="AN36" s="1247"/>
      <c r="AO36" s="1247"/>
      <c r="AP36" s="1247"/>
      <c r="AQ36" s="1247"/>
      <c r="AS36" s="1248"/>
      <c r="AT36" s="1248"/>
    </row>
    <row r="37" spans="1:55" ht="15" hidden="1" customHeight="1" x14ac:dyDescent="0.3">
      <c r="R37" s="1244"/>
      <c r="S37" s="1244"/>
      <c r="T37" s="1248"/>
      <c r="AK37" s="1255"/>
      <c r="AL37" s="1255"/>
      <c r="AN37" s="1247"/>
      <c r="AO37" s="1247"/>
      <c r="AP37" s="1247"/>
      <c r="AQ37" s="1247"/>
      <c r="AS37" s="1245" t="s">
        <v>18</v>
      </c>
      <c r="AT37" s="1245">
        <f>IFERROR((VLOOKUP(H25,'Translate &amp; Prices'!B82:D146,2,0))*((AI30/1000)*(AR14/1000)),0)</f>
        <v>0</v>
      </c>
    </row>
    <row r="38" spans="1:55" ht="18.600000000000001" hidden="1" customHeight="1" x14ac:dyDescent="0.3">
      <c r="I38" s="1250" t="str" cm="1">
        <f t="array" ref="I38:I41">IF(OR(H8=kombinace_1!F14,H8=kombinace_1!F15,H8=kombinace_1!F16,H8=kombinace_1!F17,H8=kombinace_1!F18,H8=kombinace_1!F19),_zavesy_kombo,IF(H15=kombinace_1!AB8,_ramena_HL,_umisteni_zavesu))</f>
        <v>Vlevo</v>
      </c>
      <c r="R38" s="1244"/>
      <c r="S38" s="1244"/>
      <c r="T38" s="1248"/>
      <c r="AK38" s="1255"/>
      <c r="AL38" s="1255"/>
      <c r="AN38" s="1247"/>
      <c r="AO38" s="1247"/>
      <c r="AP38" s="1247"/>
      <c r="AQ38" s="1247"/>
      <c r="AS38" s="1245"/>
      <c r="AT38" s="1245"/>
    </row>
    <row r="39" spans="1:55" ht="15" hidden="1" customHeight="1" x14ac:dyDescent="0.3">
      <c r="I39" s="1250" t="str">
        <v xml:space="preserve">Vpravo </v>
      </c>
      <c r="R39" s="1244"/>
      <c r="S39" s="1244"/>
      <c r="T39" s="1248"/>
      <c r="AK39" s="1255"/>
      <c r="AL39" s="1255"/>
      <c r="AN39" s="1247"/>
      <c r="AO39" s="1247"/>
      <c r="AP39" s="1247"/>
      <c r="AQ39" s="1247"/>
      <c r="AS39" s="1245" t="s">
        <v>2438</v>
      </c>
      <c r="AT39" s="1245"/>
    </row>
    <row r="40" spans="1:55" ht="18.600000000000001" hidden="1" customHeight="1" x14ac:dyDescent="0.3">
      <c r="I40" s="1250" t="str">
        <v>Nahoře</v>
      </c>
      <c r="R40" s="1244"/>
      <c r="S40" s="1244"/>
      <c r="T40" s="1248"/>
      <c r="U40" s="1248"/>
      <c r="V40" s="1248"/>
      <c r="W40" s="1248"/>
      <c r="X40" s="1248"/>
      <c r="Y40" s="1255"/>
      <c r="Z40" s="1255"/>
      <c r="AA40" s="1255"/>
      <c r="AB40" s="1255"/>
      <c r="AC40" s="1255"/>
      <c r="AD40" s="1255"/>
      <c r="AE40" s="1255"/>
      <c r="AF40" s="1255"/>
      <c r="AG40" s="1255"/>
      <c r="AH40" s="1255"/>
      <c r="AI40" s="1255"/>
      <c r="AJ40" s="1255"/>
      <c r="AK40" s="1255"/>
      <c r="AL40" s="1255"/>
      <c r="AS40" s="1245"/>
      <c r="AT40" s="1245"/>
    </row>
    <row r="41" spans="1:55" ht="15" hidden="1" customHeight="1" x14ac:dyDescent="0.3">
      <c r="I41" s="1250" t="str">
        <v>Dole</v>
      </c>
      <c r="R41" s="1244"/>
      <c r="S41" s="1244"/>
      <c r="T41" s="1248"/>
      <c r="U41" s="1248"/>
      <c r="V41" s="1248"/>
      <c r="W41" s="1248"/>
      <c r="X41" s="1248"/>
      <c r="Y41" s="1255"/>
      <c r="Z41" s="1255"/>
      <c r="AA41" s="1255"/>
      <c r="AB41" s="1255"/>
      <c r="AC41" s="1255"/>
      <c r="AD41" s="1255"/>
      <c r="AE41" s="1255"/>
      <c r="AF41" s="1255"/>
      <c r="AG41" s="1255"/>
      <c r="AH41" s="1255"/>
      <c r="AI41" s="1255"/>
      <c r="AJ41" s="1255"/>
      <c r="AK41" s="1255"/>
      <c r="AL41" s="1255"/>
      <c r="AS41" s="1245" t="s">
        <v>2439</v>
      </c>
      <c r="AT41" s="1245"/>
    </row>
    <row r="42" spans="1:55" ht="18.600000000000001" hidden="1" customHeight="1" x14ac:dyDescent="0.3">
      <c r="R42" s="1244"/>
      <c r="S42" s="1244"/>
      <c r="T42" s="1248"/>
      <c r="U42" s="1248"/>
      <c r="V42" s="1248"/>
      <c r="W42" s="1248"/>
      <c r="X42" s="1248"/>
      <c r="Y42" s="1255"/>
      <c r="Z42" s="1255"/>
      <c r="AA42" s="1255"/>
      <c r="AB42" s="1255"/>
      <c r="AC42" s="1255"/>
      <c r="AD42" s="1255"/>
      <c r="AE42" s="1255"/>
      <c r="AF42" s="1255"/>
      <c r="AG42" s="1255"/>
      <c r="AH42" s="1255"/>
      <c r="AI42" s="1255"/>
      <c r="AJ42" s="1255"/>
      <c r="AK42" s="1255"/>
      <c r="AL42" s="1255"/>
      <c r="AS42" s="1245"/>
      <c r="AT42" s="1245"/>
    </row>
    <row r="43" spans="1:55" ht="15" hidden="1" customHeight="1" x14ac:dyDescent="0.3">
      <c r="R43" s="1244"/>
      <c r="S43" s="1244"/>
      <c r="T43" s="1248"/>
      <c r="U43" s="1248"/>
      <c r="V43" s="1248"/>
      <c r="W43" s="1248"/>
      <c r="X43" s="1248"/>
      <c r="Y43" s="1255"/>
      <c r="Z43" s="1255"/>
      <c r="AA43" s="1255"/>
      <c r="AB43" s="1255"/>
      <c r="AC43" s="1255"/>
      <c r="AD43" s="1255"/>
      <c r="AE43" s="1255"/>
      <c r="AF43" s="1255"/>
      <c r="AG43" s="1255"/>
      <c r="AH43" s="1255"/>
      <c r="AI43" s="1255"/>
      <c r="AJ43" s="1255"/>
      <c r="AK43" s="1255"/>
      <c r="AL43" s="1255"/>
      <c r="AS43" s="1245" t="s">
        <v>2440</v>
      </c>
      <c r="AT43" s="1245">
        <f>H28</f>
        <v>0</v>
      </c>
    </row>
    <row r="44" spans="1:55" ht="18.600000000000001" hidden="1" customHeight="1" x14ac:dyDescent="0.3">
      <c r="A44" s="1245"/>
      <c r="R44" s="1244"/>
      <c r="S44" s="1244"/>
      <c r="T44" s="1248"/>
      <c r="U44" s="1248"/>
      <c r="V44" s="1248"/>
      <c r="W44" s="1248"/>
      <c r="X44" s="1248"/>
      <c r="Y44" s="1255"/>
      <c r="Z44" s="1255"/>
      <c r="AA44" s="1255"/>
      <c r="AB44" s="1255"/>
      <c r="AC44" s="1255"/>
      <c r="AD44" s="1255"/>
      <c r="AE44" s="1255"/>
      <c r="AF44" s="1255"/>
      <c r="AG44" s="1255"/>
      <c r="AH44" s="1255"/>
      <c r="AI44" s="1255"/>
      <c r="AJ44" s="1255"/>
      <c r="AK44" s="1255"/>
      <c r="AL44" s="1255"/>
    </row>
    <row r="45" spans="1:55" ht="14.4" hidden="1" customHeight="1" x14ac:dyDescent="0.3">
      <c r="A45" s="1245"/>
      <c r="R45" s="1244"/>
      <c r="S45" s="1244"/>
      <c r="T45" s="1248"/>
      <c r="U45" s="1248"/>
      <c r="V45" s="1248"/>
      <c r="W45" s="1248"/>
      <c r="X45" s="1248"/>
      <c r="Y45" s="1255"/>
      <c r="Z45" s="1255"/>
      <c r="AA45" s="1255"/>
      <c r="AB45" s="1255"/>
      <c r="AC45" s="1255"/>
      <c r="AD45" s="1255"/>
      <c r="AE45" s="1255"/>
      <c r="AF45" s="1255"/>
      <c r="AG45" s="1255"/>
      <c r="AH45" s="1255"/>
      <c r="AI45" s="1255"/>
      <c r="AJ45" s="1255"/>
      <c r="AK45" s="1255"/>
      <c r="AL45" s="1255"/>
      <c r="AM45" s="1251"/>
    </row>
    <row r="46" spans="1:55" ht="14.4" hidden="1" customHeight="1" x14ac:dyDescent="0.3">
      <c r="R46" s="1244"/>
      <c r="S46" s="1244"/>
      <c r="T46" s="1248"/>
      <c r="U46" s="1248"/>
      <c r="V46" s="1248"/>
      <c r="W46" s="1248"/>
      <c r="X46" s="1248"/>
      <c r="Y46" s="1255"/>
      <c r="Z46" s="1255"/>
      <c r="AA46" s="1255"/>
      <c r="AB46" s="1255"/>
      <c r="AC46" s="1255"/>
      <c r="AD46" s="1255"/>
      <c r="AE46" s="1255"/>
      <c r="AF46" s="1255"/>
      <c r="AG46" s="1255"/>
      <c r="AH46" s="1255"/>
      <c r="AI46" s="1255"/>
      <c r="AJ46" s="1255"/>
      <c r="AK46" s="1255"/>
      <c r="AL46" s="1255"/>
      <c r="AM46" s="1251"/>
    </row>
    <row r="47" spans="1:55" ht="14.4" hidden="1" customHeight="1" x14ac:dyDescent="0.3">
      <c r="C47" s="1245"/>
      <c r="D47" s="1244"/>
      <c r="E47" s="1244"/>
      <c r="F47" s="1244"/>
      <c r="G47" s="1244"/>
      <c r="H47" s="1244"/>
      <c r="I47" s="1244"/>
      <c r="J47" s="1244"/>
      <c r="K47" s="1244"/>
      <c r="L47" s="1244"/>
      <c r="M47" s="1244"/>
      <c r="N47" s="1244"/>
      <c r="O47" s="1244"/>
      <c r="P47" s="1244"/>
      <c r="Q47" s="1244"/>
      <c r="R47" s="1244"/>
      <c r="S47" s="1244"/>
      <c r="T47" s="1248"/>
      <c r="U47" s="1248"/>
      <c r="V47" s="1248"/>
      <c r="W47" s="1248"/>
      <c r="X47" s="1248"/>
      <c r="Y47" s="1255"/>
      <c r="Z47" s="1255"/>
      <c r="AA47" s="1255"/>
      <c r="AB47" s="1255"/>
      <c r="AC47" s="1255"/>
      <c r="AD47" s="1255"/>
      <c r="AE47" s="1255"/>
      <c r="AF47" s="1255"/>
      <c r="AG47" s="1255"/>
      <c r="AH47" s="1255"/>
      <c r="AI47" s="1255"/>
      <c r="AJ47" s="1255"/>
      <c r="AK47" s="1255"/>
      <c r="AL47" s="1255"/>
    </row>
    <row r="48" spans="1:55" ht="14.4" hidden="1" customHeight="1" x14ac:dyDescent="0.3">
      <c r="R48" s="1244"/>
      <c r="S48" s="1244"/>
      <c r="T48" s="1248"/>
      <c r="U48" s="1248"/>
      <c r="V48" s="1248"/>
      <c r="W48" s="1248"/>
      <c r="X48" s="1248"/>
      <c r="Y48" s="1255"/>
      <c r="Z48" s="1255"/>
      <c r="AA48" s="1255"/>
      <c r="AB48" s="1255"/>
      <c r="AC48" s="1255"/>
      <c r="AD48" s="1255"/>
      <c r="AE48" s="1255"/>
      <c r="AF48" s="1255"/>
      <c r="AG48" s="1255"/>
      <c r="AH48" s="1255"/>
      <c r="AI48" s="1255"/>
      <c r="AJ48" s="1255"/>
      <c r="AK48" s="1255"/>
      <c r="AL48" s="1255"/>
    </row>
    <row r="49" spans="3:38" ht="14.4" hidden="1" customHeight="1" x14ac:dyDescent="0.3">
      <c r="R49" s="1244"/>
      <c r="S49" s="1244"/>
      <c r="T49" s="1248"/>
      <c r="U49" s="1248"/>
      <c r="V49" s="1248"/>
      <c r="W49" s="1248"/>
      <c r="X49" s="1248"/>
      <c r="Y49" s="1255"/>
      <c r="Z49" s="1255"/>
      <c r="AA49" s="1255"/>
      <c r="AB49" s="1255"/>
      <c r="AC49" s="1255"/>
      <c r="AD49" s="1255"/>
      <c r="AE49" s="1255"/>
      <c r="AF49" s="1255"/>
      <c r="AG49" s="1255"/>
      <c r="AH49" s="1255"/>
      <c r="AI49" s="1255"/>
      <c r="AJ49" s="1255"/>
      <c r="AK49" s="1255"/>
      <c r="AL49" s="1255"/>
    </row>
    <row r="50" spans="3:38" ht="14.4" hidden="1" customHeight="1" x14ac:dyDescent="0.3">
      <c r="R50" s="1244"/>
      <c r="S50" s="1244"/>
      <c r="T50" s="1248"/>
      <c r="U50" s="1248"/>
      <c r="V50" s="1248"/>
      <c r="W50" s="1248"/>
      <c r="X50" s="1248"/>
      <c r="Y50" s="1255"/>
      <c r="Z50" s="1255"/>
      <c r="AA50" s="1255"/>
      <c r="AB50" s="1255"/>
      <c r="AC50" s="1255"/>
      <c r="AD50" s="1255"/>
      <c r="AE50" s="1255"/>
      <c r="AF50" s="1255"/>
      <c r="AG50" s="1255"/>
      <c r="AH50" s="1255"/>
      <c r="AI50" s="1255"/>
      <c r="AJ50" s="1255"/>
      <c r="AK50" s="1255"/>
      <c r="AL50" s="1255"/>
    </row>
    <row r="51" spans="3:38" ht="14.4" hidden="1" customHeight="1" x14ac:dyDescent="0.3">
      <c r="R51" s="1244"/>
      <c r="S51" s="1244"/>
      <c r="T51" s="1248"/>
      <c r="U51" s="1248"/>
      <c r="V51" s="1248"/>
      <c r="W51" s="1248"/>
      <c r="X51" s="1248"/>
      <c r="Y51" s="1255"/>
      <c r="Z51" s="1255"/>
      <c r="AA51" s="1255"/>
      <c r="AB51" s="1255"/>
      <c r="AC51" s="1255"/>
      <c r="AD51" s="1255"/>
      <c r="AE51" s="1255"/>
      <c r="AF51" s="1255"/>
      <c r="AG51" s="1255"/>
      <c r="AH51" s="1255"/>
      <c r="AI51" s="1255"/>
      <c r="AJ51" s="1255"/>
      <c r="AK51" s="1255"/>
      <c r="AL51" s="1255"/>
    </row>
    <row r="52" spans="3:38" ht="14.4" hidden="1" customHeight="1" x14ac:dyDescent="0.3">
      <c r="R52" s="1244"/>
      <c r="S52" s="1244"/>
      <c r="T52" s="1248"/>
      <c r="U52" s="1248"/>
      <c r="V52" s="1248"/>
      <c r="W52" s="1248"/>
      <c r="X52" s="1248"/>
      <c r="Y52" s="1255"/>
      <c r="Z52" s="1255"/>
      <c r="AA52" s="1255"/>
      <c r="AB52" s="1255"/>
      <c r="AC52" s="1255"/>
      <c r="AD52" s="1255"/>
      <c r="AE52" s="1255"/>
      <c r="AF52" s="1255"/>
      <c r="AG52" s="1255"/>
      <c r="AH52" s="1255"/>
      <c r="AI52" s="1255"/>
      <c r="AJ52" s="1255"/>
      <c r="AK52" s="1255"/>
      <c r="AL52" s="1255"/>
    </row>
    <row r="53" spans="3:38" ht="14.4" hidden="1" customHeight="1" x14ac:dyDescent="0.3">
      <c r="R53" s="1244"/>
      <c r="S53" s="1244"/>
      <c r="T53" s="1248"/>
      <c r="U53" s="1248"/>
      <c r="V53" s="1248"/>
      <c r="W53" s="1248"/>
      <c r="X53" s="1248"/>
      <c r="Y53" s="1255"/>
      <c r="Z53" s="1255"/>
      <c r="AA53" s="1255"/>
      <c r="AB53" s="1255"/>
      <c r="AC53" s="1255"/>
      <c r="AD53" s="1255"/>
      <c r="AE53" s="1255"/>
      <c r="AF53" s="1255"/>
      <c r="AG53" s="1255"/>
      <c r="AH53" s="1255"/>
      <c r="AI53" s="1255"/>
      <c r="AJ53" s="1255"/>
      <c r="AK53" s="1255"/>
      <c r="AL53" s="1255"/>
    </row>
    <row r="54" spans="3:38" ht="14.4" hidden="1" customHeight="1" x14ac:dyDescent="0.3">
      <c r="R54" s="1244"/>
      <c r="S54" s="1244"/>
      <c r="T54" s="1248"/>
      <c r="U54" s="1248"/>
      <c r="V54" s="1248"/>
      <c r="W54" s="1248"/>
      <c r="X54" s="1248"/>
      <c r="Y54" s="1255"/>
      <c r="Z54" s="1255"/>
      <c r="AA54" s="1255"/>
      <c r="AB54" s="1255"/>
      <c r="AC54" s="1255"/>
      <c r="AD54" s="1255"/>
      <c r="AE54" s="1255"/>
      <c r="AF54" s="1255"/>
      <c r="AG54" s="1255"/>
      <c r="AH54" s="1255"/>
      <c r="AI54" s="1255"/>
      <c r="AJ54" s="1255"/>
      <c r="AK54" s="1255"/>
      <c r="AL54" s="1255"/>
    </row>
    <row r="55" spans="3:38" ht="14.4" hidden="1" customHeight="1" x14ac:dyDescent="0.3">
      <c r="R55" s="1244"/>
      <c r="S55" s="1244"/>
      <c r="T55" s="1248"/>
      <c r="U55" s="1248"/>
      <c r="V55" s="1248"/>
      <c r="W55" s="1248"/>
      <c r="X55" s="1248"/>
      <c r="Y55" s="1255"/>
      <c r="Z55" s="1255"/>
      <c r="AA55" s="1255"/>
      <c r="AB55" s="1255"/>
      <c r="AC55" s="1255"/>
      <c r="AD55" s="1255"/>
      <c r="AE55" s="1255"/>
      <c r="AF55" s="1255"/>
      <c r="AG55" s="1255"/>
      <c r="AH55" s="1255"/>
      <c r="AI55" s="1255"/>
      <c r="AJ55" s="1255"/>
      <c r="AK55" s="1255"/>
      <c r="AL55" s="1255"/>
    </row>
    <row r="56" spans="3:38" ht="14.4" hidden="1" customHeight="1" x14ac:dyDescent="0.3">
      <c r="R56" s="1244"/>
      <c r="S56" s="1244"/>
      <c r="T56" s="1248"/>
      <c r="U56" s="1248"/>
      <c r="V56" s="1248"/>
      <c r="W56" s="1248"/>
      <c r="X56" s="1248"/>
      <c r="Y56" s="1255"/>
      <c r="Z56" s="1255"/>
      <c r="AA56" s="1255"/>
      <c r="AB56" s="1255"/>
      <c r="AC56" s="1255"/>
      <c r="AD56" s="1255"/>
      <c r="AE56" s="1255"/>
      <c r="AF56" s="1255"/>
      <c r="AG56" s="1255"/>
      <c r="AH56" s="1255"/>
      <c r="AI56" s="1255"/>
      <c r="AJ56" s="1255"/>
      <c r="AK56" s="1255"/>
      <c r="AL56" s="1255"/>
    </row>
    <row r="57" spans="3:38" ht="14.4" hidden="1" customHeight="1" x14ac:dyDescent="0.3">
      <c r="R57" s="1244"/>
      <c r="S57" s="1244"/>
      <c r="T57" s="1248"/>
      <c r="U57" s="1248"/>
      <c r="V57" s="1248"/>
      <c r="W57" s="1248"/>
      <c r="X57" s="1248"/>
      <c r="Y57" s="1255"/>
      <c r="Z57" s="1255"/>
      <c r="AA57" s="1255"/>
      <c r="AB57" s="1255"/>
      <c r="AC57" s="1255"/>
      <c r="AD57" s="1255"/>
      <c r="AE57" s="1255"/>
      <c r="AF57" s="1255"/>
      <c r="AG57" s="1255"/>
      <c r="AH57" s="1255"/>
      <c r="AI57" s="1255"/>
      <c r="AJ57" s="1255"/>
      <c r="AK57" s="1255"/>
      <c r="AL57" s="1255"/>
    </row>
    <row r="58" spans="3:38" ht="14.4" hidden="1" customHeight="1" x14ac:dyDescent="0.3">
      <c r="R58" s="1244"/>
      <c r="S58" s="1244"/>
      <c r="T58" s="1248"/>
      <c r="U58" s="1248"/>
      <c r="V58" s="1248"/>
      <c r="W58" s="1248"/>
      <c r="X58" s="1248"/>
      <c r="Y58" s="1255"/>
      <c r="Z58" s="1255"/>
      <c r="AA58" s="1255"/>
      <c r="AB58" s="1255"/>
      <c r="AC58" s="1255"/>
      <c r="AD58" s="1255"/>
      <c r="AE58" s="1255"/>
      <c r="AF58" s="1255"/>
      <c r="AG58" s="1255"/>
      <c r="AH58" s="1255"/>
      <c r="AI58" s="1255"/>
      <c r="AJ58" s="1255"/>
      <c r="AK58" s="1255"/>
      <c r="AL58" s="1255"/>
    </row>
    <row r="59" spans="3:38" ht="14.4" hidden="1" customHeight="1" x14ac:dyDescent="0.3">
      <c r="R59" s="1244"/>
      <c r="S59" s="1244"/>
      <c r="T59" s="1248"/>
      <c r="U59" s="1248"/>
      <c r="V59" s="1248"/>
      <c r="W59" s="1248"/>
      <c r="X59" s="1248"/>
      <c r="Y59" s="1255"/>
      <c r="Z59" s="1255"/>
      <c r="AA59" s="1255"/>
      <c r="AB59" s="1255"/>
      <c r="AC59" s="1255"/>
      <c r="AD59" s="1255"/>
      <c r="AE59" s="1255"/>
      <c r="AF59" s="1255"/>
      <c r="AG59" s="1255"/>
      <c r="AH59" s="1255"/>
      <c r="AI59" s="1255"/>
      <c r="AJ59" s="1255"/>
      <c r="AK59" s="1255"/>
      <c r="AL59" s="1255"/>
    </row>
    <row r="60" spans="3:38" ht="14.4" hidden="1" customHeight="1" x14ac:dyDescent="0.3">
      <c r="R60" s="1244"/>
      <c r="S60" s="1244"/>
      <c r="T60" s="1248"/>
      <c r="U60" s="1248"/>
      <c r="V60" s="1248"/>
      <c r="W60" s="1248"/>
      <c r="X60" s="1248"/>
      <c r="Y60" s="1255"/>
      <c r="Z60" s="1255"/>
      <c r="AA60" s="1255"/>
      <c r="AB60" s="1255"/>
      <c r="AC60" s="1255"/>
      <c r="AD60" s="1255"/>
      <c r="AE60" s="1255"/>
      <c r="AF60" s="1255"/>
      <c r="AG60" s="1255"/>
      <c r="AH60" s="1255"/>
      <c r="AI60" s="1255"/>
      <c r="AJ60" s="1255"/>
      <c r="AK60" s="1255"/>
      <c r="AL60" s="1255"/>
    </row>
    <row r="61" spans="3:38" ht="14.4" hidden="1" customHeight="1" x14ac:dyDescent="0.3">
      <c r="R61" s="1244"/>
      <c r="S61" s="1244"/>
      <c r="T61" s="1248"/>
      <c r="U61" s="1248"/>
      <c r="V61" s="1248"/>
      <c r="W61" s="1248"/>
      <c r="X61" s="1248"/>
      <c r="Y61" s="1255"/>
      <c r="Z61" s="1255"/>
      <c r="AA61" s="1255"/>
      <c r="AB61" s="1255"/>
      <c r="AC61" s="1255"/>
      <c r="AD61" s="1255"/>
      <c r="AE61" s="1255"/>
      <c r="AF61" s="1255"/>
      <c r="AG61" s="1255"/>
      <c r="AH61" s="1255"/>
      <c r="AI61" s="1255"/>
      <c r="AJ61" s="1255"/>
      <c r="AK61" s="1255"/>
      <c r="AL61" s="1255"/>
    </row>
    <row r="62" spans="3:38" ht="14.4" hidden="1" customHeight="1" x14ac:dyDescent="0.3">
      <c r="R62" s="1244"/>
      <c r="S62" s="1244"/>
      <c r="T62" s="1248"/>
      <c r="U62" s="1248"/>
      <c r="V62" s="1248"/>
      <c r="W62" s="1248"/>
      <c r="X62" s="1248"/>
      <c r="Y62" s="1255"/>
      <c r="Z62" s="1255"/>
      <c r="AA62" s="1255"/>
      <c r="AB62" s="1255"/>
      <c r="AC62" s="1255"/>
      <c r="AD62" s="1255"/>
      <c r="AE62" s="1255"/>
      <c r="AF62" s="1255"/>
      <c r="AG62" s="1255"/>
      <c r="AH62" s="1255"/>
      <c r="AI62" s="1255"/>
      <c r="AJ62" s="1255"/>
      <c r="AK62" s="1255"/>
      <c r="AL62" s="1255"/>
    </row>
    <row r="63" spans="3:38" ht="14.4" hidden="1" customHeight="1" x14ac:dyDescent="0.3">
      <c r="C63" s="1245"/>
      <c r="D63" s="1244"/>
      <c r="E63" s="1244"/>
      <c r="F63" s="1244"/>
      <c r="G63" s="1244"/>
      <c r="H63" s="1244"/>
      <c r="I63" s="1244"/>
      <c r="J63" s="1244"/>
      <c r="K63" s="1244"/>
      <c r="L63" s="1244"/>
      <c r="M63" s="1244"/>
      <c r="N63" s="1244"/>
      <c r="O63" s="1244"/>
      <c r="P63" s="1244"/>
      <c r="Q63" s="1244"/>
      <c r="R63" s="1244"/>
      <c r="S63" s="1244"/>
      <c r="T63" s="1248"/>
      <c r="U63" s="1248"/>
      <c r="V63" s="1248"/>
      <c r="W63" s="1248"/>
      <c r="X63" s="1248"/>
      <c r="Y63" s="1255"/>
      <c r="Z63" s="1255"/>
      <c r="AA63" s="1255"/>
      <c r="AB63" s="1255"/>
      <c r="AC63" s="1255"/>
      <c r="AD63" s="1255"/>
      <c r="AE63" s="1255"/>
      <c r="AF63" s="1255"/>
      <c r="AG63" s="1255"/>
      <c r="AH63" s="1255"/>
      <c r="AI63" s="1255"/>
      <c r="AJ63" s="1255"/>
      <c r="AK63" s="1255"/>
      <c r="AL63" s="1255"/>
    </row>
    <row r="64" spans="3:38" ht="14.4" hidden="1" customHeight="1" x14ac:dyDescent="0.3">
      <c r="C64" s="1245"/>
      <c r="D64" s="1244"/>
      <c r="E64" s="1244"/>
      <c r="F64" s="1244"/>
      <c r="G64" s="1244"/>
      <c r="H64" s="1244"/>
      <c r="I64" s="1244"/>
      <c r="J64" s="1244"/>
      <c r="K64" s="1244"/>
      <c r="L64" s="1244"/>
      <c r="M64" s="1244"/>
      <c r="N64" s="1244"/>
      <c r="O64" s="1244"/>
      <c r="P64" s="1244"/>
      <c r="Q64" s="1244"/>
      <c r="R64" s="1244"/>
      <c r="S64" s="1244"/>
      <c r="T64" s="1248"/>
      <c r="U64" s="1248"/>
      <c r="V64" s="1248"/>
      <c r="W64" s="1248"/>
      <c r="X64" s="1248"/>
      <c r="Y64" s="1255"/>
      <c r="Z64" s="1255"/>
      <c r="AA64" s="1255"/>
      <c r="AB64" s="1255"/>
      <c r="AC64" s="1255"/>
      <c r="AD64" s="1255"/>
      <c r="AE64" s="1255"/>
      <c r="AF64" s="1255"/>
      <c r="AG64" s="1255"/>
      <c r="AH64" s="1255"/>
      <c r="AI64" s="1255"/>
      <c r="AJ64" s="1255"/>
      <c r="AK64" s="1255"/>
      <c r="AL64" s="1255"/>
    </row>
    <row r="65" spans="3:38" ht="14.4" hidden="1" customHeight="1" x14ac:dyDescent="0.3">
      <c r="C65" s="1245"/>
      <c r="D65" s="1244"/>
      <c r="E65" s="1244"/>
      <c r="F65" s="1244"/>
      <c r="G65" s="1244"/>
      <c r="H65" s="1244"/>
      <c r="I65" s="1244"/>
      <c r="J65" s="1244"/>
      <c r="K65" s="1244"/>
      <c r="L65" s="1244"/>
      <c r="M65" s="1244"/>
      <c r="N65" s="1244"/>
      <c r="O65" s="1244"/>
      <c r="P65" s="1244"/>
      <c r="Q65" s="1244"/>
      <c r="R65" s="1244"/>
      <c r="S65" s="1244"/>
      <c r="T65" s="1248"/>
      <c r="U65" s="1248"/>
      <c r="V65" s="1248"/>
      <c r="W65" s="1248"/>
      <c r="X65" s="1248"/>
      <c r="Y65" s="1255"/>
      <c r="Z65" s="1255"/>
      <c r="AA65" s="1255"/>
      <c r="AB65" s="1255"/>
      <c r="AC65" s="1255"/>
      <c r="AD65" s="1255"/>
      <c r="AE65" s="1255"/>
      <c r="AF65" s="1255"/>
      <c r="AG65" s="1255"/>
      <c r="AH65" s="1255"/>
      <c r="AI65" s="1255"/>
      <c r="AJ65" s="1255"/>
      <c r="AK65" s="1255"/>
      <c r="AL65" s="1255"/>
    </row>
    <row r="66" spans="3:38" ht="14.4" hidden="1" customHeight="1" x14ac:dyDescent="0.3">
      <c r="C66" s="1245"/>
      <c r="D66" s="1244"/>
      <c r="E66" s="1244"/>
      <c r="F66" s="1244"/>
      <c r="G66" s="1244"/>
      <c r="H66" s="1244"/>
      <c r="I66" s="1244"/>
      <c r="J66" s="1244"/>
      <c r="K66" s="1244"/>
      <c r="L66" s="1244"/>
      <c r="M66" s="1244"/>
      <c r="N66" s="1244"/>
      <c r="O66" s="1244"/>
      <c r="P66" s="1244"/>
      <c r="Q66" s="1244"/>
      <c r="R66" s="1244"/>
      <c r="S66" s="1244"/>
      <c r="T66" s="1248"/>
      <c r="U66" s="1248"/>
      <c r="V66" s="1248"/>
      <c r="W66" s="1248"/>
      <c r="X66" s="1248"/>
      <c r="Y66" s="1255"/>
      <c r="Z66" s="1255"/>
      <c r="AA66" s="1255"/>
      <c r="AB66" s="1255"/>
      <c r="AC66" s="1255"/>
      <c r="AD66" s="1255"/>
      <c r="AE66" s="1255"/>
      <c r="AF66" s="1255"/>
      <c r="AG66" s="1255"/>
      <c r="AH66" s="1255"/>
      <c r="AI66" s="1255"/>
      <c r="AJ66" s="1255"/>
      <c r="AK66" s="1255"/>
      <c r="AL66" s="1255"/>
    </row>
    <row r="67" spans="3:38" ht="14.4" hidden="1" customHeight="1" x14ac:dyDescent="0.3">
      <c r="C67" s="1245"/>
      <c r="D67" s="1244"/>
      <c r="E67" s="1244"/>
      <c r="F67" s="1244"/>
      <c r="G67" s="1244"/>
      <c r="H67" s="1244"/>
      <c r="I67" s="1244"/>
      <c r="J67" s="1244"/>
      <c r="K67" s="1244"/>
      <c r="L67" s="1244"/>
      <c r="M67" s="1244"/>
      <c r="N67" s="1244"/>
      <c r="O67" s="1244"/>
      <c r="P67" s="1244"/>
      <c r="Q67" s="1244"/>
      <c r="R67" s="1244"/>
      <c r="S67" s="1244"/>
      <c r="T67" s="1248"/>
      <c r="U67" s="1248"/>
      <c r="V67" s="1248"/>
      <c r="W67" s="1248"/>
      <c r="X67" s="1248"/>
      <c r="Y67" s="1255"/>
      <c r="Z67" s="1255"/>
      <c r="AA67" s="1255"/>
      <c r="AB67" s="1255"/>
      <c r="AC67" s="1255"/>
      <c r="AD67" s="1255"/>
      <c r="AE67" s="1255"/>
      <c r="AF67" s="1255"/>
      <c r="AG67" s="1255"/>
      <c r="AH67" s="1255"/>
      <c r="AI67" s="1255"/>
      <c r="AJ67" s="1255"/>
      <c r="AK67" s="1255"/>
      <c r="AL67" s="1255"/>
    </row>
    <row r="68" spans="3:38" ht="14.4" hidden="1" customHeight="1" x14ac:dyDescent="0.3">
      <c r="C68" s="1245"/>
      <c r="D68" s="1244"/>
      <c r="E68" s="1244"/>
      <c r="F68" s="1244"/>
      <c r="G68" s="1244"/>
      <c r="H68" s="1244"/>
      <c r="I68" s="1244"/>
      <c r="J68" s="1244"/>
      <c r="K68" s="1244"/>
      <c r="L68" s="1244"/>
      <c r="M68" s="1244"/>
      <c r="N68" s="1244"/>
      <c r="O68" s="1244"/>
      <c r="P68" s="1244"/>
      <c r="Q68" s="1244"/>
      <c r="R68" s="1244"/>
      <c r="S68" s="1244"/>
      <c r="T68" s="1248"/>
      <c r="U68" s="1248"/>
      <c r="V68" s="1248"/>
      <c r="W68" s="1248"/>
      <c r="X68" s="1248"/>
      <c r="Y68" s="1255"/>
      <c r="Z68" s="1255"/>
      <c r="AA68" s="1255"/>
      <c r="AB68" s="1255"/>
      <c r="AC68" s="1255"/>
      <c r="AD68" s="1255"/>
      <c r="AE68" s="1255"/>
      <c r="AF68" s="1255"/>
      <c r="AG68" s="1255"/>
      <c r="AH68" s="1255"/>
      <c r="AI68" s="1255"/>
      <c r="AJ68" s="1255"/>
      <c r="AK68" s="1255"/>
      <c r="AL68" s="1255"/>
    </row>
    <row r="69" spans="3:38" ht="14.4" hidden="1" customHeight="1" x14ac:dyDescent="0.3">
      <c r="C69" s="1245"/>
      <c r="D69" s="1244"/>
      <c r="E69" s="1244"/>
      <c r="F69" s="1244"/>
      <c r="G69" s="1244"/>
      <c r="H69" s="1244"/>
      <c r="I69" s="1244"/>
      <c r="J69" s="1244"/>
      <c r="K69" s="1244"/>
      <c r="L69" s="1244"/>
      <c r="M69" s="1244"/>
      <c r="N69" s="1244"/>
      <c r="O69" s="1244"/>
      <c r="P69" s="1244"/>
      <c r="Q69" s="1244"/>
      <c r="R69" s="1244"/>
      <c r="S69" s="1244"/>
      <c r="T69" s="1248"/>
      <c r="U69" s="1248"/>
      <c r="V69" s="1248"/>
      <c r="W69" s="1248"/>
      <c r="X69" s="1248"/>
      <c r="Y69" s="1255"/>
      <c r="Z69" s="1255"/>
      <c r="AA69" s="1255"/>
      <c r="AB69" s="1255"/>
      <c r="AC69" s="1255"/>
      <c r="AD69" s="1255"/>
      <c r="AE69" s="1255"/>
      <c r="AF69" s="1255"/>
      <c r="AG69" s="1255"/>
      <c r="AH69" s="1255"/>
      <c r="AI69" s="1255"/>
      <c r="AJ69" s="1255"/>
      <c r="AK69" s="1255"/>
      <c r="AL69" s="1255"/>
    </row>
    <row r="70" spans="3:38" ht="14.4" hidden="1" customHeight="1" x14ac:dyDescent="0.3">
      <c r="C70" s="1245"/>
      <c r="D70" s="1244"/>
      <c r="E70" s="1244"/>
      <c r="F70" s="1244"/>
      <c r="G70" s="1244"/>
      <c r="H70" s="1244"/>
      <c r="I70" s="1244"/>
      <c r="J70" s="1244"/>
      <c r="K70" s="1244"/>
      <c r="L70" s="1244"/>
      <c r="M70" s="1244"/>
      <c r="N70" s="1244"/>
      <c r="O70" s="1244"/>
      <c r="P70" s="1244"/>
      <c r="Q70" s="1244"/>
      <c r="R70" s="1244"/>
      <c r="S70" s="1244"/>
      <c r="T70" s="1248"/>
      <c r="U70" s="1248"/>
      <c r="V70" s="1248"/>
      <c r="W70" s="1248"/>
      <c r="X70" s="1248"/>
      <c r="Y70" s="1255"/>
      <c r="Z70" s="1255"/>
      <c r="AA70" s="1255"/>
      <c r="AB70" s="1255"/>
      <c r="AC70" s="1255"/>
      <c r="AD70" s="1255"/>
      <c r="AE70" s="1255"/>
      <c r="AF70" s="1255"/>
      <c r="AG70" s="1255"/>
      <c r="AH70" s="1255"/>
      <c r="AI70" s="1255"/>
      <c r="AJ70" s="1255"/>
      <c r="AK70" s="1255"/>
      <c r="AL70" s="1255"/>
    </row>
    <row r="71" spans="3:38" ht="14.4" hidden="1" customHeight="1" x14ac:dyDescent="0.3">
      <c r="C71" s="1245"/>
      <c r="D71" s="1244"/>
      <c r="E71" s="1244"/>
      <c r="F71" s="1244"/>
      <c r="G71" s="1244"/>
      <c r="H71" s="1244"/>
      <c r="I71" s="1244"/>
      <c r="J71" s="1244"/>
      <c r="K71" s="1244"/>
      <c r="L71" s="1244"/>
      <c r="M71" s="1244"/>
      <c r="N71" s="1244"/>
      <c r="O71" s="1244"/>
      <c r="P71" s="1244"/>
      <c r="Q71" s="1244"/>
      <c r="R71" s="1244"/>
      <c r="S71" s="1244"/>
      <c r="T71" s="1248"/>
      <c r="U71" s="1248"/>
      <c r="V71" s="1248"/>
      <c r="W71" s="1248"/>
      <c r="X71" s="1248"/>
      <c r="Y71" s="1255"/>
      <c r="Z71" s="1255"/>
      <c r="AA71" s="1255"/>
      <c r="AB71" s="1255"/>
      <c r="AC71" s="1255"/>
      <c r="AD71" s="1255"/>
      <c r="AE71" s="1255"/>
      <c r="AF71" s="1255"/>
      <c r="AG71" s="1255"/>
      <c r="AH71" s="1255"/>
      <c r="AI71" s="1255"/>
      <c r="AJ71" s="1255"/>
      <c r="AK71" s="1255"/>
      <c r="AL71" s="1255"/>
    </row>
    <row r="72" spans="3:38" ht="14.4" hidden="1" customHeight="1" x14ac:dyDescent="0.3">
      <c r="C72" s="1245"/>
      <c r="D72" s="1244"/>
      <c r="E72" s="1244"/>
      <c r="F72" s="1244"/>
      <c r="G72" s="1244"/>
      <c r="H72" s="1244"/>
      <c r="I72" s="1244"/>
      <c r="J72" s="1244"/>
      <c r="K72" s="1244"/>
      <c r="L72" s="1244"/>
      <c r="M72" s="1244"/>
      <c r="N72" s="1244"/>
      <c r="O72" s="1244"/>
      <c r="P72" s="1244"/>
      <c r="Q72" s="1244"/>
      <c r="R72" s="1244"/>
      <c r="S72" s="1244"/>
      <c r="T72" s="1248"/>
      <c r="U72" s="1248"/>
      <c r="V72" s="1248"/>
      <c r="W72" s="1248"/>
      <c r="X72" s="1248"/>
      <c r="Y72" s="1255"/>
      <c r="Z72" s="1255"/>
      <c r="AA72" s="1255"/>
      <c r="AB72" s="1255"/>
      <c r="AC72" s="1255"/>
      <c r="AD72" s="1255"/>
      <c r="AE72" s="1255"/>
      <c r="AF72" s="1255"/>
      <c r="AG72" s="1255"/>
      <c r="AH72" s="1255"/>
      <c r="AI72" s="1255"/>
      <c r="AJ72" s="1255"/>
      <c r="AK72" s="1255"/>
      <c r="AL72" s="1255"/>
    </row>
    <row r="73" spans="3:38" ht="14.4" hidden="1" customHeight="1" x14ac:dyDescent="0.3">
      <c r="C73" s="1245"/>
      <c r="D73" s="1244"/>
      <c r="E73" s="1244"/>
      <c r="F73" s="1244"/>
      <c r="G73" s="1244"/>
      <c r="H73" s="1244"/>
      <c r="I73" s="1244"/>
      <c r="J73" s="1244"/>
      <c r="K73" s="1244"/>
      <c r="L73" s="1244"/>
      <c r="M73" s="1244"/>
      <c r="N73" s="1244"/>
      <c r="O73" s="1244"/>
      <c r="P73" s="1244"/>
      <c r="Q73" s="1244"/>
      <c r="R73" s="1244"/>
      <c r="S73" s="1244"/>
      <c r="T73" s="1248"/>
      <c r="U73" s="1248"/>
      <c r="V73" s="1248"/>
      <c r="W73" s="1248"/>
      <c r="X73" s="1248"/>
      <c r="Y73" s="1255"/>
      <c r="Z73" s="1255"/>
      <c r="AA73" s="1255"/>
      <c r="AB73" s="1255"/>
      <c r="AC73" s="1255"/>
      <c r="AD73" s="1255"/>
      <c r="AE73" s="1255"/>
      <c r="AF73" s="1255"/>
      <c r="AG73" s="1255"/>
      <c r="AH73" s="1255"/>
      <c r="AI73" s="1255"/>
      <c r="AJ73" s="1255"/>
      <c r="AK73" s="1255"/>
      <c r="AL73" s="1255"/>
    </row>
    <row r="74" spans="3:38" ht="14.4" hidden="1" customHeight="1" x14ac:dyDescent="0.3">
      <c r="C74" s="1245"/>
      <c r="D74" s="1244"/>
      <c r="E74" s="1244"/>
      <c r="F74" s="1244"/>
      <c r="G74" s="1244"/>
      <c r="H74" s="1244"/>
      <c r="I74" s="1244"/>
      <c r="J74" s="1244"/>
      <c r="K74" s="1244"/>
      <c r="L74" s="1244"/>
      <c r="M74" s="1244"/>
      <c r="N74" s="1244"/>
      <c r="O74" s="1244"/>
      <c r="P74" s="1244"/>
      <c r="Q74" s="1244"/>
      <c r="R74" s="1244"/>
      <c r="S74" s="1244"/>
      <c r="T74" s="1248"/>
      <c r="U74" s="1248"/>
      <c r="V74" s="1248"/>
      <c r="W74" s="1248"/>
      <c r="X74" s="1248"/>
      <c r="Y74" s="1255"/>
      <c r="Z74" s="1255"/>
      <c r="AA74" s="1255"/>
      <c r="AB74" s="1255"/>
      <c r="AC74" s="1255"/>
      <c r="AD74" s="1255"/>
      <c r="AE74" s="1255"/>
      <c r="AF74" s="1255"/>
      <c r="AG74" s="1255"/>
      <c r="AH74" s="1255"/>
      <c r="AI74" s="1255"/>
      <c r="AJ74" s="1255"/>
      <c r="AK74" s="1255"/>
      <c r="AL74" s="1255"/>
    </row>
    <row r="75" spans="3:38" ht="14.4" hidden="1" customHeight="1" x14ac:dyDescent="0.3">
      <c r="C75" s="1245"/>
      <c r="D75" s="1244"/>
      <c r="E75" s="1244"/>
      <c r="F75" s="1244"/>
      <c r="G75" s="1244"/>
      <c r="H75" s="1244"/>
      <c r="I75" s="1244"/>
      <c r="J75" s="1244"/>
      <c r="K75" s="1244"/>
      <c r="L75" s="1244"/>
      <c r="M75" s="1244"/>
      <c r="N75" s="1244"/>
      <c r="O75" s="1244"/>
      <c r="P75" s="1244"/>
      <c r="Q75" s="1244"/>
      <c r="R75" s="1244"/>
      <c r="S75" s="1244"/>
      <c r="T75" s="1248"/>
      <c r="U75" s="1248"/>
      <c r="V75" s="1248"/>
      <c r="W75" s="1248"/>
      <c r="X75" s="1248"/>
      <c r="Y75" s="1255"/>
      <c r="Z75" s="1255"/>
      <c r="AA75" s="1255"/>
      <c r="AB75" s="1255"/>
      <c r="AC75" s="1255"/>
      <c r="AD75" s="1255"/>
      <c r="AE75" s="1255"/>
      <c r="AF75" s="1255"/>
      <c r="AG75" s="1255"/>
      <c r="AH75" s="1255"/>
      <c r="AI75" s="1255"/>
      <c r="AJ75" s="1255"/>
      <c r="AK75" s="1255"/>
      <c r="AL75" s="1255"/>
    </row>
    <row r="76" spans="3:38" ht="14.4" hidden="1" customHeight="1" x14ac:dyDescent="0.3">
      <c r="C76" s="1245"/>
      <c r="D76" s="1244"/>
      <c r="E76" s="1244"/>
      <c r="F76" s="1244"/>
      <c r="G76" s="1244"/>
      <c r="H76" s="1244"/>
      <c r="I76" s="1244"/>
      <c r="J76" s="1244"/>
      <c r="K76" s="1244"/>
      <c r="L76" s="1244"/>
      <c r="M76" s="1244"/>
      <c r="N76" s="1244"/>
      <c r="O76" s="1244"/>
      <c r="P76" s="1244"/>
      <c r="Q76" s="1244"/>
      <c r="R76" s="1244"/>
      <c r="S76" s="1244"/>
      <c r="T76" s="1248"/>
      <c r="U76" s="1248"/>
      <c r="V76" s="1248"/>
      <c r="W76" s="1248"/>
      <c r="X76" s="1248"/>
      <c r="Y76" s="1255"/>
      <c r="Z76" s="1255"/>
      <c r="AA76" s="1255"/>
      <c r="AB76" s="1255"/>
      <c r="AC76" s="1255"/>
      <c r="AD76" s="1255"/>
      <c r="AE76" s="1255"/>
      <c r="AF76" s="1255"/>
      <c r="AG76" s="1255"/>
      <c r="AH76" s="1255"/>
      <c r="AI76" s="1255"/>
      <c r="AJ76" s="1255"/>
      <c r="AK76" s="1255"/>
      <c r="AL76" s="1255"/>
    </row>
    <row r="77" spans="3:38" ht="14.4" hidden="1" customHeight="1" x14ac:dyDescent="0.3">
      <c r="C77" s="1245"/>
      <c r="D77" s="1244"/>
      <c r="E77" s="1244"/>
      <c r="F77" s="1244"/>
      <c r="G77" s="1244"/>
      <c r="H77" s="1244"/>
      <c r="I77" s="1244"/>
      <c r="J77" s="1244"/>
      <c r="K77" s="1244"/>
      <c r="L77" s="1244"/>
      <c r="M77" s="1244"/>
      <c r="N77" s="1244"/>
      <c r="O77" s="1244"/>
      <c r="P77" s="1244"/>
      <c r="Q77" s="1244"/>
      <c r="R77" s="1244"/>
      <c r="S77" s="1244"/>
      <c r="T77" s="1248"/>
      <c r="U77" s="1248"/>
      <c r="V77" s="1248"/>
      <c r="W77" s="1248"/>
      <c r="X77" s="1248"/>
      <c r="Y77" s="1255"/>
      <c r="Z77" s="1255"/>
      <c r="AA77" s="1255"/>
      <c r="AB77" s="1255"/>
      <c r="AC77" s="1255"/>
      <c r="AD77" s="1255"/>
      <c r="AE77" s="1255"/>
      <c r="AF77" s="1255"/>
      <c r="AG77" s="1255"/>
      <c r="AH77" s="1255"/>
      <c r="AI77" s="1255"/>
      <c r="AJ77" s="1255"/>
      <c r="AK77" s="1255"/>
      <c r="AL77" s="1255"/>
    </row>
    <row r="78" spans="3:38" ht="14.4" hidden="1" customHeight="1" x14ac:dyDescent="0.3">
      <c r="C78" s="1245"/>
      <c r="D78" s="1244"/>
      <c r="E78" s="1244"/>
      <c r="F78" s="1244"/>
      <c r="G78" s="1244"/>
      <c r="H78" s="1244"/>
      <c r="I78" s="1244"/>
      <c r="J78" s="1244"/>
      <c r="K78" s="1244"/>
      <c r="L78" s="1244"/>
      <c r="M78" s="1244"/>
      <c r="N78" s="1244"/>
      <c r="O78" s="1244"/>
      <c r="P78" s="1244"/>
      <c r="Q78" s="1244"/>
      <c r="R78" s="1244"/>
      <c r="S78" s="1244"/>
      <c r="T78" s="1248"/>
      <c r="U78" s="1248"/>
      <c r="V78" s="1248"/>
      <c r="W78" s="1248"/>
      <c r="X78" s="1248"/>
      <c r="Y78" s="1255"/>
      <c r="Z78" s="1255"/>
      <c r="AA78" s="1255"/>
      <c r="AB78" s="1255"/>
      <c r="AC78" s="1255"/>
      <c r="AD78" s="1255"/>
      <c r="AE78" s="1255"/>
      <c r="AF78" s="1255"/>
      <c r="AG78" s="1255"/>
      <c r="AH78" s="1255"/>
      <c r="AI78" s="1255"/>
      <c r="AJ78" s="1255"/>
      <c r="AK78" s="1255"/>
      <c r="AL78" s="1255"/>
    </row>
    <row r="79" spans="3:38" ht="14.4" hidden="1" customHeight="1" x14ac:dyDescent="0.3">
      <c r="C79" s="1245"/>
      <c r="D79" s="1244"/>
      <c r="E79" s="1244"/>
      <c r="F79" s="1244"/>
      <c r="G79" s="1244"/>
      <c r="H79" s="1244"/>
      <c r="I79" s="1244"/>
      <c r="J79" s="1244"/>
      <c r="K79" s="1244"/>
      <c r="L79" s="1244"/>
      <c r="M79" s="1244"/>
      <c r="N79" s="1244"/>
      <c r="O79" s="1244"/>
      <c r="P79" s="1244"/>
      <c r="Q79" s="1244"/>
      <c r="R79" s="1244"/>
      <c r="S79" s="1244"/>
      <c r="T79" s="1248"/>
      <c r="U79" s="1248"/>
      <c r="V79" s="1248"/>
      <c r="W79" s="1248"/>
      <c r="X79" s="1248"/>
      <c r="Y79" s="1255"/>
      <c r="Z79" s="1255"/>
      <c r="AA79" s="1255"/>
      <c r="AB79" s="1255"/>
      <c r="AC79" s="1255"/>
      <c r="AD79" s="1255"/>
      <c r="AE79" s="1255"/>
      <c r="AF79" s="1255"/>
      <c r="AG79" s="1255"/>
      <c r="AH79" s="1255"/>
      <c r="AI79" s="1255"/>
      <c r="AJ79" s="1255"/>
      <c r="AK79" s="1255"/>
      <c r="AL79" s="1255"/>
    </row>
    <row r="80" spans="3:38" ht="14.4" hidden="1" customHeight="1" x14ac:dyDescent="0.3">
      <c r="C80" s="1245"/>
      <c r="D80" s="1244"/>
      <c r="E80" s="1244"/>
      <c r="F80" s="1244"/>
      <c r="G80" s="1244"/>
      <c r="H80" s="1244"/>
      <c r="I80" s="1244"/>
      <c r="J80" s="1244"/>
      <c r="K80" s="1244"/>
      <c r="L80" s="1244"/>
      <c r="M80" s="1244"/>
      <c r="N80" s="1244"/>
      <c r="O80" s="1244"/>
      <c r="P80" s="1244"/>
      <c r="Q80" s="1244"/>
      <c r="R80" s="1244"/>
      <c r="S80" s="1244"/>
      <c r="T80" s="1248"/>
      <c r="U80" s="1248"/>
      <c r="V80" s="1248"/>
      <c r="W80" s="1248"/>
      <c r="X80" s="1248"/>
      <c r="Y80" s="1255"/>
      <c r="Z80" s="1255"/>
      <c r="AA80" s="1255"/>
      <c r="AB80" s="1255"/>
      <c r="AC80" s="1255"/>
      <c r="AD80" s="1255"/>
      <c r="AE80" s="1255"/>
      <c r="AF80" s="1255"/>
      <c r="AG80" s="1255"/>
      <c r="AH80" s="1255"/>
      <c r="AI80" s="1255"/>
      <c r="AJ80" s="1255"/>
      <c r="AK80" s="1255"/>
      <c r="AL80" s="1255"/>
    </row>
    <row r="81" spans="3:38" ht="14.4" hidden="1" customHeight="1" x14ac:dyDescent="0.3">
      <c r="C81" s="1245"/>
      <c r="D81" s="1244"/>
      <c r="E81" s="1244"/>
      <c r="F81" s="1244"/>
      <c r="G81" s="1244"/>
      <c r="H81" s="1244"/>
      <c r="I81" s="1244"/>
      <c r="J81" s="1244"/>
      <c r="K81" s="1244"/>
      <c r="L81" s="1244"/>
      <c r="M81" s="1244"/>
      <c r="N81" s="1244"/>
      <c r="O81" s="1244"/>
      <c r="P81" s="1244"/>
      <c r="Q81" s="1244"/>
      <c r="R81" s="1244"/>
      <c r="S81" s="1244"/>
      <c r="T81" s="1248"/>
      <c r="U81" s="1248"/>
      <c r="V81" s="1248"/>
      <c r="W81" s="1248"/>
      <c r="X81" s="1248"/>
      <c r="Y81" s="1255"/>
      <c r="Z81" s="1255"/>
      <c r="AA81" s="1255"/>
      <c r="AB81" s="1255"/>
      <c r="AC81" s="1255"/>
      <c r="AD81" s="1255"/>
      <c r="AE81" s="1255"/>
      <c r="AF81" s="1255"/>
      <c r="AG81" s="1255"/>
      <c r="AH81" s="1255"/>
      <c r="AI81" s="1255"/>
      <c r="AJ81" s="1255"/>
      <c r="AK81" s="1255"/>
      <c r="AL81" s="1255"/>
    </row>
    <row r="82" spans="3:38" ht="14.4" hidden="1" customHeight="1" x14ac:dyDescent="0.3">
      <c r="C82" s="1245"/>
      <c r="D82" s="1244"/>
      <c r="E82" s="1244"/>
      <c r="F82" s="1244"/>
      <c r="G82" s="1244"/>
      <c r="H82" s="1244"/>
      <c r="I82" s="1244"/>
      <c r="J82" s="1244"/>
      <c r="K82" s="1244"/>
      <c r="L82" s="1244"/>
      <c r="M82" s="1244"/>
      <c r="N82" s="1244"/>
      <c r="O82" s="1244"/>
      <c r="P82" s="1244"/>
      <c r="Q82" s="1244"/>
      <c r="R82" s="1244"/>
      <c r="S82" s="1244"/>
      <c r="T82" s="1248"/>
      <c r="U82" s="1248"/>
      <c r="V82" s="1248"/>
      <c r="W82" s="1248"/>
      <c r="X82" s="1248"/>
      <c r="Y82" s="1255"/>
      <c r="Z82" s="1255"/>
      <c r="AA82" s="1255"/>
      <c r="AB82" s="1255"/>
      <c r="AC82" s="1255"/>
      <c r="AD82" s="1255"/>
      <c r="AE82" s="1255"/>
      <c r="AF82" s="1255"/>
      <c r="AG82" s="1255"/>
      <c r="AH82" s="1255"/>
      <c r="AI82" s="1255"/>
      <c r="AJ82" s="1255"/>
      <c r="AK82" s="1255"/>
      <c r="AL82" s="1255"/>
    </row>
    <row r="83" spans="3:38" ht="14.4" hidden="1" customHeight="1" x14ac:dyDescent="0.3">
      <c r="C83" s="1245"/>
      <c r="D83" s="1244"/>
      <c r="E83" s="1244"/>
      <c r="F83" s="1244"/>
      <c r="G83" s="1244"/>
      <c r="H83" s="1244"/>
      <c r="I83" s="1244"/>
      <c r="J83" s="1244"/>
      <c r="K83" s="1244"/>
      <c r="L83" s="1244"/>
      <c r="M83" s="1244"/>
      <c r="N83" s="1244"/>
      <c r="O83" s="1244"/>
      <c r="P83" s="1244"/>
      <c r="Q83" s="1244"/>
      <c r="R83" s="1244"/>
      <c r="S83" s="1244"/>
      <c r="T83" s="1248"/>
      <c r="U83" s="1248"/>
      <c r="V83" s="1248"/>
      <c r="W83" s="1248"/>
      <c r="X83" s="1248"/>
      <c r="Y83" s="1255"/>
      <c r="Z83" s="1255"/>
      <c r="AA83" s="1255"/>
      <c r="AB83" s="1255"/>
      <c r="AC83" s="1255"/>
      <c r="AD83" s="1255"/>
      <c r="AE83" s="1255"/>
      <c r="AF83" s="1255"/>
      <c r="AG83" s="1255"/>
      <c r="AH83" s="1255"/>
      <c r="AI83" s="1255"/>
      <c r="AJ83" s="1255"/>
      <c r="AK83" s="1255"/>
      <c r="AL83" s="1255"/>
    </row>
    <row r="84" spans="3:38" ht="14.4" hidden="1" customHeight="1" x14ac:dyDescent="0.3">
      <c r="C84" s="1245"/>
      <c r="D84" s="1244"/>
      <c r="E84" s="1244"/>
      <c r="F84" s="1244"/>
      <c r="G84" s="1244"/>
      <c r="H84" s="1244"/>
      <c r="I84" s="1244"/>
      <c r="J84" s="1244"/>
      <c r="K84" s="1244"/>
      <c r="L84" s="1244"/>
      <c r="M84" s="1244"/>
      <c r="N84" s="1244"/>
      <c r="O84" s="1244"/>
      <c r="P84" s="1244"/>
      <c r="Q84" s="1244"/>
      <c r="R84" s="1244"/>
      <c r="S84" s="1244"/>
      <c r="T84" s="1248"/>
      <c r="U84" s="1248"/>
      <c r="V84" s="1248"/>
      <c r="W84" s="1248"/>
      <c r="X84" s="1248"/>
      <c r="Y84" s="1255"/>
      <c r="Z84" s="1255"/>
      <c r="AA84" s="1255"/>
      <c r="AB84" s="1255"/>
      <c r="AC84" s="1255"/>
      <c r="AD84" s="1255"/>
      <c r="AE84" s="1255"/>
      <c r="AF84" s="1255"/>
      <c r="AG84" s="1255"/>
      <c r="AH84" s="1255"/>
      <c r="AI84" s="1255"/>
      <c r="AJ84" s="1255"/>
      <c r="AK84" s="1255"/>
      <c r="AL84" s="1255"/>
    </row>
    <row r="85" spans="3:38" ht="14.4" hidden="1" customHeight="1" x14ac:dyDescent="0.3">
      <c r="C85" s="1245"/>
      <c r="D85" s="1244"/>
      <c r="E85" s="1244"/>
      <c r="F85" s="1244"/>
      <c r="G85" s="1244"/>
      <c r="H85" s="1244"/>
      <c r="I85" s="1244"/>
      <c r="J85" s="1244"/>
      <c r="K85" s="1244"/>
      <c r="L85" s="1244"/>
      <c r="M85" s="1244"/>
      <c r="N85" s="1244"/>
      <c r="O85" s="1244"/>
      <c r="P85" s="1244"/>
      <c r="Q85" s="1244"/>
      <c r="R85" s="1244"/>
      <c r="S85" s="1244"/>
      <c r="T85" s="1248"/>
      <c r="U85" s="1248"/>
      <c r="V85" s="1248"/>
      <c r="W85" s="1248"/>
      <c r="X85" s="1248"/>
      <c r="Y85" s="1255"/>
      <c r="Z85" s="1255"/>
      <c r="AA85" s="1255"/>
      <c r="AB85" s="1255"/>
      <c r="AC85" s="1255"/>
      <c r="AD85" s="1255"/>
      <c r="AE85" s="1255"/>
      <c r="AF85" s="1255"/>
      <c r="AG85" s="1255"/>
      <c r="AH85" s="1255"/>
      <c r="AI85" s="1255"/>
      <c r="AJ85" s="1255"/>
      <c r="AK85" s="1255"/>
      <c r="AL85" s="1255"/>
    </row>
    <row r="86" spans="3:38" ht="14.4" hidden="1" customHeight="1" x14ac:dyDescent="0.3">
      <c r="C86" s="1245"/>
      <c r="D86" s="1244"/>
      <c r="E86" s="1244"/>
      <c r="F86" s="1244"/>
      <c r="G86" s="1244"/>
      <c r="H86" s="1244"/>
      <c r="I86" s="1244"/>
      <c r="J86" s="1244"/>
      <c r="K86" s="1244"/>
      <c r="L86" s="1244"/>
      <c r="M86" s="1244"/>
      <c r="N86" s="1244"/>
      <c r="O86" s="1244"/>
      <c r="P86" s="1244"/>
      <c r="Q86" s="1244"/>
      <c r="R86" s="1244"/>
      <c r="S86" s="1244"/>
      <c r="T86" s="1248"/>
      <c r="U86" s="1248"/>
      <c r="V86" s="1248"/>
      <c r="W86" s="1248"/>
      <c r="X86" s="1248"/>
      <c r="Y86" s="1255"/>
      <c r="Z86" s="1255"/>
      <c r="AA86" s="1255"/>
      <c r="AB86" s="1255"/>
      <c r="AC86" s="1255"/>
      <c r="AD86" s="1255"/>
      <c r="AE86" s="1255"/>
      <c r="AF86" s="1255"/>
      <c r="AG86" s="1255"/>
      <c r="AH86" s="1255"/>
      <c r="AI86" s="1255"/>
      <c r="AJ86" s="1255"/>
      <c r="AK86" s="1255"/>
      <c r="AL86" s="1255"/>
    </row>
    <row r="87" spans="3:38" ht="14.4" hidden="1" customHeight="1" x14ac:dyDescent="0.3">
      <c r="C87" s="1245"/>
      <c r="D87" s="1244"/>
      <c r="E87" s="1244"/>
      <c r="F87" s="1244"/>
      <c r="G87" s="1244"/>
      <c r="H87" s="1244"/>
      <c r="I87" s="1244"/>
      <c r="J87" s="1244"/>
      <c r="K87" s="1244"/>
      <c r="L87" s="1244"/>
      <c r="M87" s="1244"/>
      <c r="N87" s="1244"/>
      <c r="O87" s="1244"/>
      <c r="P87" s="1244"/>
      <c r="Q87" s="1244"/>
      <c r="R87" s="1244"/>
      <c r="S87" s="1244"/>
      <c r="T87" s="1248"/>
      <c r="U87" s="1248"/>
      <c r="V87" s="1248"/>
      <c r="W87" s="1248"/>
      <c r="X87" s="1248"/>
      <c r="Y87" s="1255"/>
      <c r="Z87" s="1255"/>
      <c r="AA87" s="1255"/>
      <c r="AB87" s="1255"/>
      <c r="AC87" s="1255"/>
      <c r="AD87" s="1255"/>
      <c r="AE87" s="1255"/>
      <c r="AF87" s="1255"/>
      <c r="AG87" s="1255"/>
      <c r="AH87" s="1255"/>
      <c r="AI87" s="1255"/>
      <c r="AJ87" s="1255"/>
      <c r="AK87" s="1255"/>
      <c r="AL87" s="1255"/>
    </row>
    <row r="88" spans="3:38" ht="14.4" hidden="1" customHeight="1" x14ac:dyDescent="0.3">
      <c r="C88" s="1245"/>
      <c r="D88" s="1244"/>
      <c r="E88" s="1244"/>
      <c r="F88" s="1244"/>
      <c r="G88" s="1244"/>
      <c r="H88" s="1244"/>
      <c r="I88" s="1244"/>
      <c r="J88" s="1244"/>
      <c r="K88" s="1244"/>
      <c r="L88" s="1244"/>
      <c r="M88" s="1244"/>
      <c r="N88" s="1244"/>
      <c r="O88" s="1244"/>
      <c r="P88" s="1244"/>
      <c r="Q88" s="1244"/>
      <c r="R88" s="1244"/>
      <c r="S88" s="1244"/>
      <c r="T88" s="1248"/>
      <c r="U88" s="1248"/>
      <c r="V88" s="1248"/>
      <c r="W88" s="1248"/>
      <c r="X88" s="1248"/>
      <c r="Y88" s="1255"/>
      <c r="Z88" s="1255"/>
      <c r="AA88" s="1255"/>
      <c r="AB88" s="1255"/>
      <c r="AC88" s="1255"/>
      <c r="AD88" s="1255"/>
      <c r="AE88" s="1255"/>
      <c r="AF88" s="1255"/>
      <c r="AG88" s="1255"/>
      <c r="AH88" s="1255"/>
      <c r="AI88" s="1255"/>
      <c r="AJ88" s="1255"/>
      <c r="AK88" s="1255"/>
      <c r="AL88" s="1255"/>
    </row>
    <row r="89" spans="3:38" ht="14.4" hidden="1" customHeight="1" x14ac:dyDescent="0.3">
      <c r="C89" s="1245"/>
      <c r="D89" s="1244"/>
      <c r="E89" s="1244"/>
      <c r="F89" s="1244"/>
      <c r="G89" s="1244"/>
      <c r="H89" s="1244"/>
      <c r="I89" s="1244"/>
      <c r="J89" s="1244"/>
      <c r="K89" s="1244"/>
      <c r="L89" s="1244"/>
      <c r="M89" s="1244"/>
      <c r="N89" s="1244"/>
      <c r="O89" s="1244"/>
      <c r="P89" s="1244"/>
      <c r="Q89" s="1244"/>
      <c r="R89" s="1244"/>
      <c r="S89" s="1244"/>
      <c r="T89" s="1248"/>
      <c r="U89" s="1248"/>
      <c r="V89" s="1248"/>
      <c r="W89" s="1248"/>
      <c r="X89" s="1248"/>
      <c r="Y89" s="1255"/>
      <c r="Z89" s="1255"/>
      <c r="AA89" s="1255"/>
      <c r="AB89" s="1255"/>
      <c r="AC89" s="1255"/>
      <c r="AD89" s="1255"/>
      <c r="AE89" s="1255"/>
      <c r="AF89" s="1255"/>
      <c r="AG89" s="1255"/>
      <c r="AH89" s="1255"/>
      <c r="AI89" s="1255"/>
      <c r="AJ89" s="1255"/>
      <c r="AK89" s="1255"/>
      <c r="AL89" s="1255"/>
    </row>
    <row r="90" spans="3:38" ht="14.4" hidden="1" customHeight="1" x14ac:dyDescent="0.3">
      <c r="C90" s="1245"/>
      <c r="D90" s="1244"/>
      <c r="E90" s="1244"/>
      <c r="F90" s="1244"/>
      <c r="G90" s="1244"/>
      <c r="H90" s="1244"/>
      <c r="I90" s="1244"/>
      <c r="J90" s="1244"/>
      <c r="K90" s="1244"/>
      <c r="L90" s="1244"/>
      <c r="M90" s="1244"/>
      <c r="N90" s="1244"/>
      <c r="O90" s="1244"/>
      <c r="P90" s="1244"/>
      <c r="Q90" s="1244"/>
      <c r="R90" s="1244"/>
      <c r="S90" s="1244"/>
      <c r="T90" s="1248"/>
      <c r="U90" s="1248"/>
      <c r="V90" s="1248"/>
      <c r="W90" s="1248"/>
      <c r="X90" s="1248"/>
      <c r="Y90" s="1255"/>
      <c r="Z90" s="1255"/>
      <c r="AA90" s="1255"/>
      <c r="AB90" s="1255"/>
      <c r="AC90" s="1255"/>
      <c r="AD90" s="1255"/>
      <c r="AE90" s="1255"/>
      <c r="AF90" s="1255"/>
      <c r="AG90" s="1255"/>
      <c r="AH90" s="1255"/>
      <c r="AI90" s="1255"/>
      <c r="AJ90" s="1255"/>
      <c r="AK90" s="1255"/>
      <c r="AL90" s="1255"/>
    </row>
    <row r="91" spans="3:38" ht="14.4" hidden="1" customHeight="1" x14ac:dyDescent="0.3">
      <c r="C91" s="1245"/>
      <c r="D91" s="1244"/>
      <c r="E91" s="1244"/>
      <c r="F91" s="1244"/>
      <c r="G91" s="1244"/>
      <c r="H91" s="1244"/>
      <c r="I91" s="1244"/>
      <c r="J91" s="1244"/>
      <c r="K91" s="1244"/>
      <c r="L91" s="1244"/>
      <c r="M91" s="1244"/>
      <c r="N91" s="1244"/>
      <c r="O91" s="1244"/>
      <c r="P91" s="1244"/>
      <c r="Q91" s="1244"/>
      <c r="R91" s="1244"/>
      <c r="S91" s="1244"/>
      <c r="T91" s="1248"/>
      <c r="U91" s="1248"/>
      <c r="V91" s="1248"/>
      <c r="W91" s="1248"/>
      <c r="X91" s="1248"/>
      <c r="Y91" s="1255"/>
      <c r="Z91" s="1255"/>
      <c r="AA91" s="1255"/>
      <c r="AB91" s="1255"/>
      <c r="AC91" s="1255"/>
      <c r="AD91" s="1255"/>
      <c r="AE91" s="1255"/>
      <c r="AF91" s="1255"/>
      <c r="AG91" s="1255"/>
      <c r="AH91" s="1255"/>
      <c r="AI91" s="1255"/>
      <c r="AJ91" s="1255"/>
      <c r="AK91" s="1255"/>
      <c r="AL91" s="1255"/>
    </row>
    <row r="92" spans="3:38" ht="14.4" hidden="1" customHeight="1" x14ac:dyDescent="0.3">
      <c r="C92" s="1245"/>
      <c r="D92" s="1244"/>
      <c r="E92" s="1244"/>
      <c r="F92" s="1244"/>
      <c r="G92" s="1244"/>
      <c r="H92" s="1244"/>
      <c r="I92" s="1244"/>
      <c r="J92" s="1244"/>
      <c r="K92" s="1244"/>
      <c r="L92" s="1244"/>
      <c r="M92" s="1244"/>
      <c r="N92" s="1244"/>
      <c r="O92" s="1244"/>
      <c r="P92" s="1244"/>
      <c r="Q92" s="1244"/>
      <c r="R92" s="1244"/>
      <c r="S92" s="1244"/>
      <c r="T92" s="1248"/>
      <c r="U92" s="1248"/>
      <c r="V92" s="1248"/>
      <c r="W92" s="1248"/>
      <c r="X92" s="1248"/>
      <c r="Y92" s="1255"/>
      <c r="Z92" s="1255"/>
      <c r="AA92" s="1255"/>
      <c r="AB92" s="1255"/>
      <c r="AC92" s="1255"/>
      <c r="AD92" s="1255"/>
      <c r="AE92" s="1255"/>
      <c r="AF92" s="1255"/>
      <c r="AG92" s="1255"/>
      <c r="AH92" s="1255"/>
      <c r="AI92" s="1255"/>
      <c r="AJ92" s="1255"/>
      <c r="AK92" s="1255"/>
      <c r="AL92" s="1255"/>
    </row>
    <row r="93" spans="3:38" ht="14.4" hidden="1" customHeight="1" x14ac:dyDescent="0.3">
      <c r="C93" s="1245"/>
      <c r="D93" s="1244"/>
      <c r="E93" s="1244"/>
      <c r="F93" s="1244"/>
      <c r="G93" s="1244"/>
      <c r="H93" s="1244"/>
      <c r="I93" s="1244"/>
      <c r="J93" s="1244"/>
      <c r="K93" s="1244"/>
      <c r="L93" s="1244"/>
      <c r="M93" s="1244"/>
      <c r="N93" s="1244"/>
      <c r="O93" s="1244"/>
      <c r="P93" s="1244"/>
      <c r="Q93" s="1244"/>
      <c r="R93" s="1244"/>
      <c r="S93" s="1244"/>
      <c r="T93" s="1248"/>
      <c r="U93" s="1248"/>
      <c r="V93" s="1248"/>
      <c r="W93" s="1248"/>
      <c r="X93" s="1248"/>
      <c r="Y93" s="1255"/>
      <c r="Z93" s="1255"/>
      <c r="AA93" s="1255"/>
      <c r="AB93" s="1255"/>
      <c r="AC93" s="1255"/>
      <c r="AD93" s="1255"/>
      <c r="AE93" s="1255"/>
      <c r="AF93" s="1255"/>
      <c r="AG93" s="1255"/>
      <c r="AH93" s="1255"/>
      <c r="AI93" s="1255"/>
      <c r="AJ93" s="1255"/>
      <c r="AK93" s="1255"/>
      <c r="AL93" s="1255"/>
    </row>
    <row r="94" spans="3:38" ht="14.4" hidden="1" customHeight="1" x14ac:dyDescent="0.3">
      <c r="C94" s="1245"/>
      <c r="D94" s="1244"/>
      <c r="E94" s="1244"/>
      <c r="F94" s="1244"/>
      <c r="G94" s="1244"/>
      <c r="H94" s="1244"/>
      <c r="I94" s="1244"/>
      <c r="J94" s="1244"/>
      <c r="K94" s="1244"/>
      <c r="L94" s="1244"/>
      <c r="M94" s="1244"/>
      <c r="N94" s="1244"/>
      <c r="O94" s="1244"/>
      <c r="P94" s="1244"/>
      <c r="Q94" s="1244"/>
      <c r="R94" s="1244"/>
      <c r="S94" s="1244"/>
      <c r="T94" s="1248"/>
      <c r="U94" s="1248"/>
      <c r="V94" s="1248"/>
      <c r="W94" s="1248"/>
      <c r="X94" s="1248"/>
      <c r="Y94" s="1255"/>
      <c r="Z94" s="1255"/>
      <c r="AA94" s="1255"/>
      <c r="AB94" s="1255"/>
      <c r="AC94" s="1255"/>
      <c r="AD94" s="1255"/>
      <c r="AE94" s="1255"/>
      <c r="AF94" s="1255"/>
      <c r="AG94" s="1255"/>
      <c r="AH94" s="1255"/>
      <c r="AI94" s="1255"/>
      <c r="AJ94" s="1255"/>
      <c r="AK94" s="1255"/>
      <c r="AL94" s="1255"/>
    </row>
    <row r="95" spans="3:38" ht="14.4" hidden="1" customHeight="1" x14ac:dyDescent="0.3">
      <c r="C95" s="1245"/>
      <c r="D95" s="1244"/>
      <c r="E95" s="1244"/>
      <c r="F95" s="1244"/>
      <c r="G95" s="1244"/>
      <c r="H95" s="1244"/>
      <c r="I95" s="1244"/>
      <c r="J95" s="1244"/>
      <c r="K95" s="1244"/>
      <c r="L95" s="1244"/>
      <c r="M95" s="1244"/>
      <c r="N95" s="1244"/>
      <c r="O95" s="1244"/>
      <c r="P95" s="1244"/>
      <c r="Q95" s="1244"/>
      <c r="R95" s="1244"/>
      <c r="S95" s="1244"/>
      <c r="T95" s="1248"/>
      <c r="U95" s="1248"/>
      <c r="V95" s="1248"/>
      <c r="W95" s="1248"/>
      <c r="X95" s="1248"/>
      <c r="Y95" s="1255"/>
      <c r="Z95" s="1255"/>
      <c r="AA95" s="1255"/>
      <c r="AB95" s="1255"/>
      <c r="AC95" s="1255"/>
      <c r="AD95" s="1255"/>
      <c r="AE95" s="1255"/>
      <c r="AF95" s="1255"/>
      <c r="AG95" s="1255"/>
      <c r="AH95" s="1255"/>
      <c r="AI95" s="1255"/>
      <c r="AJ95" s="1255"/>
      <c r="AK95" s="1255"/>
      <c r="AL95" s="1255"/>
    </row>
    <row r="96" spans="3:38" ht="14.4" hidden="1" customHeight="1" x14ac:dyDescent="0.3">
      <c r="C96" s="1245"/>
      <c r="D96" s="1244"/>
      <c r="E96" s="1244"/>
      <c r="F96" s="1244"/>
      <c r="G96" s="1244"/>
      <c r="H96" s="1244"/>
      <c r="I96" s="1244"/>
      <c r="J96" s="1244"/>
      <c r="K96" s="1244"/>
      <c r="L96" s="1244"/>
      <c r="M96" s="1244"/>
      <c r="N96" s="1244"/>
      <c r="O96" s="1244"/>
      <c r="P96" s="1244"/>
      <c r="Q96" s="1244"/>
      <c r="R96" s="1244"/>
      <c r="S96" s="1244"/>
      <c r="T96" s="1248"/>
      <c r="U96" s="1248"/>
      <c r="V96" s="1248"/>
      <c r="W96" s="1248"/>
      <c r="X96" s="1248"/>
      <c r="Y96" s="1255"/>
      <c r="Z96" s="1255"/>
      <c r="AA96" s="1255"/>
      <c r="AB96" s="1255"/>
      <c r="AC96" s="1255"/>
      <c r="AD96" s="1255"/>
      <c r="AE96" s="1255"/>
      <c r="AF96" s="1255"/>
      <c r="AG96" s="1255"/>
      <c r="AH96" s="1255"/>
      <c r="AI96" s="1255"/>
      <c r="AJ96" s="1255"/>
      <c r="AK96" s="1255"/>
      <c r="AL96" s="1255"/>
    </row>
    <row r="97" spans="3:38" ht="14.4" hidden="1" customHeight="1" x14ac:dyDescent="0.3">
      <c r="C97" s="1245"/>
      <c r="D97" s="1244"/>
      <c r="E97" s="1244"/>
      <c r="F97" s="1244"/>
      <c r="G97" s="1244"/>
      <c r="H97" s="1244"/>
      <c r="I97" s="1244"/>
      <c r="J97" s="1244"/>
      <c r="K97" s="1244"/>
      <c r="L97" s="1244"/>
      <c r="M97" s="1244"/>
      <c r="N97" s="1244"/>
      <c r="O97" s="1244"/>
      <c r="P97" s="1244"/>
      <c r="Q97" s="1244"/>
      <c r="R97" s="1244"/>
      <c r="S97" s="1244"/>
      <c r="T97" s="1248"/>
      <c r="U97" s="1248"/>
      <c r="V97" s="1248"/>
      <c r="W97" s="1248"/>
      <c r="X97" s="1248"/>
      <c r="Y97" s="1255"/>
      <c r="Z97" s="1255"/>
      <c r="AA97" s="1255"/>
      <c r="AB97" s="1255"/>
      <c r="AC97" s="1255"/>
      <c r="AD97" s="1255"/>
      <c r="AE97" s="1255"/>
      <c r="AF97" s="1255"/>
      <c r="AG97" s="1255"/>
      <c r="AH97" s="1255"/>
      <c r="AI97" s="1255"/>
      <c r="AJ97" s="1255"/>
      <c r="AK97" s="1255"/>
      <c r="AL97" s="1255"/>
    </row>
    <row r="98" spans="3:38" ht="14.4" hidden="1" customHeight="1" x14ac:dyDescent="0.3">
      <c r="C98" s="1245"/>
      <c r="D98" s="1244"/>
      <c r="E98" s="1244"/>
      <c r="F98" s="1244"/>
      <c r="G98" s="1244"/>
      <c r="H98" s="1244"/>
      <c r="I98" s="1244"/>
      <c r="J98" s="1244"/>
      <c r="K98" s="1244"/>
      <c r="L98" s="1244"/>
      <c r="M98" s="1244"/>
      <c r="N98" s="1244"/>
      <c r="O98" s="1244"/>
      <c r="P98" s="1244"/>
      <c r="Q98" s="1244"/>
      <c r="R98" s="1244"/>
      <c r="S98" s="1244"/>
      <c r="T98" s="1248"/>
      <c r="U98" s="1248"/>
      <c r="V98" s="1248"/>
      <c r="W98" s="1248"/>
      <c r="X98" s="1248"/>
      <c r="Y98" s="1255"/>
      <c r="Z98" s="1255"/>
      <c r="AA98" s="1255"/>
      <c r="AB98" s="1255"/>
      <c r="AC98" s="1255"/>
      <c r="AD98" s="1255"/>
      <c r="AE98" s="1255"/>
      <c r="AF98" s="1255"/>
      <c r="AG98" s="1255"/>
      <c r="AH98" s="1255"/>
      <c r="AI98" s="1255"/>
      <c r="AJ98" s="1255"/>
      <c r="AK98" s="1255"/>
      <c r="AL98" s="1255"/>
    </row>
    <row r="99" spans="3:38" ht="14.4" hidden="1" customHeight="1" x14ac:dyDescent="0.3">
      <c r="C99" s="1245"/>
      <c r="D99" s="1244"/>
      <c r="E99" s="1244"/>
      <c r="F99" s="1244"/>
      <c r="G99" s="1244"/>
      <c r="H99" s="1244"/>
      <c r="I99" s="1244"/>
      <c r="J99" s="1244"/>
      <c r="K99" s="1244"/>
      <c r="L99" s="1244"/>
      <c r="M99" s="1244"/>
      <c r="N99" s="1244"/>
      <c r="O99" s="1244"/>
      <c r="P99" s="1244"/>
      <c r="Q99" s="1244"/>
      <c r="R99" s="1244"/>
      <c r="S99" s="1244"/>
      <c r="T99" s="1248"/>
      <c r="U99" s="1248"/>
      <c r="V99" s="1248"/>
      <c r="W99" s="1248"/>
      <c r="X99" s="1248"/>
      <c r="Y99" s="1255"/>
      <c r="Z99" s="1255"/>
      <c r="AA99" s="1255"/>
      <c r="AB99" s="1255"/>
      <c r="AC99" s="1255"/>
      <c r="AD99" s="1255"/>
      <c r="AE99" s="1255"/>
      <c r="AF99" s="1255"/>
      <c r="AG99" s="1255"/>
      <c r="AH99" s="1255"/>
      <c r="AI99" s="1255"/>
      <c r="AJ99" s="1255"/>
      <c r="AK99" s="1255"/>
      <c r="AL99" s="1255"/>
    </row>
    <row r="100" spans="3:38" ht="14.4" hidden="1" customHeight="1" x14ac:dyDescent="0.3">
      <c r="C100" s="1245"/>
      <c r="D100" s="1244"/>
      <c r="E100" s="1244"/>
      <c r="F100" s="1244"/>
      <c r="G100" s="1244"/>
      <c r="H100" s="1244"/>
      <c r="I100" s="1244"/>
      <c r="J100" s="1244"/>
      <c r="K100" s="1244"/>
      <c r="L100" s="1244"/>
      <c r="M100" s="1244"/>
      <c r="N100" s="1244"/>
      <c r="O100" s="1244"/>
      <c r="P100" s="1244"/>
      <c r="Q100" s="1244"/>
      <c r="R100" s="1244"/>
      <c r="S100" s="1244"/>
      <c r="T100" s="1248"/>
      <c r="U100" s="1248"/>
      <c r="V100" s="1248"/>
      <c r="W100" s="1248"/>
      <c r="X100" s="1248"/>
      <c r="Y100" s="1255"/>
      <c r="Z100" s="1255"/>
      <c r="AA100" s="1255"/>
      <c r="AB100" s="1255"/>
      <c r="AC100" s="1255"/>
      <c r="AD100" s="1255"/>
      <c r="AE100" s="1255"/>
      <c r="AF100" s="1255"/>
      <c r="AG100" s="1255"/>
      <c r="AH100" s="1255"/>
      <c r="AI100" s="1255"/>
      <c r="AJ100" s="1255"/>
      <c r="AK100" s="1255"/>
      <c r="AL100" s="1255"/>
    </row>
    <row r="101" spans="3:38" ht="14.4" hidden="1" customHeight="1" x14ac:dyDescent="0.3">
      <c r="T101" s="1255"/>
      <c r="U101" s="1255"/>
      <c r="V101" s="1255"/>
      <c r="W101" s="1255"/>
      <c r="X101" s="1255"/>
      <c r="Y101" s="1255"/>
      <c r="Z101" s="1255"/>
      <c r="AA101" s="1255"/>
      <c r="AB101" s="1255"/>
      <c r="AC101" s="1255"/>
      <c r="AD101" s="1255"/>
      <c r="AE101" s="1255"/>
      <c r="AF101" s="1255"/>
      <c r="AG101" s="1255"/>
      <c r="AH101" s="1255"/>
      <c r="AI101" s="1255"/>
      <c r="AJ101" s="1255"/>
      <c r="AK101" s="1255"/>
      <c r="AL101" s="1255"/>
    </row>
    <row r="102" spans="3:38" ht="14.4" hidden="1" customHeight="1" x14ac:dyDescent="0.3">
      <c r="T102" s="1255"/>
      <c r="U102" s="1255"/>
      <c r="V102" s="1255"/>
      <c r="W102" s="1255"/>
      <c r="X102" s="1255"/>
      <c r="Y102" s="1255"/>
      <c r="Z102" s="1255"/>
      <c r="AA102" s="1255"/>
      <c r="AB102" s="1255"/>
      <c r="AC102" s="1255"/>
      <c r="AD102" s="1255"/>
      <c r="AE102" s="1255"/>
      <c r="AF102" s="1255"/>
      <c r="AG102" s="1255"/>
      <c r="AH102" s="1255"/>
      <c r="AI102" s="1255"/>
      <c r="AJ102" s="1255"/>
      <c r="AK102" s="1255"/>
      <c r="AL102" s="1255"/>
    </row>
    <row r="103" spans="3:38" ht="14.4" hidden="1" customHeight="1" x14ac:dyDescent="0.3">
      <c r="T103" s="1255"/>
      <c r="U103" s="1255"/>
      <c r="V103" s="1255"/>
      <c r="W103" s="1255"/>
      <c r="X103" s="1255"/>
      <c r="Y103" s="1255"/>
      <c r="Z103" s="1255"/>
      <c r="AA103" s="1255"/>
      <c r="AB103" s="1255"/>
      <c r="AC103" s="1255"/>
      <c r="AD103" s="1255"/>
      <c r="AE103" s="1255"/>
      <c r="AF103" s="1255"/>
      <c r="AG103" s="1255"/>
      <c r="AH103" s="1255"/>
      <c r="AI103" s="1255"/>
      <c r="AJ103" s="1255"/>
      <c r="AK103" s="1255"/>
      <c r="AL103" s="1255"/>
    </row>
    <row r="104" spans="3:38" ht="14.4" hidden="1" customHeight="1" x14ac:dyDescent="0.3">
      <c r="T104" s="1255"/>
      <c r="U104" s="1255"/>
      <c r="V104" s="1255"/>
      <c r="W104" s="1255"/>
      <c r="X104" s="1255"/>
      <c r="Y104" s="1255"/>
      <c r="Z104" s="1255"/>
      <c r="AA104" s="1255"/>
      <c r="AB104" s="1255"/>
      <c r="AC104" s="1255"/>
      <c r="AD104" s="1255"/>
      <c r="AE104" s="1255"/>
      <c r="AF104" s="1255"/>
      <c r="AG104" s="1255"/>
      <c r="AH104" s="1255"/>
      <c r="AI104" s="1255"/>
      <c r="AJ104" s="1255"/>
      <c r="AK104" s="1255"/>
      <c r="AL104" s="1255"/>
    </row>
    <row r="105" spans="3:38" ht="14.4" hidden="1" customHeight="1" x14ac:dyDescent="0.3">
      <c r="T105" s="1255"/>
      <c r="U105" s="1255"/>
      <c r="V105" s="1255"/>
      <c r="W105" s="1255"/>
      <c r="X105" s="1255"/>
      <c r="Y105" s="1255"/>
      <c r="Z105" s="1255"/>
      <c r="AA105" s="1255"/>
      <c r="AB105" s="1255"/>
      <c r="AC105" s="1255"/>
      <c r="AD105" s="1255"/>
      <c r="AE105" s="1255"/>
      <c r="AF105" s="1255"/>
      <c r="AG105" s="1255"/>
      <c r="AH105" s="1255"/>
      <c r="AI105" s="1255"/>
      <c r="AJ105" s="1255"/>
      <c r="AK105" s="1255"/>
      <c r="AL105" s="1255"/>
    </row>
    <row r="106" spans="3:38" ht="14.4" hidden="1" customHeight="1" x14ac:dyDescent="0.3">
      <c r="T106" s="1255"/>
      <c r="U106" s="1255"/>
      <c r="V106" s="1255"/>
      <c r="W106" s="1255"/>
      <c r="X106" s="1255"/>
      <c r="Y106" s="1255"/>
      <c r="Z106" s="1255"/>
      <c r="AA106" s="1255"/>
      <c r="AB106" s="1255"/>
      <c r="AC106" s="1255"/>
      <c r="AD106" s="1255"/>
      <c r="AE106" s="1255"/>
      <c r="AF106" s="1255"/>
      <c r="AG106" s="1255"/>
      <c r="AH106" s="1255"/>
      <c r="AI106" s="1255"/>
      <c r="AJ106" s="1255"/>
      <c r="AK106" s="1255"/>
      <c r="AL106" s="1255"/>
    </row>
    <row r="107" spans="3:38" ht="14.4" hidden="1" customHeight="1" x14ac:dyDescent="0.3">
      <c r="T107" s="1255"/>
      <c r="U107" s="1255"/>
      <c r="V107" s="1255"/>
      <c r="W107" s="1255"/>
      <c r="X107" s="1255"/>
      <c r="Y107" s="1255"/>
      <c r="Z107" s="1255"/>
      <c r="AA107" s="1255"/>
      <c r="AB107" s="1255"/>
      <c r="AC107" s="1255"/>
      <c r="AD107" s="1255"/>
      <c r="AE107" s="1255"/>
      <c r="AF107" s="1255"/>
      <c r="AG107" s="1255"/>
      <c r="AH107" s="1255"/>
      <c r="AI107" s="1255"/>
      <c r="AJ107" s="1255"/>
      <c r="AK107" s="1255"/>
      <c r="AL107" s="1255"/>
    </row>
    <row r="108" spans="3:38" ht="14.4" hidden="1" customHeight="1" x14ac:dyDescent="0.3">
      <c r="T108" s="1255"/>
      <c r="U108" s="1255"/>
      <c r="V108" s="1255"/>
      <c r="W108" s="1255"/>
      <c r="X108" s="1255"/>
      <c r="Y108" s="1255"/>
      <c r="Z108" s="1255"/>
      <c r="AA108" s="1255"/>
      <c r="AB108" s="1255"/>
      <c r="AC108" s="1255"/>
      <c r="AD108" s="1255"/>
      <c r="AE108" s="1255"/>
      <c r="AF108" s="1255"/>
      <c r="AG108" s="1255"/>
      <c r="AH108" s="1255"/>
      <c r="AI108" s="1255"/>
      <c r="AJ108" s="1255"/>
      <c r="AK108" s="1255"/>
      <c r="AL108" s="1255"/>
    </row>
    <row r="109" spans="3:38" ht="14.4" hidden="1" customHeight="1" x14ac:dyDescent="0.3">
      <c r="T109" s="1255"/>
      <c r="U109" s="1255"/>
      <c r="V109" s="1255"/>
      <c r="W109" s="1255"/>
      <c r="X109" s="1255"/>
      <c r="Y109" s="1255"/>
      <c r="Z109" s="1255"/>
      <c r="AA109" s="1255"/>
      <c r="AB109" s="1255"/>
      <c r="AC109" s="1255"/>
      <c r="AD109" s="1255"/>
      <c r="AE109" s="1255"/>
      <c r="AF109" s="1255"/>
      <c r="AG109" s="1255"/>
      <c r="AH109" s="1255"/>
      <c r="AI109" s="1255"/>
      <c r="AJ109" s="1255"/>
      <c r="AK109" s="1255"/>
      <c r="AL109" s="1255"/>
    </row>
    <row r="110" spans="3:38" ht="14.4" hidden="1" customHeight="1" x14ac:dyDescent="0.3">
      <c r="T110" s="1255"/>
      <c r="U110" s="1255"/>
      <c r="V110" s="1255"/>
      <c r="W110" s="1255"/>
      <c r="X110" s="1255"/>
      <c r="Y110" s="1255"/>
      <c r="Z110" s="1255"/>
      <c r="AA110" s="1255"/>
      <c r="AB110" s="1255"/>
      <c r="AC110" s="1255"/>
      <c r="AD110" s="1255"/>
      <c r="AE110" s="1255"/>
      <c r="AF110" s="1255"/>
      <c r="AG110" s="1255"/>
      <c r="AH110" s="1255"/>
      <c r="AI110" s="1255"/>
      <c r="AJ110" s="1255"/>
      <c r="AK110" s="1255"/>
      <c r="AL110" s="1255"/>
    </row>
    <row r="111" spans="3:38" ht="14.4" hidden="1" customHeight="1" x14ac:dyDescent="0.3">
      <c r="T111" s="1255"/>
      <c r="U111" s="1255"/>
      <c r="V111" s="1255"/>
      <c r="W111" s="1255"/>
      <c r="X111" s="1255"/>
      <c r="Y111" s="1255"/>
      <c r="Z111" s="1255"/>
      <c r="AA111" s="1255"/>
      <c r="AB111" s="1255"/>
      <c r="AC111" s="1255"/>
      <c r="AD111" s="1255"/>
      <c r="AE111" s="1255"/>
      <c r="AF111" s="1255"/>
      <c r="AG111" s="1255"/>
      <c r="AH111" s="1255"/>
      <c r="AI111" s="1255"/>
      <c r="AJ111" s="1255"/>
      <c r="AK111" s="1255"/>
      <c r="AL111" s="1255"/>
    </row>
    <row r="112" spans="3:38" ht="14.4" hidden="1" customHeight="1" x14ac:dyDescent="0.3">
      <c r="T112" s="1255"/>
      <c r="U112" s="1255"/>
      <c r="V112" s="1255"/>
      <c r="W112" s="1255"/>
      <c r="X112" s="1255"/>
      <c r="Y112" s="1255"/>
      <c r="Z112" s="1255"/>
      <c r="AA112" s="1255"/>
      <c r="AB112" s="1255"/>
      <c r="AC112" s="1255"/>
      <c r="AD112" s="1255"/>
      <c r="AE112" s="1255"/>
      <c r="AF112" s="1255"/>
      <c r="AG112" s="1255"/>
      <c r="AH112" s="1255"/>
      <c r="AI112" s="1255"/>
      <c r="AJ112" s="1255"/>
      <c r="AK112" s="1255"/>
      <c r="AL112" s="1255"/>
    </row>
    <row r="113" spans="20:38" ht="14.4" hidden="1" customHeight="1" x14ac:dyDescent="0.3">
      <c r="T113" s="1255"/>
      <c r="U113" s="1255"/>
      <c r="V113" s="1255"/>
      <c r="W113" s="1255"/>
      <c r="X113" s="1255"/>
      <c r="Y113" s="1255"/>
      <c r="Z113" s="1255"/>
      <c r="AA113" s="1255"/>
      <c r="AB113" s="1255"/>
      <c r="AC113" s="1255"/>
      <c r="AD113" s="1255"/>
      <c r="AE113" s="1255"/>
      <c r="AF113" s="1255"/>
      <c r="AG113" s="1255"/>
      <c r="AH113" s="1255"/>
      <c r="AI113" s="1255"/>
      <c r="AJ113" s="1255"/>
      <c r="AK113" s="1255"/>
      <c r="AL113" s="1255"/>
    </row>
    <row r="114" spans="20:38" ht="14.4" hidden="1" customHeight="1" x14ac:dyDescent="0.3">
      <c r="T114" s="1255"/>
      <c r="U114" s="1255"/>
      <c r="V114" s="1255"/>
      <c r="W114" s="1255"/>
      <c r="X114" s="1255"/>
      <c r="Y114" s="1255"/>
      <c r="Z114" s="1255"/>
      <c r="AA114" s="1255"/>
      <c r="AB114" s="1255"/>
      <c r="AC114" s="1255"/>
      <c r="AD114" s="1255"/>
      <c r="AE114" s="1255"/>
      <c r="AF114" s="1255"/>
      <c r="AG114" s="1255"/>
      <c r="AH114" s="1255"/>
      <c r="AI114" s="1255"/>
      <c r="AJ114" s="1255"/>
      <c r="AK114" s="1255"/>
      <c r="AL114" s="1255"/>
    </row>
    <row r="115" spans="20:38" ht="14.4" hidden="1" customHeight="1" x14ac:dyDescent="0.3">
      <c r="T115" s="1255"/>
      <c r="U115" s="1255"/>
      <c r="V115" s="1255"/>
      <c r="W115" s="1255"/>
      <c r="X115" s="1255"/>
      <c r="Y115" s="1255"/>
      <c r="Z115" s="1255"/>
      <c r="AA115" s="1255"/>
      <c r="AB115" s="1255"/>
      <c r="AC115" s="1255"/>
      <c r="AD115" s="1255"/>
      <c r="AE115" s="1255"/>
      <c r="AF115" s="1255"/>
      <c r="AG115" s="1255"/>
      <c r="AH115" s="1255"/>
      <c r="AI115" s="1255"/>
      <c r="AJ115" s="1255"/>
      <c r="AK115" s="1255"/>
      <c r="AL115" s="1255"/>
    </row>
    <row r="116" spans="20:38" ht="14.4" hidden="1" customHeight="1" x14ac:dyDescent="0.3">
      <c r="T116" s="1255"/>
      <c r="U116" s="1255"/>
      <c r="V116" s="1255"/>
      <c r="W116" s="1255"/>
      <c r="X116" s="1255"/>
      <c r="Y116" s="1255"/>
      <c r="Z116" s="1255"/>
      <c r="AA116" s="1255"/>
      <c r="AB116" s="1255"/>
      <c r="AC116" s="1255"/>
      <c r="AD116" s="1255"/>
      <c r="AE116" s="1255"/>
      <c r="AF116" s="1255"/>
      <c r="AG116" s="1255"/>
      <c r="AH116" s="1255"/>
      <c r="AI116" s="1255"/>
      <c r="AJ116" s="1255"/>
      <c r="AK116" s="1255"/>
      <c r="AL116" s="1255"/>
    </row>
    <row r="117" spans="20:38" ht="14.4" hidden="1" customHeight="1" x14ac:dyDescent="0.3">
      <c r="T117" s="1255"/>
      <c r="U117" s="1255"/>
      <c r="V117" s="1255"/>
      <c r="W117" s="1255"/>
      <c r="X117" s="1255"/>
      <c r="Y117" s="1255"/>
      <c r="Z117" s="1255"/>
      <c r="AA117" s="1255"/>
      <c r="AB117" s="1255"/>
      <c r="AC117" s="1255"/>
      <c r="AD117" s="1255"/>
      <c r="AE117" s="1255"/>
      <c r="AF117" s="1255"/>
      <c r="AG117" s="1255"/>
      <c r="AH117" s="1255"/>
      <c r="AI117" s="1255"/>
      <c r="AJ117" s="1255"/>
      <c r="AK117" s="1255"/>
      <c r="AL117" s="1255"/>
    </row>
    <row r="118" spans="20:38" ht="14.4" hidden="1" customHeight="1" x14ac:dyDescent="0.3">
      <c r="T118" s="1255"/>
      <c r="U118" s="1255"/>
      <c r="V118" s="1255"/>
      <c r="W118" s="1255"/>
      <c r="X118" s="1255"/>
      <c r="Y118" s="1255"/>
      <c r="Z118" s="1255"/>
      <c r="AA118" s="1255"/>
      <c r="AB118" s="1255"/>
      <c r="AC118" s="1255"/>
      <c r="AD118" s="1255"/>
      <c r="AE118" s="1255"/>
      <c r="AF118" s="1255"/>
      <c r="AG118" s="1255"/>
      <c r="AH118" s="1255"/>
      <c r="AI118" s="1255"/>
      <c r="AJ118" s="1255"/>
      <c r="AK118" s="1255"/>
      <c r="AL118" s="1255"/>
    </row>
    <row r="119" spans="20:38" ht="14.4" hidden="1" customHeight="1" x14ac:dyDescent="0.3">
      <c r="T119" s="1255"/>
      <c r="U119" s="1255"/>
      <c r="V119" s="1255"/>
      <c r="W119" s="1255"/>
      <c r="X119" s="1255"/>
      <c r="Y119" s="1255"/>
      <c r="Z119" s="1255"/>
      <c r="AA119" s="1255"/>
      <c r="AB119" s="1255"/>
      <c r="AC119" s="1255"/>
      <c r="AD119" s="1255"/>
      <c r="AE119" s="1255"/>
      <c r="AF119" s="1255"/>
      <c r="AG119" s="1255"/>
      <c r="AH119" s="1255"/>
      <c r="AI119" s="1255"/>
      <c r="AJ119" s="1255"/>
      <c r="AK119" s="1255"/>
      <c r="AL119" s="1255"/>
    </row>
    <row r="120" spans="20:38" ht="14.4" hidden="1" customHeight="1" x14ac:dyDescent="0.3">
      <c r="T120" s="1255"/>
      <c r="U120" s="1255"/>
      <c r="V120" s="1255"/>
      <c r="W120" s="1255"/>
      <c r="X120" s="1255"/>
      <c r="Y120" s="1255"/>
      <c r="Z120" s="1255"/>
      <c r="AA120" s="1255"/>
      <c r="AB120" s="1255"/>
      <c r="AC120" s="1255"/>
      <c r="AD120" s="1255"/>
      <c r="AE120" s="1255"/>
      <c r="AF120" s="1255"/>
      <c r="AG120" s="1255"/>
      <c r="AH120" s="1255"/>
      <c r="AI120" s="1255"/>
      <c r="AJ120" s="1255"/>
      <c r="AK120" s="1255"/>
      <c r="AL120" s="1255"/>
    </row>
    <row r="121" spans="20:38" ht="14.4" hidden="1" customHeight="1" x14ac:dyDescent="0.3">
      <c r="T121" s="1255"/>
      <c r="U121" s="1255"/>
      <c r="V121" s="1255"/>
      <c r="W121" s="1255"/>
      <c r="X121" s="1255"/>
      <c r="Y121" s="1255"/>
      <c r="Z121" s="1255"/>
      <c r="AA121" s="1255"/>
      <c r="AB121" s="1255"/>
      <c r="AC121" s="1255"/>
      <c r="AD121" s="1255"/>
      <c r="AE121" s="1255"/>
      <c r="AF121" s="1255"/>
      <c r="AG121" s="1255"/>
      <c r="AH121" s="1255"/>
      <c r="AI121" s="1255"/>
      <c r="AJ121" s="1255"/>
      <c r="AK121" s="1255"/>
      <c r="AL121" s="1255"/>
    </row>
    <row r="122" spans="20:38" ht="14.4" hidden="1" customHeight="1" x14ac:dyDescent="0.3">
      <c r="T122" s="1255"/>
      <c r="U122" s="1255"/>
      <c r="V122" s="1255"/>
      <c r="W122" s="1255"/>
      <c r="X122" s="1255"/>
      <c r="Y122" s="1255"/>
      <c r="Z122" s="1255"/>
      <c r="AA122" s="1255"/>
      <c r="AB122" s="1255"/>
      <c r="AC122" s="1255"/>
      <c r="AD122" s="1255"/>
      <c r="AE122" s="1255"/>
      <c r="AF122" s="1255"/>
      <c r="AG122" s="1255"/>
      <c r="AH122" s="1255"/>
      <c r="AI122" s="1255"/>
      <c r="AJ122" s="1255"/>
      <c r="AK122" s="1255"/>
      <c r="AL122" s="1255"/>
    </row>
    <row r="123" spans="20:38" ht="14.4" hidden="1" customHeight="1" x14ac:dyDescent="0.3">
      <c r="T123" s="1255"/>
      <c r="U123" s="1255"/>
      <c r="V123" s="1255"/>
      <c r="W123" s="1255"/>
      <c r="X123" s="1255"/>
      <c r="Y123" s="1255"/>
      <c r="Z123" s="1255"/>
      <c r="AA123" s="1255"/>
      <c r="AB123" s="1255"/>
      <c r="AC123" s="1255"/>
      <c r="AD123" s="1255"/>
      <c r="AE123" s="1255"/>
      <c r="AF123" s="1255"/>
      <c r="AG123" s="1255"/>
      <c r="AH123" s="1255"/>
      <c r="AI123" s="1255"/>
      <c r="AJ123" s="1255"/>
      <c r="AK123" s="1255"/>
      <c r="AL123" s="1255"/>
    </row>
    <row r="124" spans="20:38" ht="14.4" hidden="1" customHeight="1" x14ac:dyDescent="0.3">
      <c r="T124" s="1255"/>
      <c r="U124" s="1255"/>
      <c r="V124" s="1255"/>
      <c r="W124" s="1255"/>
      <c r="X124" s="1255"/>
      <c r="Y124" s="1255"/>
      <c r="Z124" s="1255"/>
      <c r="AA124" s="1255"/>
      <c r="AB124" s="1255"/>
      <c r="AC124" s="1255"/>
      <c r="AD124" s="1255"/>
      <c r="AE124" s="1255"/>
      <c r="AF124" s="1255"/>
      <c r="AG124" s="1255"/>
      <c r="AH124" s="1255"/>
      <c r="AI124" s="1255"/>
      <c r="AJ124" s="1255"/>
      <c r="AK124" s="1255"/>
      <c r="AL124" s="1255"/>
    </row>
    <row r="125" spans="20:38" ht="14.4" hidden="1" customHeight="1" x14ac:dyDescent="0.3">
      <c r="T125" s="1255"/>
      <c r="U125" s="1255"/>
      <c r="V125" s="1255"/>
      <c r="W125" s="1255"/>
      <c r="X125" s="1255"/>
      <c r="Y125" s="1255"/>
      <c r="Z125" s="1255"/>
      <c r="AA125" s="1255"/>
      <c r="AB125" s="1255"/>
      <c r="AC125" s="1255"/>
      <c r="AD125" s="1255"/>
      <c r="AE125" s="1255"/>
      <c r="AF125" s="1255"/>
      <c r="AG125" s="1255"/>
      <c r="AH125" s="1255"/>
      <c r="AI125" s="1255"/>
      <c r="AJ125" s="1255"/>
      <c r="AK125" s="1255"/>
      <c r="AL125" s="1255"/>
    </row>
    <row r="126" spans="20:38" ht="14.4" hidden="1" customHeight="1" x14ac:dyDescent="0.3">
      <c r="T126" s="1255"/>
      <c r="U126" s="1255"/>
      <c r="V126" s="1255"/>
      <c r="W126" s="1255"/>
      <c r="X126" s="1255"/>
      <c r="Y126" s="1255"/>
      <c r="Z126" s="1255"/>
      <c r="AA126" s="1255"/>
      <c r="AB126" s="1255"/>
      <c r="AC126" s="1255"/>
      <c r="AD126" s="1255"/>
      <c r="AE126" s="1255"/>
      <c r="AF126" s="1255"/>
      <c r="AG126" s="1255"/>
      <c r="AH126" s="1255"/>
      <c r="AI126" s="1255"/>
      <c r="AJ126" s="1255"/>
      <c r="AK126" s="1255"/>
      <c r="AL126" s="1255"/>
    </row>
    <row r="127" spans="20:38" ht="14.4" hidden="1" customHeight="1" x14ac:dyDescent="0.3">
      <c r="T127" s="1255"/>
      <c r="U127" s="1255"/>
      <c r="V127" s="1255"/>
      <c r="W127" s="1255"/>
      <c r="X127" s="1255"/>
      <c r="Y127" s="1255"/>
      <c r="Z127" s="1255"/>
      <c r="AA127" s="1255"/>
      <c r="AB127" s="1255"/>
      <c r="AC127" s="1255"/>
      <c r="AD127" s="1255"/>
      <c r="AE127" s="1255"/>
      <c r="AF127" s="1255"/>
      <c r="AG127" s="1255"/>
      <c r="AH127" s="1255"/>
      <c r="AI127" s="1255"/>
      <c r="AJ127" s="1255"/>
      <c r="AK127" s="1255"/>
      <c r="AL127" s="1255"/>
    </row>
    <row r="128" spans="20:38" ht="14.4" hidden="1" customHeight="1" x14ac:dyDescent="0.3">
      <c r="T128" s="1255"/>
      <c r="U128" s="1255"/>
      <c r="V128" s="1255"/>
      <c r="W128" s="1255"/>
      <c r="X128" s="1255"/>
      <c r="Y128" s="1255"/>
      <c r="Z128" s="1255"/>
      <c r="AA128" s="1255"/>
      <c r="AB128" s="1255"/>
      <c r="AC128" s="1255"/>
      <c r="AD128" s="1255"/>
      <c r="AE128" s="1255"/>
      <c r="AF128" s="1255"/>
      <c r="AG128" s="1255"/>
      <c r="AH128" s="1255"/>
      <c r="AI128" s="1255"/>
      <c r="AJ128" s="1255"/>
      <c r="AK128" s="1255"/>
      <c r="AL128" s="1255"/>
    </row>
    <row r="129" spans="20:38" ht="14.4" hidden="1" customHeight="1" x14ac:dyDescent="0.3">
      <c r="T129" s="1255"/>
      <c r="U129" s="1255"/>
      <c r="V129" s="1255"/>
      <c r="W129" s="1255"/>
      <c r="X129" s="1255"/>
      <c r="Y129" s="1255"/>
      <c r="Z129" s="1255"/>
      <c r="AA129" s="1255"/>
      <c r="AB129" s="1255"/>
      <c r="AC129" s="1255"/>
      <c r="AD129" s="1255"/>
      <c r="AE129" s="1255"/>
      <c r="AF129" s="1255"/>
      <c r="AG129" s="1255"/>
      <c r="AH129" s="1255"/>
      <c r="AI129" s="1255"/>
      <c r="AJ129" s="1255"/>
      <c r="AK129" s="1255"/>
      <c r="AL129" s="1255"/>
    </row>
    <row r="130" spans="20:38" ht="14.4" hidden="1" customHeight="1" x14ac:dyDescent="0.3">
      <c r="T130" s="1255"/>
      <c r="U130" s="1255"/>
      <c r="V130" s="1255"/>
      <c r="W130" s="1255"/>
      <c r="X130" s="1255"/>
      <c r="Y130" s="1255"/>
      <c r="Z130" s="1255"/>
      <c r="AA130" s="1255"/>
      <c r="AB130" s="1255"/>
      <c r="AC130" s="1255"/>
      <c r="AD130" s="1255"/>
      <c r="AE130" s="1255"/>
      <c r="AF130" s="1255"/>
      <c r="AG130" s="1255"/>
      <c r="AH130" s="1255"/>
      <c r="AI130" s="1255"/>
      <c r="AJ130" s="1255"/>
      <c r="AK130" s="1255"/>
      <c r="AL130" s="1255"/>
    </row>
    <row r="131" spans="20:38" ht="14.4" hidden="1" customHeight="1" x14ac:dyDescent="0.3">
      <c r="T131" s="1255"/>
      <c r="U131" s="1255"/>
      <c r="V131" s="1255"/>
      <c r="W131" s="1255"/>
      <c r="X131" s="1255"/>
      <c r="Y131" s="1255"/>
      <c r="Z131" s="1255"/>
      <c r="AA131" s="1255"/>
      <c r="AB131" s="1255"/>
      <c r="AC131" s="1255"/>
      <c r="AD131" s="1255"/>
      <c r="AE131" s="1255"/>
      <c r="AF131" s="1255"/>
      <c r="AG131" s="1255"/>
      <c r="AH131" s="1255"/>
      <c r="AI131" s="1255"/>
      <c r="AJ131" s="1255"/>
      <c r="AK131" s="1255"/>
      <c r="AL131" s="1255"/>
    </row>
    <row r="132" spans="20:38" ht="14.4" hidden="1" customHeight="1" x14ac:dyDescent="0.3">
      <c r="T132" s="1255"/>
      <c r="U132" s="1255"/>
      <c r="V132" s="1255"/>
      <c r="W132" s="1255"/>
      <c r="X132" s="1255"/>
      <c r="Y132" s="1255"/>
      <c r="Z132" s="1255"/>
      <c r="AA132" s="1255"/>
      <c r="AB132" s="1255"/>
      <c r="AC132" s="1255"/>
      <c r="AD132" s="1255"/>
      <c r="AE132" s="1255"/>
      <c r="AF132" s="1255"/>
      <c r="AG132" s="1255"/>
      <c r="AH132" s="1255"/>
      <c r="AI132" s="1255"/>
      <c r="AJ132" s="1255"/>
      <c r="AK132" s="1255"/>
      <c r="AL132" s="1255"/>
    </row>
    <row r="133" spans="20:38" ht="14.4" hidden="1" customHeight="1" x14ac:dyDescent="0.3">
      <c r="T133" s="1255"/>
      <c r="U133" s="1255"/>
      <c r="V133" s="1255"/>
      <c r="W133" s="1255"/>
      <c r="X133" s="1255"/>
      <c r="Y133" s="1255"/>
      <c r="Z133" s="1255"/>
      <c r="AA133" s="1255"/>
      <c r="AB133" s="1255"/>
      <c r="AC133" s="1255"/>
      <c r="AD133" s="1255"/>
      <c r="AE133" s="1255"/>
      <c r="AF133" s="1255"/>
      <c r="AG133" s="1255"/>
      <c r="AH133" s="1255"/>
      <c r="AI133" s="1255"/>
      <c r="AJ133" s="1255"/>
      <c r="AK133" s="1255"/>
      <c r="AL133" s="1255"/>
    </row>
    <row r="134" spans="20:38" ht="14.4" hidden="1" customHeight="1" x14ac:dyDescent="0.3">
      <c r="T134" s="1255"/>
      <c r="U134" s="1255"/>
      <c r="V134" s="1255"/>
      <c r="W134" s="1255"/>
      <c r="X134" s="1255"/>
      <c r="Y134" s="1255"/>
      <c r="Z134" s="1255"/>
      <c r="AA134" s="1255"/>
      <c r="AB134" s="1255"/>
      <c r="AC134" s="1255"/>
      <c r="AD134" s="1255"/>
      <c r="AE134" s="1255"/>
      <c r="AF134" s="1255"/>
      <c r="AG134" s="1255"/>
      <c r="AH134" s="1255"/>
      <c r="AI134" s="1255"/>
      <c r="AJ134" s="1255"/>
      <c r="AK134" s="1255"/>
      <c r="AL134" s="1255"/>
    </row>
    <row r="135" spans="20:38" ht="14.4" hidden="1" customHeight="1" x14ac:dyDescent="0.3">
      <c r="T135" s="1255"/>
      <c r="U135" s="1255"/>
      <c r="V135" s="1255"/>
      <c r="W135" s="1255"/>
      <c r="X135" s="1255"/>
      <c r="Y135" s="1255"/>
      <c r="Z135" s="1255"/>
      <c r="AA135" s="1255"/>
      <c r="AB135" s="1255"/>
      <c r="AC135" s="1255"/>
      <c r="AD135" s="1255"/>
      <c r="AE135" s="1255"/>
      <c r="AF135" s="1255"/>
      <c r="AG135" s="1255"/>
      <c r="AH135" s="1255"/>
      <c r="AI135" s="1255"/>
      <c r="AJ135" s="1255"/>
      <c r="AK135" s="1255"/>
      <c r="AL135" s="1255"/>
    </row>
    <row r="136" spans="20:38" ht="14.4" hidden="1" customHeight="1" x14ac:dyDescent="0.3">
      <c r="T136" s="1255"/>
      <c r="U136" s="1255"/>
      <c r="V136" s="1255"/>
      <c r="W136" s="1255"/>
      <c r="X136" s="1255"/>
      <c r="Y136" s="1255"/>
      <c r="Z136" s="1255"/>
      <c r="AA136" s="1255"/>
      <c r="AB136" s="1255"/>
      <c r="AC136" s="1255"/>
      <c r="AD136" s="1255"/>
      <c r="AE136" s="1255"/>
      <c r="AF136" s="1255"/>
      <c r="AG136" s="1255"/>
      <c r="AH136" s="1255"/>
      <c r="AI136" s="1255"/>
      <c r="AJ136" s="1255"/>
      <c r="AK136" s="1255"/>
      <c r="AL136" s="1255"/>
    </row>
    <row r="137" spans="20:38" ht="14.4" hidden="1" customHeight="1" x14ac:dyDescent="0.3">
      <c r="T137" s="1255"/>
      <c r="U137" s="1255"/>
      <c r="V137" s="1255"/>
      <c r="W137" s="1255"/>
      <c r="X137" s="1255"/>
      <c r="Y137" s="1255"/>
      <c r="Z137" s="1255"/>
      <c r="AA137" s="1255"/>
      <c r="AB137" s="1255"/>
      <c r="AC137" s="1255"/>
      <c r="AD137" s="1255"/>
      <c r="AE137" s="1255"/>
      <c r="AF137" s="1255"/>
      <c r="AG137" s="1255"/>
      <c r="AH137" s="1255"/>
      <c r="AI137" s="1255"/>
      <c r="AJ137" s="1255"/>
      <c r="AK137" s="1255"/>
      <c r="AL137" s="1255"/>
    </row>
    <row r="138" spans="20:38" ht="14.4" hidden="1" customHeight="1" x14ac:dyDescent="0.3">
      <c r="T138" s="1255"/>
      <c r="U138" s="1255"/>
      <c r="V138" s="1255"/>
      <c r="W138" s="1255"/>
      <c r="X138" s="1255"/>
      <c r="Y138" s="1255"/>
      <c r="Z138" s="1255"/>
      <c r="AA138" s="1255"/>
      <c r="AB138" s="1255"/>
      <c r="AC138" s="1255"/>
      <c r="AD138" s="1255"/>
      <c r="AE138" s="1255"/>
      <c r="AF138" s="1255"/>
      <c r="AG138" s="1255"/>
      <c r="AH138" s="1255"/>
      <c r="AI138" s="1255"/>
      <c r="AJ138" s="1255"/>
      <c r="AK138" s="1255"/>
      <c r="AL138" s="1255"/>
    </row>
  </sheetData>
  <sheetProtection algorithmName="SHA-512" hashValue="hCA0YzgcGZdpvldhHtOWsenpxjBZs73P+ZmoZU2wq89c0szDBYPx0jRT8FiHLFJaOHH6JLPDa0+0qFjujtvEXA==" saltValue="6ev/W+uVnXgF3XsmHPKhBA==" spinCount="100000" sheet="1" objects="1" scenarios="1" selectLockedCells="1"/>
  <mergeCells count="94">
    <mergeCell ref="AB29:AO29"/>
    <mergeCell ref="AQ7:AQ27"/>
    <mergeCell ref="BI3:BM3"/>
    <mergeCell ref="AP2:AS3"/>
    <mergeCell ref="V5:X5"/>
    <mergeCell ref="AR14:AR18"/>
    <mergeCell ref="A2:AJ3"/>
    <mergeCell ref="M10:Q10"/>
    <mergeCell ref="H14:Q14"/>
    <mergeCell ref="H13:Q13"/>
    <mergeCell ref="H9:Q9"/>
    <mergeCell ref="H11:L11"/>
    <mergeCell ref="H10:L10"/>
    <mergeCell ref="AD10:AD12"/>
    <mergeCell ref="S18:Y23"/>
    <mergeCell ref="S8:Y9"/>
    <mergeCell ref="S10:Y12"/>
    <mergeCell ref="S13:Y17"/>
    <mergeCell ref="B7:F7"/>
    <mergeCell ref="AF9:AK9"/>
    <mergeCell ref="AD14:AD21"/>
    <mergeCell ref="H8:Q8"/>
    <mergeCell ref="H12:Q12"/>
    <mergeCell ref="H18:Q18"/>
    <mergeCell ref="F16:I16"/>
    <mergeCell ref="M11:Q11"/>
    <mergeCell ref="G7:R7"/>
    <mergeCell ref="BD3:BH3"/>
    <mergeCell ref="R5:T5"/>
    <mergeCell ref="B5:D5"/>
    <mergeCell ref="F5:H5"/>
    <mergeCell ref="J5:L5"/>
    <mergeCell ref="N5:P5"/>
    <mergeCell ref="J29:Q29"/>
    <mergeCell ref="B8:F8"/>
    <mergeCell ref="B21:F21"/>
    <mergeCell ref="B25:F25"/>
    <mergeCell ref="B12:F12"/>
    <mergeCell ref="B18:F18"/>
    <mergeCell ref="B16:E16"/>
    <mergeCell ref="B9:F9"/>
    <mergeCell ref="B11:F11"/>
    <mergeCell ref="B14:F14"/>
    <mergeCell ref="H23:Q23"/>
    <mergeCell ref="H21:J22"/>
    <mergeCell ref="H25:Q25"/>
    <mergeCell ref="B32:Q32"/>
    <mergeCell ref="B26:F26"/>
    <mergeCell ref="B15:F15"/>
    <mergeCell ref="B28:F28"/>
    <mergeCell ref="H28:Q28"/>
    <mergeCell ref="B19:F19"/>
    <mergeCell ref="N16:Q16"/>
    <mergeCell ref="J16:M16"/>
    <mergeCell ref="H26:Q26"/>
    <mergeCell ref="B24:F24"/>
    <mergeCell ref="H24:Q24"/>
    <mergeCell ref="H15:Q15"/>
    <mergeCell ref="J20:M20"/>
    <mergeCell ref="N20:Q20"/>
    <mergeCell ref="N21:Q22"/>
    <mergeCell ref="K21:M22"/>
    <mergeCell ref="B30:J31"/>
    <mergeCell ref="K30:K31"/>
    <mergeCell ref="L30:Q31"/>
    <mergeCell ref="AC9:AD9"/>
    <mergeCell ref="AC24:AG24"/>
    <mergeCell ref="B27:F27"/>
    <mergeCell ref="H27:Q27"/>
    <mergeCell ref="B13:F13"/>
    <mergeCell ref="AF30:AH30"/>
    <mergeCell ref="B17:F17"/>
    <mergeCell ref="B20:E20"/>
    <mergeCell ref="F20:I20"/>
    <mergeCell ref="H19:Q19"/>
    <mergeCell ref="AF25:AK25"/>
    <mergeCell ref="H17:Q17"/>
    <mergeCell ref="H29:I29"/>
    <mergeCell ref="AO31:AR32"/>
    <mergeCell ref="S7:U7"/>
    <mergeCell ref="AM14:AM21"/>
    <mergeCell ref="AM23:AM25"/>
    <mergeCell ref="AI30:AK30"/>
    <mergeCell ref="AJ26:AJ27"/>
    <mergeCell ref="AC25:AD25"/>
    <mergeCell ref="AE10:AE16"/>
    <mergeCell ref="AB19:AC19"/>
    <mergeCell ref="AR19:AR23"/>
    <mergeCell ref="AC8:AG8"/>
    <mergeCell ref="AJ7:AJ8"/>
    <mergeCell ref="AN19:AO19"/>
    <mergeCell ref="AL19:AL25"/>
    <mergeCell ref="S25:Y31"/>
    <mergeCell ref="S24:U24"/>
  </mergeCells>
  <conditionalFormatting sqref="B9:Q9">
    <cfRule type="expression" dxfId="788" priority="51">
      <formula>$B$9=0</formula>
    </cfRule>
  </conditionalFormatting>
  <conditionalFormatting sqref="B18:H18">
    <cfRule type="expression" dxfId="787" priority="50">
      <formula>$B$18=0</formula>
    </cfRule>
  </conditionalFormatting>
  <conditionalFormatting sqref="B14:Q14">
    <cfRule type="expression" dxfId="786" priority="49">
      <formula>$B$14=0</formula>
    </cfRule>
  </conditionalFormatting>
  <conditionalFormatting sqref="B17:Q17">
    <cfRule type="expression" dxfId="785" priority="43">
      <formula>$B$17=0</formula>
    </cfRule>
  </conditionalFormatting>
  <conditionalFormatting sqref="B19:Q19">
    <cfRule type="expression" dxfId="784" priority="42">
      <formula>$B$19=0</formula>
    </cfRule>
  </conditionalFormatting>
  <conditionalFormatting sqref="S8">
    <cfRule type="cellIs" dxfId="783" priority="20" operator="equal">
      <formula>0</formula>
    </cfRule>
  </conditionalFormatting>
  <conditionalFormatting sqref="S7">
    <cfRule type="cellIs" dxfId="782" priority="19" operator="equal">
      <formula>0</formula>
    </cfRule>
  </conditionalFormatting>
  <conditionalFormatting sqref="H23">
    <cfRule type="expression" dxfId="781" priority="218">
      <formula>$H$25&gt;0</formula>
    </cfRule>
  </conditionalFormatting>
  <conditionalFormatting sqref="S24">
    <cfRule type="cellIs" dxfId="780" priority="18" operator="equal">
      <formula>0</formula>
    </cfRule>
  </conditionalFormatting>
  <conditionalFormatting sqref="AD14:AD21">
    <cfRule type="expression" dxfId="779" priority="220">
      <formula>$AU$25=1</formula>
    </cfRule>
  </conditionalFormatting>
  <conditionalFormatting sqref="AD10:AD12 AB19:AC19">
    <cfRule type="expression" dxfId="778" priority="221">
      <formula>$AU$25=1</formula>
    </cfRule>
  </conditionalFormatting>
  <conditionalFormatting sqref="AM14:AM21">
    <cfRule type="expression" dxfId="777" priority="222">
      <formula>$AU$25=2</formula>
    </cfRule>
  </conditionalFormatting>
  <conditionalFormatting sqref="AM23:AM25 AN19:AO19">
    <cfRule type="expression" dxfId="776" priority="223">
      <formula>$AU$25=2</formula>
    </cfRule>
  </conditionalFormatting>
  <conditionalFormatting sqref="AF9:AK9">
    <cfRule type="expression" dxfId="775" priority="224">
      <formula>$AU$25=3</formula>
    </cfRule>
  </conditionalFormatting>
  <conditionalFormatting sqref="AC9:AD9 AJ7:AJ8">
    <cfRule type="expression" dxfId="774" priority="225">
      <formula>$AU$25=3</formula>
    </cfRule>
  </conditionalFormatting>
  <conditionalFormatting sqref="AF25:AK25">
    <cfRule type="expression" dxfId="773" priority="226">
      <formula>$AU$25=4</formula>
    </cfRule>
  </conditionalFormatting>
  <conditionalFormatting sqref="AC25:AD25 AJ26:AJ27">
    <cfRule type="expression" dxfId="772" priority="227">
      <formula>$AU$25=4</formula>
    </cfRule>
  </conditionalFormatting>
  <conditionalFormatting sqref="AA9:AA10 AA24:AA25">
    <cfRule type="expression" dxfId="771" priority="228">
      <formula>$AU$17=1</formula>
    </cfRule>
  </conditionalFormatting>
  <conditionalFormatting sqref="AP9:AP10 AP24:AP25">
    <cfRule type="expression" dxfId="770" priority="230">
      <formula>$AU$17=2</formula>
    </cfRule>
  </conditionalFormatting>
  <conditionalFormatting sqref="AC6:AD6 AM6:AN6">
    <cfRule type="expression" dxfId="769" priority="232">
      <formula>$AU$17=3</formula>
    </cfRule>
  </conditionalFormatting>
  <conditionalFormatting sqref="AC28:AD28 AM28:AN28">
    <cfRule type="expression" dxfId="768" priority="234">
      <formula>$AU$17=4</formula>
    </cfRule>
  </conditionalFormatting>
  <conditionalFormatting sqref="AC24:AG24">
    <cfRule type="expression" dxfId="767" priority="236">
      <formula>$AU$25=4</formula>
    </cfRule>
  </conditionalFormatting>
  <conditionalFormatting sqref="AE10:AE16">
    <cfRule type="expression" dxfId="766" priority="237">
      <formula>$AU$25=1</formula>
    </cfRule>
  </conditionalFormatting>
  <conditionalFormatting sqref="AL19:AL25">
    <cfRule type="expression" dxfId="765" priority="238">
      <formula>$AU$25=2</formula>
    </cfRule>
  </conditionalFormatting>
  <conditionalFormatting sqref="AC8:AG8">
    <cfRule type="expression" dxfId="764" priority="239">
      <formula>$AU$25=3</formula>
    </cfRule>
  </conditionalFormatting>
  <conditionalFormatting sqref="AC14 AC20">
    <cfRule type="expression" dxfId="763" priority="240">
      <formula>$AU$25=1</formula>
    </cfRule>
  </conditionalFormatting>
  <conditionalFormatting sqref="AN20 AN14">
    <cfRule type="expression" dxfId="762" priority="242">
      <formula>$AU$25=2</formula>
    </cfRule>
  </conditionalFormatting>
  <conditionalFormatting sqref="AJ10 AF10">
    <cfRule type="expression" dxfId="761" priority="244">
      <formula>$AU$25=3</formula>
    </cfRule>
  </conditionalFormatting>
  <conditionalFormatting sqref="AF26">
    <cfRule type="expression" dxfId="760" priority="246">
      <formula>$AU$25=4</formula>
    </cfRule>
  </conditionalFormatting>
  <conditionalFormatting sqref="AA16:AA17">
    <cfRule type="expression" dxfId="759" priority="247">
      <formula>$AU$24="1_3"</formula>
    </cfRule>
  </conditionalFormatting>
  <conditionalFormatting sqref="AP16:AP17">
    <cfRule type="expression" dxfId="758" priority="248">
      <formula>$AU$24="2_3"</formula>
    </cfRule>
  </conditionalFormatting>
  <conditionalFormatting sqref="AH6:AI6">
    <cfRule type="expression" dxfId="757" priority="249">
      <formula>$AU$24="3_3"</formula>
    </cfRule>
  </conditionalFormatting>
  <conditionalFormatting sqref="AH28:AI28">
    <cfRule type="expression" dxfId="756" priority="250">
      <formula>$AU$24="4_3"</formula>
    </cfRule>
  </conditionalFormatting>
  <conditionalFormatting sqref="M11:Q11">
    <cfRule type="expression" dxfId="755" priority="254">
      <formula>$AU$10=1</formula>
    </cfRule>
  </conditionalFormatting>
  <conditionalFormatting sqref="H11:L11">
    <cfRule type="expression" dxfId="754" priority="255">
      <formula>$AU$10=2</formula>
    </cfRule>
  </conditionalFormatting>
  <conditionalFormatting sqref="B11:Q11">
    <cfRule type="expression" dxfId="753" priority="256">
      <formula>$AU$10=0</formula>
    </cfRule>
  </conditionalFormatting>
  <conditionalFormatting sqref="AH7:AH8 AH10:AH24 AH26:AH27">
    <cfRule type="expression" dxfId="752" priority="257">
      <formula>$AU$10=2</formula>
    </cfRule>
  </conditionalFormatting>
  <conditionalFormatting sqref="AB17:AC17 AE17:AL17 AN17:AO17">
    <cfRule type="expression" dxfId="751" priority="260">
      <formula>$AU$10=1</formula>
    </cfRule>
  </conditionalFormatting>
  <conditionalFormatting sqref="AH26:AH27 AH18:AH24 AH10:AH16 AH7:AH8">
    <cfRule type="expression" dxfId="750" priority="263">
      <formula>$AU$10=3</formula>
    </cfRule>
  </conditionalFormatting>
  <conditionalFormatting sqref="AB17:AC17 AE17:AG17 AI17:AL17 AN17:AO17">
    <cfRule type="expression" dxfId="749" priority="267">
      <formula>$AU$10=3</formula>
    </cfRule>
  </conditionalFormatting>
  <conditionalFormatting sqref="B16:Q16">
    <cfRule type="expression" dxfId="748" priority="275">
      <formula>$AU$19=0</formula>
    </cfRule>
  </conditionalFormatting>
  <conditionalFormatting sqref="B20:Q20">
    <cfRule type="expression" dxfId="747" priority="16">
      <formula>$B$20=0</formula>
    </cfRule>
    <cfRule type="expression" dxfId="746" priority="17">
      <formula>$B$19=0</formula>
    </cfRule>
  </conditionalFormatting>
  <conditionalFormatting sqref="B5 F5 J5 N5 R5 V5">
    <cfRule type="cellIs" dxfId="745" priority="15" operator="equal">
      <formula>$A$2</formula>
    </cfRule>
  </conditionalFormatting>
  <conditionalFormatting sqref="S8:Y23">
    <cfRule type="cellIs" dxfId="744" priority="13" operator="equal">
      <formula>0</formula>
    </cfRule>
  </conditionalFormatting>
  <conditionalFormatting sqref="H10:L10">
    <cfRule type="expression" dxfId="743" priority="11">
      <formula>$AU$10=2</formula>
    </cfRule>
  </conditionalFormatting>
  <conditionalFormatting sqref="H10:L10">
    <cfRule type="expression" dxfId="742" priority="12">
      <formula>$AU$10=0</formula>
    </cfRule>
  </conditionalFormatting>
  <conditionalFormatting sqref="M10:Q10">
    <cfRule type="expression" dxfId="741" priority="9">
      <formula>$AU$10=1</formula>
    </cfRule>
  </conditionalFormatting>
  <conditionalFormatting sqref="M10:Q10">
    <cfRule type="expression" dxfId="740" priority="10">
      <formula>$AU$10=0</formula>
    </cfRule>
  </conditionalFormatting>
  <conditionalFormatting sqref="AQ7:AQ27 AB29:AO29">
    <cfRule type="cellIs" dxfId="739" priority="8" operator="equal">
      <formula>0</formula>
    </cfRule>
  </conditionalFormatting>
  <conditionalFormatting sqref="A33:XFD33 A1:AS1 AQ4:AS5 AR6:AS13 AS14:AS32 R32:AN32 R8:R31 G7 A4:AP4 Y5:AP5 U5 Q5 M5 I5 E5 A5 A6:Z6 V7:Z7 Z8:Z31 AA31:AN31 AA29 AP29:AQ29 AR24:AR30 AL30:AQ30 AA30:AE30 A7:A32 B29:G29">
    <cfRule type="expression" dxfId="738" priority="7">
      <formula>$AS$33=1</formula>
    </cfRule>
  </conditionalFormatting>
  <conditionalFormatting sqref="B10:G10">
    <cfRule type="expression" dxfId="737" priority="6">
      <formula>$AS$33=1</formula>
    </cfRule>
  </conditionalFormatting>
  <conditionalFormatting sqref="B22:G23">
    <cfRule type="expression" dxfId="736" priority="5">
      <formula>$AS$33=1</formula>
    </cfRule>
  </conditionalFormatting>
  <conditionalFormatting sqref="V24:Y24">
    <cfRule type="expression" dxfId="735" priority="4">
      <formula>$AS$33=1</formula>
    </cfRule>
  </conditionalFormatting>
  <conditionalFormatting sqref="S8:Y23 S25:Y31 AB29:AO29 AQ7:AQ27">
    <cfRule type="expression" dxfId="734" priority="3">
      <formula>$AS$33=1</formula>
    </cfRule>
  </conditionalFormatting>
  <conditionalFormatting sqref="AQ6 AQ28">
    <cfRule type="expression" dxfId="733" priority="2">
      <formula>$AS$33=1</formula>
    </cfRule>
  </conditionalFormatting>
  <conditionalFormatting sqref="G7:R7">
    <cfRule type="cellIs" dxfId="732" priority="1" operator="equal">
      <formula>0</formula>
    </cfRule>
  </conditionalFormatting>
  <dataValidations count="10">
    <dataValidation type="list" allowBlank="1" showInputMessage="1" showErrorMessage="1" sqref="H27:Q27" xr:uid="{6599BD36-ABA4-4D40-9A87-D54B02D30CAC}">
      <formula1>_umisteni_zavesu</formula1>
    </dataValidation>
    <dataValidation type="whole" allowBlank="1" showErrorMessage="1" errorTitle="MAX 2500" error="MAXIMUM 1250 mm x 2550 mm" sqref="AR14:AR18" xr:uid="{8ED87ADD-CFF1-49AC-ADBF-BD88FA0CCCBC}">
      <formula1>100</formula1>
      <formula2>IF(AI30&gt;=1250,1250,2550)</formula2>
    </dataValidation>
    <dataValidation type="whole" allowBlank="1" showErrorMessage="1" errorTitle="MAX 1300 mm" error="MAXIMUM 1250 mm x 2550 mm" sqref="AI30:AK30" xr:uid="{1649A396-BEBB-4DD5-96F9-E2106E324B66}">
      <formula1>100</formula1>
      <formula2>IF(AR14&gt;=1250,1250,2550)</formula2>
    </dataValidation>
    <dataValidation type="whole" allowBlank="1" showInputMessage="1" showErrorMessage="1" errorTitle="Minimum 80 mm" sqref="F20:I20 N20:Q20" xr:uid="{594A5450-0CD9-40D6-9C2D-6A57658E29DC}">
      <formula1>80</formula1>
      <formula2>1300</formula2>
    </dataValidation>
    <dataValidation type="whole" allowBlank="1" showInputMessage="1" showErrorMessage="1" sqref="K11" xr:uid="{98FF3F86-3072-4FA2-A5EE-ADC69E206F03}">
      <formula1>1</formula1>
      <formula2>(#REF!/100)-1</formula2>
    </dataValidation>
    <dataValidation type="whole" allowBlank="1" showInputMessage="1" showErrorMessage="1" sqref="M11:Q11" xr:uid="{E8FAEF40-D37D-49B7-87F2-C07336E50BAD}">
      <formula1>1</formula1>
      <formula2>(AI30/100)-1</formula2>
    </dataValidation>
    <dataValidation type="whole" allowBlank="1" showInputMessage="1" showErrorMessage="1" sqref="H11:I11" xr:uid="{F1D6BBC7-5D00-4AD3-A8C3-9363AA8B696A}">
      <formula1>1</formula1>
      <formula2>(AR14/100)-1</formula2>
    </dataValidation>
    <dataValidation type="whole" allowBlank="1" showInputMessage="1" showErrorMessage="1" sqref="J11 L11" xr:uid="{309CDDF6-651E-4E35-91F3-DFFF43335AD3}">
      <formula1>1</formula1>
      <formula2>(V16/100)-1</formula2>
    </dataValidation>
    <dataValidation type="list" allowBlank="1" showInputMessage="1" showErrorMessage="1" sqref="H18" xr:uid="{53C094E8-14E1-4382-BAE7-957975CBB56A}">
      <formula1>INDIRECT(CONCATENATE("_",AV7,"_",H15))</formula1>
    </dataValidation>
    <dataValidation type="whole" operator="greaterThanOrEqual" allowBlank="1" showInputMessage="1" showErrorMessage="1" sqref="H26:Q26" xr:uid="{EF2B9189-92AD-44CB-BB6F-4B80F5DE872B}">
      <formula1>1</formula1>
    </dataValidation>
  </dataValidations>
  <hyperlinks>
    <hyperlink ref="AP2:AS3" location="Hlavní!A1" display="Hlavní!A1" xr:uid="{EFAA887E-A290-4881-9D71-D39601583EBC}"/>
    <hyperlink ref="F5:H5" location="Ram_2!A1" display="Ram_2!A1" xr:uid="{D4DDA940-4637-419B-BB45-47E4368D3FF8}"/>
    <hyperlink ref="J5:L5" location="Ram_3!A1" display="Ram_3!A1" xr:uid="{82F1EC73-E8BF-46F2-A10D-CA5EC5D0CB3C}"/>
    <hyperlink ref="N5:P5" location="Ram_4!A1" display="Ram_4!A1" xr:uid="{108FA660-B547-481E-93CC-230ADD868F98}"/>
    <hyperlink ref="R5:T5" location="Ram_5!A1" display="Ram_5!A1" xr:uid="{1776C6CA-9EE1-4262-B7E4-518DBBFD5E54}"/>
    <hyperlink ref="V5:X5" location="Ram_6!A1" display="Ram_6!A1" xr:uid="{E553FC6B-683D-4065-98E8-20FC9C20C4A6}"/>
    <hyperlink ref="B5:D5" location="Ram_1!A1" display="Ram_1!A1" xr:uid="{53D90A37-5D63-48A2-85D5-9938B732F074}"/>
    <hyperlink ref="AO31:AR32" location="_souhrn!A1" display="_souhrn!A1" xr:uid="{37162BAE-19E0-40DA-8D7A-E4E57E2A9856}"/>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606" r:id="rId4" name="Check Box 1967">
              <controlPr locked="0" defaultSize="0" autoFill="0" autoLine="0" autoPict="0">
                <anchor moveWithCells="1">
                  <from>
                    <xdr:col>26</xdr:col>
                    <xdr:colOff>685800</xdr:colOff>
                    <xdr:row>0</xdr:row>
                    <xdr:rowOff>0</xdr:rowOff>
                  </from>
                  <to>
                    <xdr:col>27</xdr:col>
                    <xdr:colOff>0</xdr:colOff>
                    <xdr:row>1</xdr:row>
                    <xdr:rowOff>76200</xdr:rowOff>
                  </to>
                </anchor>
              </controlPr>
            </control>
          </mc:Choice>
        </mc:AlternateContent>
        <mc:AlternateContent xmlns:mc="http://schemas.openxmlformats.org/markup-compatibility/2006">
          <mc:Choice Requires="x14">
            <control shapeId="110607" r:id="rId5" name="Option Button 15">
              <controlPr defaultSize="0" autoFill="0" autoLine="0" autoPict="0">
                <anchor moveWithCells="1">
                  <from>
                    <xdr:col>8</xdr:col>
                    <xdr:colOff>91440</xdr:colOff>
                    <xdr:row>20</xdr:row>
                    <xdr:rowOff>45720</xdr:rowOff>
                  </from>
                  <to>
                    <xdr:col>9</xdr:col>
                    <xdr:colOff>30480</xdr:colOff>
                    <xdr:row>21</xdr:row>
                    <xdr:rowOff>30480</xdr:rowOff>
                  </to>
                </anchor>
              </controlPr>
            </control>
          </mc:Choice>
        </mc:AlternateContent>
        <mc:AlternateContent xmlns:mc="http://schemas.openxmlformats.org/markup-compatibility/2006">
          <mc:Choice Requires="x14">
            <control shapeId="110608" r:id="rId6" name="Option Button 16">
              <controlPr defaultSize="0" autoFill="0" autoLine="0" autoPict="0">
                <anchor moveWithCells="1">
                  <from>
                    <xdr:col>11</xdr:col>
                    <xdr:colOff>106680</xdr:colOff>
                    <xdr:row>20</xdr:row>
                    <xdr:rowOff>30480</xdr:rowOff>
                  </from>
                  <to>
                    <xdr:col>12</xdr:col>
                    <xdr:colOff>7620</xdr:colOff>
                    <xdr:row>21</xdr:row>
                    <xdr:rowOff>76200</xdr:rowOff>
                  </to>
                </anchor>
              </controlPr>
            </control>
          </mc:Choice>
        </mc:AlternateContent>
        <mc:AlternateContent xmlns:mc="http://schemas.openxmlformats.org/markup-compatibility/2006">
          <mc:Choice Requires="x14">
            <control shapeId="110609" r:id="rId7" name="Option Button 17">
              <controlPr defaultSize="0" autoFill="0" autoLine="0" autoPict="0">
                <anchor moveWithCells="1">
                  <from>
                    <xdr:col>14</xdr:col>
                    <xdr:colOff>274320</xdr:colOff>
                    <xdr:row>20</xdr:row>
                    <xdr:rowOff>45720</xdr:rowOff>
                  </from>
                  <to>
                    <xdr:col>15</xdr:col>
                    <xdr:colOff>297180</xdr:colOff>
                    <xdr:row>21</xdr:row>
                    <xdr:rowOff>45720</xdr:rowOff>
                  </to>
                </anchor>
              </controlPr>
            </control>
          </mc:Choice>
        </mc:AlternateContent>
        <mc:AlternateContent xmlns:mc="http://schemas.openxmlformats.org/markup-compatibility/2006">
          <mc:Choice Requires="x14">
            <control shapeId="110614" r:id="rId8" name="Check Box 22">
              <controlPr defaultSize="0" autoFill="0" autoLine="0" autoPict="0">
                <anchor moveWithCells="1">
                  <from>
                    <xdr:col>5</xdr:col>
                    <xdr:colOff>68580</xdr:colOff>
                    <xdr:row>6</xdr:row>
                    <xdr:rowOff>0</xdr:rowOff>
                  </from>
                  <to>
                    <xdr:col>5</xdr:col>
                    <xdr:colOff>297180</xdr:colOff>
                    <xdr:row>6</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1" id="{6F6974AC-B040-4EA7-B0C1-0BC0B1F7C824}">
            <xm:f>kombinace_1!$V$1&lt;3</xm:f>
            <x14:dxf>
              <font>
                <color theme="0"/>
              </font>
              <fill>
                <patternFill>
                  <bgColor theme="0"/>
                </patternFill>
              </fill>
              <border>
                <bottom/>
                <vertical/>
                <horizontal/>
              </border>
            </x14:dxf>
          </x14:cfRule>
          <xm:sqref>B24:Q24</xm:sqref>
        </x14:conditionalFormatting>
        <x14:conditionalFormatting xmlns:xm="http://schemas.microsoft.com/office/excel/2006/main">
          <x14:cfRule type="expression" priority="27" id="{46D954B6-D15C-4CC0-AF56-61CBE04EA907}">
            <xm:f>'Translate &amp; Prices'!$D$1=4</xm:f>
            <x14:dxf>
              <numFmt numFmtId="173" formatCode="#,##0.00\ [$Ft-40E]"/>
            </x14:dxf>
          </x14:cfRule>
          <x14:cfRule type="expression" priority="28" id="{CE8B75B8-35C6-4714-A90C-97C9826F1D6C}">
            <xm:f>'Translate &amp; Prices'!$D$1=3</xm:f>
            <x14:dxf>
              <numFmt numFmtId="172" formatCode="#,##0.00\ [$zł-415]"/>
            </x14:dxf>
          </x14:cfRule>
          <x14:cfRule type="expression" priority="29" id="{5D73E7B5-91E9-45DF-82AC-A4FD16BB7E21}">
            <xm:f>'Translate &amp; Prices'!$D$1=2</xm:f>
            <x14:dxf>
              <numFmt numFmtId="171" formatCode="#,##0.00\ [$€-1]"/>
            </x14:dxf>
          </x14:cfRule>
          <x14:cfRule type="expression" priority="30" id="{36DD0B12-692C-47A9-9D0F-A5AC91CDD6F5}">
            <xm:f>'Translate &amp; Prices'!$D$1=1</xm:f>
            <x14:dxf>
              <numFmt numFmtId="170" formatCode="#,##0.00\ &quot;Kč&quot;"/>
            </x14:dxf>
          </x14:cfRule>
          <xm:sqref>L30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531E94AE-ECD0-408F-A656-7CE6BE332163}">
          <x14:formula1>
            <xm:f>kombinace_1!$DN$2:$DN$4</xm:f>
          </x14:formula1>
          <xm:sqref>H14:Q14</xm:sqref>
        </x14:dataValidation>
        <x14:dataValidation type="list" allowBlank="1" showInputMessage="1" showErrorMessage="1" xr:uid="{45FB9C2A-3E23-4684-8624-5E1276CFEED5}">
          <x14:formula1>
            <xm:f>kombinace_1!$BY$13:$BY$16</xm:f>
          </x14:formula1>
          <xm:sqref>H9:Q9</xm:sqref>
        </x14:dataValidation>
        <x14:dataValidation type="list" allowBlank="1" showInputMessage="1" showErrorMessage="1" xr:uid="{3763344D-9920-49C6-9E27-4186BFF37F65}">
          <x14:formula1>
            <xm:f>kombinace_1!$X$3:$X$5</xm:f>
          </x14:formula1>
          <xm:sqref>H24:Q24</xm:sqref>
        </x14:dataValidation>
        <x14:dataValidation type="list" allowBlank="1" showInputMessage="1" showErrorMessage="1" xr:uid="{4EF8BECC-F3CD-4C6D-A232-B86637C6AA1C}">
          <x14:formula1>
            <xm:f>'Translate &amp; Prices'!$B$536:$B$537</xm:f>
          </x14:formula1>
          <xm:sqref>H29:I29</xm:sqref>
        </x14:dataValidation>
        <x14:dataValidation type="list" allowBlank="1" showInputMessage="1" showErrorMessage="1" xr:uid="{CDAA9674-889B-4F90-8AD0-0787515842E5}">
          <x14:formula1>
            <xm:f>IF($H$12=kombinace_1!$DP$2,_znacka_zavesy,_znacka_vyklopy)</xm:f>
          </x14:formula1>
          <xm:sqref>H13:Q13</xm:sqref>
        </x14:dataValidation>
        <x14:dataValidation type="list" allowBlank="1" showInputMessage="1" showErrorMessage="1" xr:uid="{BDF9B6D9-9C36-4BAF-AF87-DD9573558B89}">
          <x14:formula1>
            <xm:f>IF(AU9=2,INDIRECT(CONCATENATE("_",AV7,"_",H13,"_",AA29)),IF(AU9=3,INDIRECT(VLOOKUP(H13,kombinace_1!$AA:$AB,2,0))))</xm:f>
          </x14:formula1>
          <xm:sqref>H15</xm:sqref>
        </x14:dataValidation>
        <x14:dataValidation type="list" allowBlank="1" showInputMessage="1" showErrorMessage="1" xr:uid="{FCF28BC5-CB4A-4D7F-8460-3E7BE64DDC99}">
          <x14:formula1>
            <xm:f>IF(H15=kombinace_1!AB40,_strong_vzpera_horni,IF(H15=kombinace_1!AB41,_strong_klopna,'Translate &amp; Prices'!$B$165:$B$166))</xm:f>
          </x14:formula1>
          <xm:sqref>F16:I16</xm:sqref>
        </x14:dataValidation>
        <x14:dataValidation type="list" allowBlank="1" showInputMessage="1" showErrorMessage="1" xr:uid="{9EE2E3B8-A5DC-41B9-BB88-295B4084EFC5}">
          <x14:formula1>
            <xm:f>IF(H15=kombinace_1!AB40,'Translate &amp; Prices'!$B$209:$B$211,IF(H15=kombinace_1!AB41,'Translate &amp; Prices'!$B$209:$B$211,'Translate &amp; Prices'!$B$213:$B$217))</xm:f>
          </x14:formula1>
          <xm:sqref>N16:Q16</xm:sqref>
        </x14:dataValidation>
        <x14:dataValidation type="list" allowBlank="1" showInputMessage="1" showErrorMessage="1" xr:uid="{E7E0FA79-76ED-47F8-8908-5653672E73D0}">
          <x14:formula1>
            <xm:f>IF(OR(H8=kombinace_1!F14,H8=kombinace_1!F15,H8=kombinace_1!F16,H8=kombinace_1!F17,H8=kombinace_1!F18,H8=kombinace_1!F19),_zavesy_kombo,IF(H15=kombinace_1!AB8,_ramena_HL,_umisteni_zavesu))</xm:f>
          </x14:formula1>
          <xm:sqref>H17:Q17</xm:sqref>
        </x14:dataValidation>
        <x14:dataValidation type="list" allowBlank="1" showInputMessage="1" showErrorMessage="1" xr:uid="{A1ACA37A-FDE5-4057-8635-99EACDADF9D1}">
          <x14:formula1>
            <xm:f>IF(kombinace_1!H1=TRUE,kombinace_1!$BQ$2,kombinace_1!$BQ$2:$BR$2)</xm:f>
          </x14:formula1>
          <xm:sqref>H12:Q12</xm:sqref>
        </x14:dataValidation>
        <x14:dataValidation type="list" allowBlank="1" showInputMessage="1" showErrorMessage="1" xr:uid="{79902AE8-1EE0-4472-8725-FDC484EF8449}">
          <x14:formula1>
            <xm:f>IF(kombinace_1!H1=TRUE,_kombinovane_profily,_vše_profily)</xm:f>
          </x14:formula1>
          <xm:sqref>H8:Q8</xm:sqref>
        </x14:dataValidation>
        <x14:dataValidation type="list" allowBlank="1" showInputMessage="1" showErrorMessage="1" xr:uid="{5524A2E6-3BE5-4741-BAEC-3F2E192FD1AA}">
          <x14:formula1>
            <xm:f>IF(AM19&lt;2100,kombinace_1!BY8:BY12,kombinace_1!BY8:BY12)</xm:f>
          </x14:formula1>
          <xm:sqref>H19:Q19</xm:sqref>
        </x14:dataValidation>
        <x14:dataValidation type="list" allowBlank="1" showInputMessage="1" showErrorMessage="1" xr:uid="{2619D8EB-320F-4B51-8435-955420950E62}">
          <x14:formula1>
            <xm:f>IF(OR(H8=kombinace_1!A15,H8=kombinace_1!A16,H8=kombinace_1!A17,H8=kombinace_1!A22,H8=kombinace_1!A23,,H8=kombinace_1!A24,H8=kombinace_1!A25),_corleone,IF(H8="",_N1,INDIRECT(kombinace_1!S1)))</xm:f>
          </x14:formula1>
          <xm:sqref>H25:Q25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2A119-881A-479C-835C-D7D67A668A6F}">
  <sheetPr codeName="List14"/>
  <dimension ref="A1:EE316"/>
  <sheetViews>
    <sheetView topLeftCell="BN1" zoomScale="80" zoomScaleNormal="80" workbookViewId="0">
      <selection activeCell="CC32" sqref="CC32:CC33"/>
    </sheetView>
  </sheetViews>
  <sheetFormatPr defaultRowHeight="14.4" x14ac:dyDescent="0.3"/>
  <cols>
    <col min="1" max="1" width="61.109375" style="137" customWidth="1"/>
    <col min="2" max="2" width="24" style="137" customWidth="1"/>
    <col min="3" max="3" width="17" style="137" bestFit="1" customWidth="1"/>
    <col min="4" max="4" width="17" style="137" customWidth="1"/>
    <col min="5" max="5" width="3" style="406" customWidth="1"/>
    <col min="6" max="6" width="15.44140625" style="137" bestFit="1" customWidth="1"/>
    <col min="7" max="7" width="11.109375" style="137" bestFit="1" customWidth="1"/>
    <col min="8" max="8" width="18.109375" style="137" bestFit="1" customWidth="1"/>
    <col min="9" max="9" width="24.109375" style="137" bestFit="1" customWidth="1"/>
    <col min="10" max="11" width="18.109375" style="137" customWidth="1"/>
    <col min="12" max="12" width="3" style="406" customWidth="1"/>
    <col min="13" max="13" width="21" style="137" bestFit="1" customWidth="1"/>
    <col min="14" max="14" width="15" style="137" bestFit="1" customWidth="1"/>
    <col min="15" max="15" width="3" style="406" customWidth="1"/>
    <col min="16" max="16" width="23.109375" style="137" customWidth="1"/>
    <col min="17" max="18" width="19.44140625" style="137" bestFit="1" customWidth="1"/>
    <col min="19" max="19" width="19.44140625" style="137" customWidth="1"/>
    <col min="20" max="21" width="15.109375" style="137" customWidth="1"/>
    <col min="22" max="22" width="19.44140625" style="137" bestFit="1" customWidth="1"/>
    <col min="23" max="23" width="3" style="406" customWidth="1"/>
    <col min="24" max="24" width="12.21875" style="137" bestFit="1" customWidth="1"/>
    <col min="25" max="25" width="4.109375" style="137" bestFit="1" customWidth="1"/>
    <col min="26" max="26" width="3" style="406" customWidth="1"/>
    <col min="27" max="27" width="18.5546875" style="137" bestFit="1" customWidth="1"/>
    <col min="28" max="28" width="17.33203125" style="137" bestFit="1" customWidth="1"/>
    <col min="29" max="29" width="14.33203125" style="137" bestFit="1" customWidth="1"/>
    <col min="30" max="30" width="16.44140625" style="137" customWidth="1"/>
    <col min="31" max="31" width="3" style="406" customWidth="1"/>
    <col min="32" max="32" width="17.33203125" style="137" customWidth="1"/>
    <col min="33" max="48" width="16.5546875" style="137" customWidth="1"/>
    <col min="49" max="49" width="3" style="406" customWidth="1"/>
    <col min="50" max="53" width="19.6640625" style="137" customWidth="1"/>
    <col min="54" max="54" width="3" style="406" customWidth="1"/>
    <col min="55" max="61" width="9.5546875" style="137" customWidth="1"/>
    <col min="62" max="62" width="3" style="406" customWidth="1"/>
    <col min="63" max="63" width="17.33203125" style="137" bestFit="1" customWidth="1"/>
    <col min="64" max="64" width="3" style="406" customWidth="1"/>
    <col min="65" max="65" width="12.88671875" style="137" customWidth="1"/>
    <col min="66" max="68" width="8.88671875" style="137"/>
    <col min="69" max="69" width="10.77734375" style="137" bestFit="1" customWidth="1"/>
    <col min="70" max="70" width="18.5546875" style="137" bestFit="1" customWidth="1"/>
    <col min="71" max="72" width="8.88671875" style="137"/>
    <col min="73" max="73" width="13.77734375" style="137" customWidth="1"/>
    <col min="74" max="74" width="32.6640625" style="137" customWidth="1"/>
    <col min="75" max="75" width="17.77734375" style="137" customWidth="1"/>
    <col min="76" max="76" width="8.88671875" style="137"/>
    <col min="77" max="77" width="21.33203125" style="137" bestFit="1" customWidth="1"/>
    <col min="78" max="81" width="8.88671875" style="137"/>
    <col min="82" max="82" width="16.5546875" style="137" customWidth="1"/>
    <col min="83" max="84" width="8.88671875" style="137"/>
    <col min="85" max="85" width="28.77734375" style="137" bestFit="1" customWidth="1"/>
    <col min="86" max="86" width="23.33203125" style="137" bestFit="1" customWidth="1"/>
    <col min="87" max="87" width="20.88671875" style="137" bestFit="1" customWidth="1"/>
    <col min="88" max="88" width="22.109375" style="137" bestFit="1" customWidth="1"/>
    <col min="89" max="89" width="23.5546875" style="137" bestFit="1" customWidth="1"/>
    <col min="90" max="90" width="20.109375" style="137" bestFit="1" customWidth="1"/>
    <col min="91" max="91" width="23.5546875" style="137" bestFit="1" customWidth="1"/>
    <col min="92" max="92" width="20.109375" style="137" bestFit="1" customWidth="1"/>
    <col min="93" max="93" width="23.5546875" style="137" bestFit="1" customWidth="1"/>
    <col min="94" max="94" width="20.109375" style="137" bestFit="1" customWidth="1"/>
    <col min="95" max="95" width="21.44140625" style="137" bestFit="1" customWidth="1"/>
    <col min="96" max="96" width="19.109375" style="137" bestFit="1" customWidth="1"/>
    <col min="97" max="97" width="21.44140625" style="137" bestFit="1" customWidth="1"/>
    <col min="98" max="98" width="19.109375" style="137" bestFit="1" customWidth="1"/>
    <col min="99" max="99" width="23.5546875" style="137" bestFit="1" customWidth="1"/>
    <col min="100" max="100" width="20.109375" style="137" bestFit="1" customWidth="1"/>
    <col min="101" max="102" width="19.109375" style="137" bestFit="1" customWidth="1"/>
    <col min="103" max="103" width="23.5546875" style="137" bestFit="1" customWidth="1"/>
    <col min="104" max="104" width="20.109375" style="137" bestFit="1" customWidth="1"/>
    <col min="105" max="110" width="19.109375" style="137" bestFit="1" customWidth="1"/>
    <col min="111" max="111" width="23.5546875" style="137" bestFit="1" customWidth="1"/>
    <col min="112" max="112" width="20.109375" style="137" bestFit="1" customWidth="1"/>
    <col min="113" max="113" width="23.5546875" style="137" bestFit="1" customWidth="1"/>
    <col min="114" max="114" width="20.109375" style="137" bestFit="1" customWidth="1"/>
    <col min="115" max="116" width="19.109375" style="137" bestFit="1" customWidth="1"/>
    <col min="117" max="123" width="8.88671875" style="137"/>
    <col min="124" max="124" width="22.44140625" style="137" bestFit="1" customWidth="1"/>
    <col min="125" max="125" width="20.44140625" style="137" bestFit="1" customWidth="1"/>
    <col min="126" max="126" width="8.88671875" style="137"/>
    <col min="127" max="127" width="52.6640625" style="137" bestFit="1" customWidth="1"/>
    <col min="128" max="133" width="8.88671875" style="137"/>
    <col min="134" max="135" width="57.21875" style="137" bestFit="1" customWidth="1"/>
    <col min="136" max="16384" width="8.88671875" style="137"/>
  </cols>
  <sheetData>
    <row r="1" spans="1:135" x14ac:dyDescent="0.3">
      <c r="A1" s="376" t="s">
        <v>38</v>
      </c>
      <c r="B1" s="405"/>
      <c r="C1" s="405"/>
      <c r="D1" s="405"/>
      <c r="F1" s="376" t="s">
        <v>2064</v>
      </c>
      <c r="G1" s="405"/>
      <c r="H1" s="405" t="b">
        <v>0</v>
      </c>
      <c r="I1" s="405"/>
      <c r="J1" s="405"/>
      <c r="K1" s="405"/>
      <c r="M1" s="376" t="s">
        <v>2065</v>
      </c>
      <c r="N1" s="405"/>
      <c r="P1" s="405" t="e" cm="1">
        <f t="array" ref="P1">IF($S$1=Varianta_N1,_N1,IF($S$1=Varianta_A1,_A1,IF($S$1=Varianta_N2,_N2,IF($S$1=Varianta_A2,_A2,IF($S$1=Varianta_N3,_N3,IF($S$1=Varianta_A3,_A3,0))))))</f>
        <v>#N/A</v>
      </c>
      <c r="Q1" s="412" t="s">
        <v>2132</v>
      </c>
      <c r="R1" s="413" t="e">
        <f>VLOOKUP(Ram_1!H8,$A:$C,3,0)</f>
        <v>#N/A</v>
      </c>
      <c r="S1" s="405" t="e">
        <f>CONCATENATE("_",R1,V1)</f>
        <v>#N/A</v>
      </c>
      <c r="T1" s="405"/>
      <c r="U1" s="412" t="s">
        <v>2131</v>
      </c>
      <c r="V1" s="413">
        <v>1</v>
      </c>
      <c r="X1" s="376" t="s">
        <v>2066</v>
      </c>
      <c r="Y1" s="405"/>
      <c r="AA1" s="405" t="s">
        <v>1085</v>
      </c>
      <c r="AB1" s="405"/>
      <c r="AC1" s="405"/>
      <c r="AD1" s="405"/>
      <c r="AF1" s="405" t="s">
        <v>2067</v>
      </c>
      <c r="AG1" s="405"/>
      <c r="AH1" s="405"/>
      <c r="AI1" s="405"/>
      <c r="AJ1" s="405"/>
      <c r="AK1" s="405"/>
      <c r="AL1" s="405"/>
      <c r="AM1" s="405"/>
      <c r="AN1" s="405"/>
      <c r="AO1" s="405"/>
      <c r="AP1" s="405"/>
      <c r="AQ1" s="405"/>
      <c r="AR1" s="405"/>
      <c r="AS1" s="405"/>
      <c r="AT1" s="405"/>
      <c r="AU1" s="405"/>
      <c r="AV1" s="405"/>
      <c r="AX1" s="405" t="s">
        <v>735</v>
      </c>
      <c r="AY1" s="405"/>
      <c r="AZ1" s="405"/>
      <c r="BA1" s="405"/>
      <c r="BC1" s="405" t="s">
        <v>22</v>
      </c>
      <c r="BD1" s="405"/>
      <c r="BE1" s="405"/>
      <c r="BF1" s="405"/>
      <c r="BG1" s="405"/>
      <c r="BH1" s="405"/>
      <c r="BI1" s="405"/>
      <c r="BK1" s="405" t="s">
        <v>1031</v>
      </c>
      <c r="BM1" s="137" t="s">
        <v>2121</v>
      </c>
      <c r="BQ1" s="414" t="s">
        <v>1441</v>
      </c>
    </row>
    <row r="2" spans="1:135" x14ac:dyDescent="0.3">
      <c r="A2" s="407" t="s">
        <v>2068</v>
      </c>
      <c r="B2" s="407" t="s">
        <v>2125</v>
      </c>
      <c r="C2" s="407" t="s">
        <v>2126</v>
      </c>
      <c r="D2" s="407" t="s">
        <v>2065</v>
      </c>
      <c r="F2" s="407" t="s">
        <v>2070</v>
      </c>
      <c r="G2" s="407" t="s">
        <v>2071</v>
      </c>
      <c r="H2" s="407" t="s">
        <v>2072</v>
      </c>
      <c r="I2" s="407" t="s">
        <v>2073</v>
      </c>
      <c r="J2" s="407"/>
      <c r="K2" s="407"/>
      <c r="M2" s="407" t="s">
        <v>2074</v>
      </c>
      <c r="P2" s="407" t="s">
        <v>2127</v>
      </c>
      <c r="Q2" s="407" t="s">
        <v>2124</v>
      </c>
      <c r="R2" s="407" t="s">
        <v>2128</v>
      </c>
      <c r="S2" s="407" t="s">
        <v>2123</v>
      </c>
      <c r="T2" s="407" t="s">
        <v>2129</v>
      </c>
      <c r="U2" s="407" t="s">
        <v>2066</v>
      </c>
      <c r="V2" s="407" t="s">
        <v>2130</v>
      </c>
      <c r="X2" s="407" t="s">
        <v>2075</v>
      </c>
      <c r="Y2" s="407" t="s">
        <v>2076</v>
      </c>
      <c r="AA2" s="407" t="s">
        <v>1441</v>
      </c>
      <c r="AB2" s="407" t="s">
        <v>2077</v>
      </c>
      <c r="AC2" s="407" t="s">
        <v>2078</v>
      </c>
      <c r="AD2" s="407" t="s">
        <v>1031</v>
      </c>
      <c r="AF2" s="408" t="s">
        <v>2079</v>
      </c>
      <c r="AG2" s="408" t="s">
        <v>1030</v>
      </c>
      <c r="AH2" s="137">
        <v>1</v>
      </c>
      <c r="AI2" s="137">
        <v>2</v>
      </c>
      <c r="AJ2" s="137">
        <v>3</v>
      </c>
      <c r="AK2" s="137">
        <v>4</v>
      </c>
      <c r="AL2" s="137">
        <v>5</v>
      </c>
      <c r="AM2" s="137">
        <v>6</v>
      </c>
      <c r="AN2" s="137">
        <v>7</v>
      </c>
      <c r="AO2" s="137">
        <v>8</v>
      </c>
      <c r="AP2" s="137">
        <v>9</v>
      </c>
      <c r="AQ2" s="137">
        <v>10</v>
      </c>
      <c r="AR2" s="137">
        <v>11</v>
      </c>
      <c r="AS2" s="137">
        <v>12</v>
      </c>
      <c r="AT2" s="137">
        <v>13</v>
      </c>
      <c r="AU2" s="137">
        <v>14</v>
      </c>
      <c r="AV2" s="137">
        <v>15</v>
      </c>
      <c r="AX2" s="407" t="s">
        <v>2069</v>
      </c>
      <c r="AY2" s="407" t="s">
        <v>1441</v>
      </c>
      <c r="AZ2" s="407" t="s">
        <v>2080</v>
      </c>
      <c r="BA2" s="407" t="s">
        <v>2081</v>
      </c>
      <c r="BC2" s="409">
        <v>1</v>
      </c>
      <c r="BD2" s="409">
        <v>2</v>
      </c>
      <c r="BE2" s="409">
        <v>3</v>
      </c>
      <c r="BF2" s="409">
        <v>4</v>
      </c>
      <c r="BG2" s="409">
        <v>5</v>
      </c>
      <c r="BH2" s="409">
        <v>6</v>
      </c>
      <c r="BI2" s="409">
        <v>7</v>
      </c>
      <c r="BK2" s="409" t="s">
        <v>2082</v>
      </c>
      <c r="BM2" s="407" t="s">
        <v>2122</v>
      </c>
      <c r="BN2" s="407" t="s">
        <v>2123</v>
      </c>
      <c r="BO2" s="407" t="s">
        <v>2066</v>
      </c>
      <c r="BQ2" s="137" t="str">
        <f>'Translate &amp; Prices'!$B$531</f>
        <v>Závěsy</v>
      </c>
      <c r="BR2" s="137" t="str">
        <f>'Translate &amp; Prices'!$B$532</f>
        <v>Výklopy</v>
      </c>
      <c r="BU2" s="137" t="str">
        <f>CONCATENATE("_",Ram_1!H12,"_",Ram_1!H13)</f>
        <v>__</v>
      </c>
      <c r="BV2" s="137" t="s">
        <v>2149</v>
      </c>
      <c r="BW2" s="137" t="s">
        <v>2144</v>
      </c>
      <c r="BY2" s="137" t="s">
        <v>250</v>
      </c>
      <c r="CA2" s="137" t="s">
        <v>2176</v>
      </c>
      <c r="CD2" s="137" t="s">
        <v>2265</v>
      </c>
      <c r="CF2" s="137" t="s">
        <v>2628</v>
      </c>
      <c r="CG2" s="407" t="s">
        <v>845</v>
      </c>
      <c r="CH2" s="407" t="s">
        <v>2264</v>
      </c>
      <c r="CI2" s="410" t="s">
        <v>845</v>
      </c>
      <c r="CJ2" s="410" t="s">
        <v>2264</v>
      </c>
      <c r="CK2" s="407" t="s">
        <v>845</v>
      </c>
      <c r="CL2" s="407" t="s">
        <v>2264</v>
      </c>
      <c r="CM2" s="410" t="s">
        <v>845</v>
      </c>
      <c r="CN2" s="410" t="s">
        <v>2264</v>
      </c>
      <c r="CO2" s="407" t="s">
        <v>845</v>
      </c>
      <c r="CP2" s="407" t="s">
        <v>2264</v>
      </c>
      <c r="CQ2" s="410" t="s">
        <v>845</v>
      </c>
      <c r="CR2" s="410" t="s">
        <v>2264</v>
      </c>
      <c r="CS2" s="407" t="s">
        <v>845</v>
      </c>
      <c r="CT2" s="407" t="s">
        <v>2264</v>
      </c>
      <c r="CU2" s="410" t="s">
        <v>845</v>
      </c>
      <c r="CV2" s="410" t="s">
        <v>2264</v>
      </c>
      <c r="CW2" s="407" t="s">
        <v>845</v>
      </c>
      <c r="CX2" s="407" t="s">
        <v>2264</v>
      </c>
      <c r="CY2" s="410" t="s">
        <v>845</v>
      </c>
      <c r="CZ2" s="410" t="s">
        <v>2264</v>
      </c>
      <c r="DA2" s="407" t="s">
        <v>845</v>
      </c>
      <c r="DB2" s="407" t="s">
        <v>2264</v>
      </c>
      <c r="DC2" s="410" t="s">
        <v>845</v>
      </c>
      <c r="DD2" s="410" t="s">
        <v>2264</v>
      </c>
      <c r="DE2" s="407" t="s">
        <v>845</v>
      </c>
      <c r="DF2" s="407" t="s">
        <v>2264</v>
      </c>
      <c r="DG2" s="410" t="s">
        <v>845</v>
      </c>
      <c r="DH2" s="410" t="s">
        <v>2264</v>
      </c>
      <c r="DI2" s="407" t="s">
        <v>845</v>
      </c>
      <c r="DJ2" s="407" t="s">
        <v>2264</v>
      </c>
      <c r="DK2" s="410" t="s">
        <v>845</v>
      </c>
      <c r="DL2" s="410" t="s">
        <v>2264</v>
      </c>
      <c r="DN2" s="137" t="str">
        <f>'Translate &amp; Prices'!B533</f>
        <v>Naložený</v>
      </c>
      <c r="DP2" s="137" t="str">
        <f>'Translate &amp; Prices'!$B$531</f>
        <v>Závěsy</v>
      </c>
      <c r="DQ2" s="137">
        <v>2</v>
      </c>
      <c r="DT2" s="446" t="s">
        <v>717</v>
      </c>
      <c r="DU2" s="446" t="s">
        <v>719</v>
      </c>
      <c r="DW2" s="137" t="s">
        <v>991</v>
      </c>
      <c r="DX2" s="137" t="s">
        <v>991</v>
      </c>
      <c r="ED2" s="137" t="s">
        <v>3052</v>
      </c>
      <c r="EE2" s="137" t="s">
        <v>3148</v>
      </c>
    </row>
    <row r="3" spans="1:135" x14ac:dyDescent="0.3">
      <c r="A3" s="446" t="str">
        <f>'Translate &amp; Prices'!B6</f>
        <v>BRW (elox.)</v>
      </c>
      <c r="B3" s="137">
        <v>1</v>
      </c>
      <c r="C3" s="137" t="s">
        <v>1222</v>
      </c>
      <c r="D3" s="137">
        <v>1</v>
      </c>
      <c r="F3" s="137" t="s">
        <v>2083</v>
      </c>
      <c r="G3" s="137" t="s">
        <v>713</v>
      </c>
      <c r="H3" s="137" t="s">
        <v>2084</v>
      </c>
      <c r="I3" s="137">
        <v>1</v>
      </c>
      <c r="J3" s="137">
        <v>2</v>
      </c>
      <c r="K3" s="137" t="s">
        <v>1222</v>
      </c>
      <c r="M3" s="137" t="s">
        <v>2085</v>
      </c>
      <c r="N3" s="137" t="s">
        <v>991</v>
      </c>
      <c r="Q3" s="414" t="s">
        <v>2134</v>
      </c>
      <c r="R3" s="414" t="s">
        <v>2135</v>
      </c>
      <c r="S3" s="414" t="s">
        <v>2136</v>
      </c>
      <c r="T3" s="414" t="s">
        <v>2137</v>
      </c>
      <c r="U3" s="414" t="s">
        <v>2138</v>
      </c>
      <c r="V3" s="414" t="s">
        <v>2139</v>
      </c>
      <c r="X3" s="137" t="str">
        <f>'Translate &amp; Prices'!$B$543</f>
        <v>Transparentní</v>
      </c>
      <c r="Y3" s="137">
        <v>1</v>
      </c>
      <c r="AA3" s="137" t="s">
        <v>2087</v>
      </c>
      <c r="AB3" s="137" t="s">
        <v>2144</v>
      </c>
      <c r="AF3" s="407" t="s">
        <v>245</v>
      </c>
      <c r="AG3" s="407" t="s">
        <v>1032</v>
      </c>
      <c r="AY3" s="137" t="s">
        <v>2117</v>
      </c>
      <c r="BK3" s="137" t="s">
        <v>245</v>
      </c>
      <c r="BQ3" s="137" t="s">
        <v>2117</v>
      </c>
      <c r="BR3" s="137" t="s">
        <v>2087</v>
      </c>
      <c r="BU3" s="137" t="e">
        <f>VLOOKUP(BU2,BV:BW,2,0)</f>
        <v>#N/A</v>
      </c>
      <c r="BV3" s="137" t="s">
        <v>2152</v>
      </c>
      <c r="BW3" s="137" t="s">
        <v>2148</v>
      </c>
      <c r="BY3" s="137" t="str">
        <f>'Translate &amp; Prices'!$B$210</f>
        <v>Vlevo</v>
      </c>
      <c r="BZ3" s="137">
        <v>1</v>
      </c>
      <c r="CA3" s="137">
        <v>32</v>
      </c>
      <c r="CD3" s="137" t="s">
        <v>2272</v>
      </c>
      <c r="CE3" s="137">
        <v>1</v>
      </c>
      <c r="CF3" s="137">
        <v>1</v>
      </c>
      <c r="CG3" s="407" t="s">
        <v>2272</v>
      </c>
      <c r="CH3" s="407" t="s">
        <v>2272</v>
      </c>
      <c r="CI3" s="410" t="s">
        <v>2273</v>
      </c>
      <c r="CJ3" s="410" t="s">
        <v>2273</v>
      </c>
      <c r="CK3" s="407" t="s">
        <v>2097</v>
      </c>
      <c r="CL3" s="407" t="s">
        <v>2097</v>
      </c>
      <c r="CM3" s="410" t="s">
        <v>2100</v>
      </c>
      <c r="CN3" s="410" t="s">
        <v>2100</v>
      </c>
      <c r="CO3" s="407" t="s">
        <v>2107</v>
      </c>
      <c r="CP3" s="407" t="s">
        <v>2107</v>
      </c>
      <c r="CQ3" s="410" t="s">
        <v>2274</v>
      </c>
      <c r="CR3" s="410" t="s">
        <v>2274</v>
      </c>
      <c r="CS3" s="407" t="s">
        <v>2102</v>
      </c>
      <c r="CT3" s="407" t="s">
        <v>2102</v>
      </c>
      <c r="CU3" s="410" t="s">
        <v>2108</v>
      </c>
      <c r="CV3" s="410" t="s">
        <v>2108</v>
      </c>
      <c r="CW3" s="407" t="s">
        <v>2269</v>
      </c>
      <c r="CX3" s="407" t="s">
        <v>2269</v>
      </c>
      <c r="CY3" s="410" t="s">
        <v>2111</v>
      </c>
      <c r="CZ3" s="410" t="s">
        <v>2111</v>
      </c>
      <c r="DA3" s="407" t="s">
        <v>2268</v>
      </c>
      <c r="DB3" s="407" t="s">
        <v>2268</v>
      </c>
      <c r="DC3" s="410" t="s">
        <v>2113</v>
      </c>
      <c r="DD3" s="410" t="s">
        <v>2113</v>
      </c>
      <c r="DE3" s="407" t="s">
        <v>2114</v>
      </c>
      <c r="DF3" s="407" t="s">
        <v>2114</v>
      </c>
      <c r="DG3" s="137" t="s">
        <v>2638</v>
      </c>
      <c r="DH3" s="137" t="s">
        <v>2638</v>
      </c>
      <c r="DI3" s="137" t="s">
        <v>2639</v>
      </c>
      <c r="DJ3" s="137" t="s">
        <v>2639</v>
      </c>
      <c r="DK3" s="410" t="s">
        <v>2119</v>
      </c>
      <c r="DL3" s="410" t="s">
        <v>2119</v>
      </c>
      <c r="DN3" s="137" t="str">
        <f>'Translate &amp; Prices'!B534</f>
        <v>Polonaložený</v>
      </c>
      <c r="DP3" s="137" t="str">
        <f>'Translate &amp; Prices'!$B$532</f>
        <v>Výklopy</v>
      </c>
      <c r="DQ3" s="137">
        <v>3</v>
      </c>
      <c r="DT3" s="446" t="s">
        <v>722</v>
      </c>
      <c r="DU3" s="446" t="s">
        <v>722</v>
      </c>
      <c r="DW3" s="137" t="s">
        <v>1400</v>
      </c>
      <c r="DX3" s="137" t="s">
        <v>1409</v>
      </c>
      <c r="ED3" s="137" t="s">
        <v>3053</v>
      </c>
      <c r="EE3" s="137" t="s">
        <v>3149</v>
      </c>
    </row>
    <row r="4" spans="1:135" x14ac:dyDescent="0.3">
      <c r="A4" s="446" t="str">
        <f>'Translate &amp; Prices'!B7</f>
        <v>BRW antracit</v>
      </c>
      <c r="B4" s="137">
        <v>1</v>
      </c>
      <c r="C4" s="137" t="s">
        <v>1222</v>
      </c>
      <c r="D4" s="137">
        <v>0</v>
      </c>
      <c r="G4" s="137" t="s">
        <v>2084</v>
      </c>
      <c r="H4" s="137" t="s">
        <v>713</v>
      </c>
      <c r="I4" s="137">
        <v>0</v>
      </c>
      <c r="J4" s="137">
        <v>2</v>
      </c>
      <c r="K4" s="137" t="s">
        <v>1222</v>
      </c>
      <c r="M4" s="137" t="s">
        <v>2088</v>
      </c>
      <c r="N4" s="137" t="s">
        <v>1648</v>
      </c>
      <c r="Q4" s="446" t="str">
        <f>'Translate &amp; Prices'!$B$82</f>
        <v>Čiré</v>
      </c>
      <c r="R4" s="446" t="str">
        <f>'Translate &amp; Prices'!$B$93</f>
        <v>Stopsol bronz</v>
      </c>
      <c r="S4" s="446" t="str">
        <f>'Translate &amp; Prices'!$B$82</f>
        <v>Čiré</v>
      </c>
      <c r="T4" s="446" t="str">
        <f>'Translate &amp; Prices'!$B$93</f>
        <v>Stopsol bronz</v>
      </c>
      <c r="U4" s="446" t="str">
        <f>'Translate &amp; Prices'!$B$98</f>
        <v>Zrcadlo</v>
      </c>
      <c r="V4" s="446" t="str">
        <f>'Translate &amp; Prices'!$B$98</f>
        <v>Zrcadlo</v>
      </c>
      <c r="X4" s="137" t="str">
        <f>'Translate &amp; Prices'!$B$544</f>
        <v>Bílá</v>
      </c>
      <c r="Y4" s="137">
        <v>2</v>
      </c>
      <c r="AA4" s="137" t="s">
        <v>2087</v>
      </c>
      <c r="AB4" s="137" t="s">
        <v>2272</v>
      </c>
      <c r="AC4" s="137">
        <v>1</v>
      </c>
      <c r="AD4" s="137">
        <v>1</v>
      </c>
      <c r="AF4" s="407" t="s">
        <v>246</v>
      </c>
      <c r="AG4" s="407" t="s">
        <v>1032</v>
      </c>
      <c r="AY4" s="137" t="s">
        <v>2117</v>
      </c>
      <c r="AZ4" s="137" t="s">
        <v>2154</v>
      </c>
      <c r="BK4" s="137" t="s">
        <v>246</v>
      </c>
      <c r="BQ4" s="137" t="s">
        <v>2087</v>
      </c>
      <c r="BR4" s="137" t="s">
        <v>2109</v>
      </c>
      <c r="BV4" s="137" t="s">
        <v>2153</v>
      </c>
      <c r="BW4" s="137" t="s">
        <v>2147</v>
      </c>
      <c r="BY4" s="137" t="str">
        <f>'Translate &amp; Prices'!$B$209</f>
        <v xml:space="preserve">Vpravo </v>
      </c>
      <c r="BZ4" s="137">
        <v>2</v>
      </c>
      <c r="CA4" s="137">
        <v>64</v>
      </c>
      <c r="CD4" s="137" t="s">
        <v>2273</v>
      </c>
      <c r="CE4" s="137">
        <v>1</v>
      </c>
      <c r="CF4" s="137">
        <v>0</v>
      </c>
      <c r="CG4" s="137" t="str">
        <f>CONCATENATE("_",CG2,"_",CG3)</f>
        <v>_Úzký_Aventos_HF</v>
      </c>
      <c r="CH4" s="137" t="str">
        <f t="shared" ref="CH4:DL4" si="0">CONCATENATE("_",CH2,"_",CH3)</f>
        <v>_široký_Aventos_HF</v>
      </c>
      <c r="CI4" s="137" t="str">
        <f t="shared" si="0"/>
        <v>_Úzký_Aventos_HK-XS</v>
      </c>
      <c r="CJ4" s="137" t="str">
        <f t="shared" si="0"/>
        <v>_široký_Aventos_HK-XS</v>
      </c>
      <c r="CK4" s="137" t="str">
        <f t="shared" si="0"/>
        <v>_Úzký_FREElight</v>
      </c>
      <c r="CL4" s="137" t="str">
        <f t="shared" si="0"/>
        <v>_široký_FREElight</v>
      </c>
      <c r="CM4" s="137" t="str">
        <f t="shared" si="0"/>
        <v>_Úzký_FREEfold</v>
      </c>
      <c r="CN4" s="137" t="str">
        <f t="shared" si="0"/>
        <v>_široký_FREEfold</v>
      </c>
      <c r="CO4" s="137" t="str">
        <f t="shared" si="0"/>
        <v>_Úzký_Maxi</v>
      </c>
      <c r="CP4" s="137" t="str">
        <f t="shared" si="0"/>
        <v>_široký_Maxi</v>
      </c>
      <c r="CQ4" s="137" t="str">
        <f t="shared" si="0"/>
        <v>_Úzký_Duo_Forte</v>
      </c>
      <c r="CR4" s="137" t="str">
        <f t="shared" si="0"/>
        <v>_široký_Duo_Forte</v>
      </c>
      <c r="CS4" s="137" t="str">
        <f t="shared" si="0"/>
        <v>_Úzký_Duo</v>
      </c>
      <c r="CT4" s="137" t="str">
        <f t="shared" si="0"/>
        <v>_široký_Duo</v>
      </c>
      <c r="CU4" s="137" t="str">
        <f t="shared" si="0"/>
        <v>_Úzký_K12</v>
      </c>
      <c r="CV4" s="137" t="str">
        <f t="shared" si="0"/>
        <v>_široký_K12</v>
      </c>
      <c r="CW4" s="137" t="str">
        <f t="shared" si="0"/>
        <v>_Úzký_Spodní_K12</v>
      </c>
      <c r="CX4" s="137" t="str">
        <f t="shared" si="0"/>
        <v>_široký_Spodní_K12</v>
      </c>
      <c r="CY4" s="137" t="str">
        <f t="shared" si="0"/>
        <v>_Úzký_Kraby</v>
      </c>
      <c r="CZ4" s="137" t="str">
        <f t="shared" si="0"/>
        <v>_široký_Kraby</v>
      </c>
      <c r="DA4" s="137" t="str">
        <f t="shared" si="0"/>
        <v>_Úzký_Spodní_Kraby</v>
      </c>
      <c r="DB4" s="137" t="str">
        <f t="shared" si="0"/>
        <v>_široký_Spodní_Kraby</v>
      </c>
      <c r="DC4" s="137" t="str">
        <f t="shared" si="0"/>
        <v>_Úzký_Kiaro</v>
      </c>
      <c r="DD4" s="137" t="str">
        <f t="shared" si="0"/>
        <v>_široký_Kiaro</v>
      </c>
      <c r="DE4" s="137" t="str">
        <f t="shared" si="0"/>
        <v>_Úzký_Link</v>
      </c>
      <c r="DF4" s="137" t="str">
        <f t="shared" si="0"/>
        <v>_široký_Link</v>
      </c>
      <c r="DG4" s="137" t="str">
        <f t="shared" si="0"/>
        <v>_Úzký_Strong_horní</v>
      </c>
      <c r="DH4" s="137" t="str">
        <f t="shared" si="0"/>
        <v>_široký_Strong_horní</v>
      </c>
      <c r="DI4" s="137" t="str">
        <f t="shared" si="0"/>
        <v>_Úzký_Strong_spodní</v>
      </c>
      <c r="DJ4" s="137" t="str">
        <f t="shared" si="0"/>
        <v>_široký_Strong_spodní</v>
      </c>
      <c r="DK4" s="137" t="str">
        <f t="shared" si="0"/>
        <v>_Úzký_LiftMini</v>
      </c>
      <c r="DL4" s="137" t="str">
        <f t="shared" si="0"/>
        <v>_široký_LiftMini</v>
      </c>
      <c r="DN4" s="137" t="str">
        <f>'Translate &amp; Prices'!B535</f>
        <v>Vložený</v>
      </c>
      <c r="DT4" s="446" t="s">
        <v>1431</v>
      </c>
      <c r="DU4" s="446" t="s">
        <v>1722</v>
      </c>
      <c r="DW4" s="137" t="s">
        <v>1656</v>
      </c>
      <c r="DX4" s="137" t="s">
        <v>2568</v>
      </c>
      <c r="ED4" s="137" t="s">
        <v>3054</v>
      </c>
      <c r="EE4" s="137" t="s">
        <v>3150</v>
      </c>
    </row>
    <row r="5" spans="1:135" x14ac:dyDescent="0.3">
      <c r="A5" s="446" t="str">
        <f>'Translate &amp; Prices'!B8</f>
        <v>BRW bílá mat</v>
      </c>
      <c r="B5" s="137">
        <v>1</v>
      </c>
      <c r="C5" s="137" t="s">
        <v>1222</v>
      </c>
      <c r="D5" s="137">
        <v>0</v>
      </c>
      <c r="F5" s="137" t="s">
        <v>2090</v>
      </c>
      <c r="G5" s="137" t="s">
        <v>712</v>
      </c>
      <c r="H5" s="137" t="s">
        <v>2084</v>
      </c>
      <c r="I5" s="137">
        <v>1</v>
      </c>
      <c r="J5" s="137">
        <v>2</v>
      </c>
      <c r="K5" s="137" t="s">
        <v>1222</v>
      </c>
      <c r="M5" s="137" t="s">
        <v>2091</v>
      </c>
      <c r="N5" s="137" t="s">
        <v>1011</v>
      </c>
      <c r="Q5" s="137" t="str">
        <f>'Translate &amp; Prices'!$B$144</f>
        <v>Optiwhite</v>
      </c>
      <c r="R5" s="446" t="str">
        <f>'Translate &amp; Prices'!$B$94</f>
        <v>Lakomat</v>
      </c>
      <c r="S5" s="137" t="str">
        <f>'Translate &amp; Prices'!$B$144</f>
        <v>Optiwhite</v>
      </c>
      <c r="T5" s="446" t="str">
        <f>'Translate &amp; Prices'!$B$105</f>
        <v>Master  Ligne</v>
      </c>
      <c r="U5" s="446" t="str">
        <f>'Translate &amp; Prices'!$B$99</f>
        <v>Zrcadlo hnědé</v>
      </c>
      <c r="V5" s="446" t="str">
        <f>'Translate &amp; Prices'!$B$99</f>
        <v>Zrcadlo hnědé</v>
      </c>
      <c r="X5" s="137" t="str">
        <f>'Translate &amp; Prices'!$B$545</f>
        <v>Černá</v>
      </c>
      <c r="Y5" s="137">
        <v>3</v>
      </c>
      <c r="AA5" s="137" t="s">
        <v>2087</v>
      </c>
      <c r="AB5" s="137" t="s">
        <v>2275</v>
      </c>
      <c r="AC5" s="137">
        <v>0</v>
      </c>
      <c r="AD5" s="137">
        <v>0</v>
      </c>
      <c r="AF5" s="410" t="s">
        <v>245</v>
      </c>
      <c r="AG5" s="410" t="s">
        <v>2093</v>
      </c>
      <c r="AY5" s="137" t="s">
        <v>2117</v>
      </c>
      <c r="AZ5" s="137" t="s">
        <v>2155</v>
      </c>
      <c r="BK5" s="137" t="s">
        <v>2094</v>
      </c>
      <c r="BQ5" s="137" t="s">
        <v>1021</v>
      </c>
      <c r="BR5" s="137" t="s">
        <v>1021</v>
      </c>
      <c r="BV5" s="137" t="s">
        <v>2150</v>
      </c>
      <c r="BW5" s="137" t="s">
        <v>2145</v>
      </c>
      <c r="BY5" s="137" t="str">
        <f>'Translate &amp; Prices'!$B$207</f>
        <v>Nahoře</v>
      </c>
      <c r="BZ5" s="137">
        <v>3</v>
      </c>
      <c r="CA5" s="137">
        <v>76</v>
      </c>
      <c r="CD5" s="137" t="s">
        <v>2097</v>
      </c>
      <c r="CE5" s="137">
        <v>1</v>
      </c>
      <c r="CF5" s="137">
        <v>0</v>
      </c>
      <c r="CG5" s="404" t="s">
        <v>2177</v>
      </c>
      <c r="CH5" s="404" t="s">
        <v>2185</v>
      </c>
      <c r="CI5" s="404" t="s">
        <v>2192</v>
      </c>
      <c r="CJ5" s="404" t="s">
        <v>2197</v>
      </c>
      <c r="CK5" s="404" t="s">
        <v>2200</v>
      </c>
      <c r="CL5" s="404" t="s">
        <v>2210</v>
      </c>
      <c r="CM5" s="404" t="s">
        <v>2200</v>
      </c>
      <c r="CN5" s="404" t="s">
        <v>2210</v>
      </c>
      <c r="CO5" s="404" t="s">
        <v>2200</v>
      </c>
      <c r="CP5" s="404" t="s">
        <v>2210</v>
      </c>
      <c r="CQ5" s="404" t="s">
        <v>2221</v>
      </c>
      <c r="CR5" s="404" t="s">
        <v>2229</v>
      </c>
      <c r="CS5" s="404" t="s">
        <v>2221</v>
      </c>
      <c r="CT5" s="404" t="s">
        <v>2229</v>
      </c>
      <c r="CU5" s="404" t="s">
        <v>2200</v>
      </c>
      <c r="CV5" s="404" t="s">
        <v>2210</v>
      </c>
      <c r="CW5" s="404" t="s">
        <v>2221</v>
      </c>
      <c r="CX5" s="404" t="s">
        <v>2235</v>
      </c>
      <c r="CY5" s="404" t="s">
        <v>2200</v>
      </c>
      <c r="CZ5" s="404" t="s">
        <v>2210</v>
      </c>
      <c r="DA5" s="404" t="s">
        <v>2221</v>
      </c>
      <c r="DB5" s="404" t="s">
        <v>2235</v>
      </c>
      <c r="DC5" s="404" t="s">
        <v>2221</v>
      </c>
      <c r="DD5" s="404" t="s">
        <v>2235</v>
      </c>
      <c r="DE5" s="404" t="s">
        <v>2221</v>
      </c>
      <c r="DF5" s="404" t="s">
        <v>2235</v>
      </c>
      <c r="DG5" s="404" t="s">
        <v>2200</v>
      </c>
      <c r="DH5" s="404" t="s">
        <v>2210</v>
      </c>
      <c r="DI5" s="404" t="s">
        <v>2200</v>
      </c>
      <c r="DJ5" s="404" t="s">
        <v>2210</v>
      </c>
      <c r="DK5" s="404" t="s">
        <v>2221</v>
      </c>
      <c r="DL5" s="404" t="s">
        <v>2235</v>
      </c>
      <c r="DT5" s="446" t="s">
        <v>1432</v>
      </c>
      <c r="DU5" s="446" t="s">
        <v>1432</v>
      </c>
      <c r="DW5" s="137" t="s">
        <v>1660</v>
      </c>
      <c r="DX5" s="137" t="s">
        <v>2569</v>
      </c>
      <c r="ED5" s="137" t="s">
        <v>3055</v>
      </c>
      <c r="EE5" s="137" t="s">
        <v>3151</v>
      </c>
    </row>
    <row r="6" spans="1:135" x14ac:dyDescent="0.3">
      <c r="A6" s="446" t="str">
        <f>'Translate &amp; Prices'!B9</f>
        <v>BRW bílá lesk</v>
      </c>
      <c r="B6" s="137">
        <v>1</v>
      </c>
      <c r="C6" s="137" t="s">
        <v>1222</v>
      </c>
      <c r="D6" s="137">
        <v>0</v>
      </c>
      <c r="G6" s="137" t="s">
        <v>2084</v>
      </c>
      <c r="H6" s="137" t="s">
        <v>712</v>
      </c>
      <c r="I6" s="137">
        <v>0</v>
      </c>
      <c r="J6" s="137">
        <v>2</v>
      </c>
      <c r="K6" s="137" t="s">
        <v>1222</v>
      </c>
      <c r="N6" s="137" t="s">
        <v>1624</v>
      </c>
      <c r="Q6" s="446" t="str">
        <f>'Translate &amp; Prices'!$B$87</f>
        <v>Satinato</v>
      </c>
      <c r="R6" s="446" t="str">
        <f>'Translate &amp; Prices'!$B$98</f>
        <v>Zrcadlo</v>
      </c>
      <c r="S6" s="446" t="str">
        <f>'Translate &amp; Prices'!$B$87</f>
        <v>Satinato</v>
      </c>
      <c r="T6" s="446" t="str">
        <f>'Translate &amp; Prices'!$B$106</f>
        <v>Master  Point</v>
      </c>
      <c r="U6" s="446" t="str">
        <f>'Translate &amp; Prices'!$B$100</f>
        <v>Zrcadlo grafit</v>
      </c>
      <c r="V6" s="446" t="str">
        <f>'Translate &amp; Prices'!$B$100</f>
        <v>Zrcadlo grafit</v>
      </c>
      <c r="AA6" s="137" t="s">
        <v>2087</v>
      </c>
      <c r="AB6" s="137" t="s">
        <v>2276</v>
      </c>
      <c r="AC6" s="137">
        <v>0</v>
      </c>
      <c r="AD6" s="137">
        <v>0</v>
      </c>
      <c r="AF6" s="410" t="s">
        <v>246</v>
      </c>
      <c r="AG6" s="410" t="s">
        <v>2093</v>
      </c>
      <c r="AY6" s="137" t="s">
        <v>2117</v>
      </c>
      <c r="AZ6" s="137" t="s">
        <v>2156</v>
      </c>
      <c r="BK6" s="137" t="s">
        <v>2095</v>
      </c>
      <c r="BQ6" s="433" t="s">
        <v>2739</v>
      </c>
      <c r="BR6" s="137" t="str">
        <f>IF('Translate &amp; Prices'!D1=1,"",IF('Translate &amp; Prices'!D1=2,"",IF('Translate &amp; Prices'!D1=3,"Kesseböhmer ",IF('Translate &amp; Prices'!D1=4,"Kesseböhmer ",IF('Translate &amp; Prices'!D1=5,"Kesseböhmer ",0)))))</f>
        <v/>
      </c>
      <c r="BV6" s="137" t="s">
        <v>2151</v>
      </c>
      <c r="BW6" s="137" t="s">
        <v>2146</v>
      </c>
      <c r="BY6" s="137" t="str">
        <f>'Translate &amp; Prices'!$B$208</f>
        <v>Dole</v>
      </c>
      <c r="BZ6" s="137">
        <v>4</v>
      </c>
      <c r="CA6" s="137">
        <v>96</v>
      </c>
      <c r="CD6" s="137" t="s">
        <v>2100</v>
      </c>
      <c r="CE6" s="137">
        <v>1</v>
      </c>
      <c r="CF6" s="137">
        <v>1</v>
      </c>
      <c r="CG6" s="404"/>
      <c r="CH6" s="404"/>
      <c r="CI6" s="404"/>
      <c r="CJ6" s="404"/>
      <c r="CK6" s="404" t="s">
        <v>2640</v>
      </c>
      <c r="CL6" s="404" t="s">
        <v>2645</v>
      </c>
      <c r="CM6" s="404" t="s">
        <v>2640</v>
      </c>
      <c r="CN6" s="404" t="s">
        <v>2645</v>
      </c>
      <c r="CO6" s="404" t="s">
        <v>2640</v>
      </c>
      <c r="CP6" s="404" t="s">
        <v>2645</v>
      </c>
      <c r="CQ6" s="404" t="s">
        <v>2222</v>
      </c>
      <c r="CR6" s="404" t="s">
        <v>2230</v>
      </c>
      <c r="CS6" s="404" t="s">
        <v>2222</v>
      </c>
      <c r="CT6" s="404" t="s">
        <v>2230</v>
      </c>
      <c r="CU6" s="404" t="s">
        <v>2640</v>
      </c>
      <c r="CV6" s="404" t="s">
        <v>2645</v>
      </c>
      <c r="CW6" s="404" t="s">
        <v>2223</v>
      </c>
      <c r="CX6" s="404" t="s">
        <v>2229</v>
      </c>
      <c r="CY6" s="404" t="s">
        <v>2640</v>
      </c>
      <c r="CZ6" s="404" t="s">
        <v>2645</v>
      </c>
      <c r="DA6" s="404" t="s">
        <v>2223</v>
      </c>
      <c r="DB6" s="404" t="s">
        <v>2229</v>
      </c>
      <c r="DC6" s="404" t="s">
        <v>2223</v>
      </c>
      <c r="DD6" s="404" t="s">
        <v>2229</v>
      </c>
      <c r="DE6" s="404" t="s">
        <v>2223</v>
      </c>
      <c r="DF6" s="404" t="s">
        <v>2229</v>
      </c>
      <c r="DG6" s="404" t="s">
        <v>2640</v>
      </c>
      <c r="DH6" s="404" t="s">
        <v>2645</v>
      </c>
      <c r="DI6" s="404" t="s">
        <v>2640</v>
      </c>
      <c r="DJ6" s="404" t="s">
        <v>2645</v>
      </c>
      <c r="DK6" s="404" t="s">
        <v>2223</v>
      </c>
      <c r="DL6" s="404" t="s">
        <v>2229</v>
      </c>
      <c r="DT6" s="446" t="s">
        <v>1433</v>
      </c>
      <c r="DU6" s="446" t="s">
        <v>1433</v>
      </c>
      <c r="DW6" s="137" t="s">
        <v>1410</v>
      </c>
      <c r="DX6" s="137" t="s">
        <v>1401</v>
      </c>
      <c r="ED6" s="137" t="s">
        <v>3056</v>
      </c>
      <c r="EE6" s="137" t="s">
        <v>3152</v>
      </c>
    </row>
    <row r="7" spans="1:135" x14ac:dyDescent="0.3">
      <c r="A7" s="446" t="str">
        <f>'Translate &amp; Prices'!B10</f>
        <v>BRW hnědá</v>
      </c>
      <c r="B7" s="137">
        <v>1</v>
      </c>
      <c r="C7" s="137" t="s">
        <v>1222</v>
      </c>
      <c r="D7" s="137">
        <v>0</v>
      </c>
      <c r="F7" s="137" t="s">
        <v>2096</v>
      </c>
      <c r="G7" s="137" t="s">
        <v>714</v>
      </c>
      <c r="H7" s="137" t="s">
        <v>2084</v>
      </c>
      <c r="I7" s="137">
        <v>1</v>
      </c>
      <c r="J7" s="137">
        <v>2</v>
      </c>
      <c r="K7" s="137" t="s">
        <v>1222</v>
      </c>
      <c r="Q7" s="446" t="str">
        <f>'Translate &amp; Prices'!$B$89</f>
        <v>Satinato hnědé</v>
      </c>
      <c r="R7" s="446" t="str">
        <f>'Translate &amp; Prices'!$B$99</f>
        <v>Zrcadlo hnědé</v>
      </c>
      <c r="S7" s="446" t="str">
        <f>'Translate &amp; Prices'!$B$89</f>
        <v>Satinato hnědé</v>
      </c>
      <c r="T7" s="446" t="str">
        <f>'Translate &amp; Prices'!$B$108</f>
        <v>Master  Shine</v>
      </c>
      <c r="U7" s="446" t="str">
        <f>'Translate &amp; Prices'!$B$109</f>
        <v>Lacobel RAL 1013</v>
      </c>
      <c r="V7" s="446" t="str">
        <f>'Translate &amp; Prices'!$B$109</f>
        <v>Lacobel RAL 1013</v>
      </c>
      <c r="AA7" s="137" t="s">
        <v>2087</v>
      </c>
      <c r="AB7" s="137" t="s">
        <v>2277</v>
      </c>
      <c r="AC7" s="137">
        <v>1</v>
      </c>
      <c r="AD7" s="137">
        <v>0</v>
      </c>
      <c r="AF7" s="407" t="s">
        <v>245</v>
      </c>
      <c r="AG7" s="407" t="s">
        <v>2097</v>
      </c>
      <c r="AY7" s="137" t="s">
        <v>2117</v>
      </c>
      <c r="AZ7" s="137" t="s">
        <v>2157</v>
      </c>
      <c r="BK7" s="137" t="s">
        <v>2098</v>
      </c>
      <c r="BR7" s="137" t="s">
        <v>2117</v>
      </c>
      <c r="BV7" s="137" t="s">
        <v>2169</v>
      </c>
      <c r="BW7" s="137" t="s">
        <v>2172</v>
      </c>
      <c r="CA7" s="137">
        <v>128</v>
      </c>
      <c r="CD7" s="137" t="s">
        <v>2102</v>
      </c>
      <c r="CE7" s="137">
        <v>1</v>
      </c>
      <c r="CF7" s="137">
        <v>0</v>
      </c>
      <c r="CG7" s="404"/>
      <c r="CH7" s="404"/>
      <c r="CI7" s="404"/>
      <c r="CJ7" s="404"/>
      <c r="CK7" s="404" t="s">
        <v>2202</v>
      </c>
      <c r="CL7" s="404" t="s">
        <v>2212</v>
      </c>
      <c r="CM7" s="404" t="s">
        <v>2202</v>
      </c>
      <c r="CN7" s="404" t="s">
        <v>2212</v>
      </c>
      <c r="CO7" s="404" t="s">
        <v>2202</v>
      </c>
      <c r="CP7" s="404" t="s">
        <v>2212</v>
      </c>
      <c r="CQ7" s="404" t="s">
        <v>2223</v>
      </c>
      <c r="CR7" s="404" t="s">
        <v>2231</v>
      </c>
      <c r="CS7" s="404" t="s">
        <v>2223</v>
      </c>
      <c r="CT7" s="404" t="s">
        <v>2231</v>
      </c>
      <c r="CU7" s="404" t="s">
        <v>2202</v>
      </c>
      <c r="CV7" s="404" t="s">
        <v>2212</v>
      </c>
      <c r="CW7" s="404" t="s">
        <v>2226</v>
      </c>
      <c r="CX7" s="404" t="s">
        <v>2231</v>
      </c>
      <c r="CY7" s="404" t="s">
        <v>2202</v>
      </c>
      <c r="CZ7" s="404" t="s">
        <v>2212</v>
      </c>
      <c r="DA7" s="404" t="s">
        <v>2226</v>
      </c>
      <c r="DB7" s="404" t="s">
        <v>2231</v>
      </c>
      <c r="DC7" s="404" t="s">
        <v>2226</v>
      </c>
      <c r="DD7" s="404" t="s">
        <v>2231</v>
      </c>
      <c r="DE7" s="404" t="s">
        <v>2226</v>
      </c>
      <c r="DF7" s="404" t="s">
        <v>2231</v>
      </c>
      <c r="DG7" s="404" t="s">
        <v>2202</v>
      </c>
      <c r="DH7" s="404" t="s">
        <v>2212</v>
      </c>
      <c r="DI7" s="404" t="s">
        <v>2202</v>
      </c>
      <c r="DJ7" s="404" t="s">
        <v>2212</v>
      </c>
      <c r="DK7" s="404" t="s">
        <v>2226</v>
      </c>
      <c r="DL7" s="404" t="s">
        <v>2231</v>
      </c>
      <c r="DN7" s="165" t="s">
        <v>125</v>
      </c>
      <c r="DO7" s="165" t="s">
        <v>125</v>
      </c>
      <c r="DT7" s="446" t="s">
        <v>1434</v>
      </c>
      <c r="DU7" s="446" t="s">
        <v>1434</v>
      </c>
      <c r="DW7" s="137" t="s">
        <v>992</v>
      </c>
      <c r="DX7" s="137" t="s">
        <v>2570</v>
      </c>
      <c r="ED7" s="137" t="s">
        <v>3057</v>
      </c>
      <c r="EE7" s="137" t="s">
        <v>3153</v>
      </c>
    </row>
    <row r="8" spans="1:135" x14ac:dyDescent="0.3">
      <c r="A8" s="446" t="str">
        <f>'Translate &amp; Prices'!B11</f>
        <v>BRW broušené</v>
      </c>
      <c r="B8" s="137">
        <v>1</v>
      </c>
      <c r="C8" s="137" t="s">
        <v>1222</v>
      </c>
      <c r="D8" s="137">
        <v>0</v>
      </c>
      <c r="G8" s="137" t="s">
        <v>2084</v>
      </c>
      <c r="H8" s="137" t="s">
        <v>714</v>
      </c>
      <c r="I8" s="137">
        <v>0</v>
      </c>
      <c r="J8" s="137">
        <v>2</v>
      </c>
      <c r="K8" s="137" t="s">
        <v>1222</v>
      </c>
      <c r="Q8" s="446" t="str">
        <f>'Translate &amp; Prices'!$B$90</f>
        <v>Satinato grafit</v>
      </c>
      <c r="R8" s="446" t="str">
        <f>'Translate &amp; Prices'!$B$100</f>
        <v>Zrcadlo grafit</v>
      </c>
      <c r="S8" s="446" t="str">
        <f>'Translate &amp; Prices'!$B$90</f>
        <v>Satinato grafit</v>
      </c>
      <c r="U8" s="446" t="str">
        <f>'Translate &amp; Prices'!$B$110</f>
        <v>Lacobel RAL 1014</v>
      </c>
      <c r="V8" s="446" t="str">
        <f>'Translate &amp; Prices'!$B$110</f>
        <v>Lacobel RAL 1014</v>
      </c>
      <c r="AA8" s="137" t="s">
        <v>2087</v>
      </c>
      <c r="AB8" s="137" t="s">
        <v>2278</v>
      </c>
      <c r="AC8" s="137">
        <v>0</v>
      </c>
      <c r="AD8" s="137">
        <v>0</v>
      </c>
      <c r="AF8" s="407" t="s">
        <v>246</v>
      </c>
      <c r="AG8" s="407" t="s">
        <v>2097</v>
      </c>
      <c r="AY8" s="137" t="s">
        <v>2117</v>
      </c>
      <c r="AZ8" s="137" t="s">
        <v>2158</v>
      </c>
      <c r="BV8" s="137" t="s">
        <v>2170</v>
      </c>
      <c r="BW8" s="137" t="s">
        <v>2173</v>
      </c>
      <c r="BY8" s="137">
        <v>2</v>
      </c>
      <c r="CA8" s="137">
        <v>160</v>
      </c>
      <c r="CD8" s="137" t="s">
        <v>2274</v>
      </c>
      <c r="CE8" s="137">
        <v>1</v>
      </c>
      <c r="CF8" s="137">
        <v>0</v>
      </c>
      <c r="CG8" s="404"/>
      <c r="CH8" s="404"/>
      <c r="CI8" s="404"/>
      <c r="CJ8" s="404"/>
      <c r="CK8" s="404" t="s">
        <v>2641</v>
      </c>
      <c r="CL8" s="404" t="s">
        <v>2646</v>
      </c>
      <c r="CM8" s="404" t="s">
        <v>2641</v>
      </c>
      <c r="CN8" s="404" t="s">
        <v>2646</v>
      </c>
      <c r="CO8" s="404" t="s">
        <v>2641</v>
      </c>
      <c r="CP8" s="404" t="s">
        <v>2646</v>
      </c>
      <c r="CQ8" s="404" t="s">
        <v>2224</v>
      </c>
      <c r="CR8" s="404" t="s">
        <v>2232</v>
      </c>
      <c r="CS8" s="404" t="s">
        <v>2224</v>
      </c>
      <c r="CT8" s="404" t="s">
        <v>2232</v>
      </c>
      <c r="CU8" s="404" t="s">
        <v>2641</v>
      </c>
      <c r="CV8" s="404" t="s">
        <v>2646</v>
      </c>
      <c r="CW8" s="404"/>
      <c r="CX8" s="404" t="s">
        <v>2233</v>
      </c>
      <c r="CY8" s="404" t="s">
        <v>2641</v>
      </c>
      <c r="CZ8" s="404" t="s">
        <v>2646</v>
      </c>
      <c r="DA8" s="404"/>
      <c r="DB8" s="404" t="s">
        <v>2233</v>
      </c>
      <c r="DC8" s="404"/>
      <c r="DD8" s="404" t="s">
        <v>2233</v>
      </c>
      <c r="DE8" s="404"/>
      <c r="DF8" s="404" t="s">
        <v>2233</v>
      </c>
      <c r="DG8" s="404" t="s">
        <v>2641</v>
      </c>
      <c r="DH8" s="404" t="s">
        <v>2646</v>
      </c>
      <c r="DI8" s="404" t="s">
        <v>2641</v>
      </c>
      <c r="DJ8" s="404" t="s">
        <v>2646</v>
      </c>
      <c r="DK8" s="404"/>
      <c r="DL8" s="404" t="s">
        <v>2233</v>
      </c>
      <c r="DN8" s="165" t="s">
        <v>126</v>
      </c>
      <c r="DO8" s="165" t="s">
        <v>126</v>
      </c>
      <c r="DT8" s="446" t="s">
        <v>1435</v>
      </c>
      <c r="DU8" s="446" t="s">
        <v>1723</v>
      </c>
      <c r="DW8" s="137" t="s">
        <v>1648</v>
      </c>
      <c r="DX8" s="137" t="s">
        <v>2571</v>
      </c>
      <c r="ED8" s="137" t="s">
        <v>3058</v>
      </c>
      <c r="EE8" s="137" t="s">
        <v>3154</v>
      </c>
    </row>
    <row r="9" spans="1:135" x14ac:dyDescent="0.3">
      <c r="A9" s="446" t="str">
        <f>'Translate &amp; Prices'!B12</f>
        <v>BRW černá mat</v>
      </c>
      <c r="B9" s="137">
        <v>1</v>
      </c>
      <c r="C9" s="137" t="s">
        <v>1222</v>
      </c>
      <c r="D9" s="137">
        <v>1</v>
      </c>
      <c r="Q9" s="446" t="str">
        <f>'Translate &amp; Prices'!$B$91</f>
        <v>Screen</v>
      </c>
      <c r="R9" s="446" t="str">
        <f>'Translate &amp; Prices'!$B$105</f>
        <v>Master  Ligne</v>
      </c>
      <c r="S9" s="446" t="str">
        <f>'Translate &amp; Prices'!$B$91</f>
        <v>Screen</v>
      </c>
      <c r="U9" s="446" t="str">
        <f>'Translate &amp; Prices'!$B$111</f>
        <v>Lacobel RAL 1015</v>
      </c>
      <c r="V9" s="446" t="str">
        <f>'Translate &amp; Prices'!$B$111</f>
        <v>Lacobel RAL 1015</v>
      </c>
      <c r="AB9" s="137" t="s">
        <v>2279</v>
      </c>
      <c r="AC9" s="137">
        <v>0</v>
      </c>
      <c r="AD9" s="137">
        <v>0</v>
      </c>
      <c r="AF9" s="410" t="s">
        <v>245</v>
      </c>
      <c r="AG9" s="410" t="s">
        <v>2100</v>
      </c>
      <c r="AY9" s="137" t="s">
        <v>2087</v>
      </c>
      <c r="BV9" s="137" t="s">
        <v>2171</v>
      </c>
      <c r="BW9" s="137" t="s">
        <v>2174</v>
      </c>
      <c r="BY9" s="137">
        <v>3</v>
      </c>
      <c r="CA9" s="137">
        <v>192</v>
      </c>
      <c r="CD9" s="137" t="s">
        <v>2107</v>
      </c>
      <c r="CE9" s="137">
        <v>1</v>
      </c>
      <c r="CF9" s="137">
        <v>0</v>
      </c>
      <c r="CG9" s="404"/>
      <c r="CH9" s="404"/>
      <c r="CI9" s="404"/>
      <c r="CJ9" s="404"/>
      <c r="CK9" s="404" t="s">
        <v>2642</v>
      </c>
      <c r="CL9" s="404" t="s">
        <v>2214</v>
      </c>
      <c r="CM9" s="404" t="s">
        <v>2642</v>
      </c>
      <c r="CN9" s="404" t="s">
        <v>2214</v>
      </c>
      <c r="CO9" s="404" t="s">
        <v>2642</v>
      </c>
      <c r="CP9" s="404" t="s">
        <v>2214</v>
      </c>
      <c r="CQ9" s="404" t="s">
        <v>2225</v>
      </c>
      <c r="CR9" s="404" t="s">
        <v>2233</v>
      </c>
      <c r="CS9" s="404" t="s">
        <v>2225</v>
      </c>
      <c r="CT9" s="404" t="s">
        <v>2233</v>
      </c>
      <c r="CU9" s="404" t="s">
        <v>2642</v>
      </c>
      <c r="CV9" s="404" t="s">
        <v>2214</v>
      </c>
      <c r="CW9" s="404"/>
      <c r="CX9" s="404"/>
      <c r="CY9" s="404" t="s">
        <v>2642</v>
      </c>
      <c r="CZ9" s="404" t="s">
        <v>2214</v>
      </c>
      <c r="DA9" s="404"/>
      <c r="DB9" s="404"/>
      <c r="DC9" s="404"/>
      <c r="DD9" s="404"/>
      <c r="DE9" s="404"/>
      <c r="DF9" s="404"/>
      <c r="DG9" s="404" t="s">
        <v>2642</v>
      </c>
      <c r="DH9" s="404" t="s">
        <v>2214</v>
      </c>
      <c r="DI9" s="404" t="s">
        <v>2642</v>
      </c>
      <c r="DJ9" s="404" t="s">
        <v>2214</v>
      </c>
      <c r="DK9" s="404"/>
      <c r="DL9" s="404"/>
      <c r="DN9" s="165" t="s">
        <v>127</v>
      </c>
      <c r="DO9" s="165" t="s">
        <v>127</v>
      </c>
      <c r="DT9" s="446" t="s">
        <v>723</v>
      </c>
      <c r="DU9" s="446" t="s">
        <v>723</v>
      </c>
      <c r="DW9" s="137" t="s">
        <v>996</v>
      </c>
      <c r="DX9" s="137" t="s">
        <v>998</v>
      </c>
      <c r="ED9" s="137" t="s">
        <v>3059</v>
      </c>
      <c r="EE9" s="137" t="s">
        <v>3155</v>
      </c>
    </row>
    <row r="10" spans="1:135" x14ac:dyDescent="0.3">
      <c r="A10" s="446" t="str">
        <f>'Translate &amp; Prices'!B14</f>
        <v>BRW černá broušená</v>
      </c>
      <c r="B10" s="137">
        <v>1</v>
      </c>
      <c r="C10" s="137" t="s">
        <v>1222</v>
      </c>
      <c r="D10" s="137">
        <v>0</v>
      </c>
      <c r="Q10" s="446" t="str">
        <f>'Translate &amp; Prices'!$B$92</f>
        <v>Venus VG10</v>
      </c>
      <c r="R10" s="446" t="str">
        <f>'Translate &amp; Prices'!$B$106</f>
        <v>Master  Point</v>
      </c>
      <c r="S10" s="446" t="str">
        <f>'Translate &amp; Prices'!$B$92</f>
        <v>Venus VG10</v>
      </c>
      <c r="U10" s="446" t="str">
        <f>'Translate &amp; Prices'!$B$112</f>
        <v>Lacobel RAL 2001</v>
      </c>
      <c r="V10" s="446" t="str">
        <f>'Translate &amp; Prices'!$B$112</f>
        <v>Lacobel RAL 2001</v>
      </c>
      <c r="AF10" s="410" t="s">
        <v>246</v>
      </c>
      <c r="AG10" s="410" t="s">
        <v>2100</v>
      </c>
      <c r="AY10" s="137" t="s">
        <v>2087</v>
      </c>
      <c r="AZ10" s="137" t="s">
        <v>2159</v>
      </c>
      <c r="BY10" s="137">
        <v>4</v>
      </c>
      <c r="CA10" s="137">
        <v>224</v>
      </c>
      <c r="CD10" s="137" t="s">
        <v>2108</v>
      </c>
      <c r="CE10" s="137">
        <v>1</v>
      </c>
      <c r="CF10" s="137">
        <v>0</v>
      </c>
      <c r="CG10" s="404"/>
      <c r="CH10" s="404"/>
      <c r="CI10" s="404"/>
      <c r="CJ10" s="404"/>
      <c r="CK10" s="404" t="s">
        <v>2205</v>
      </c>
      <c r="CL10" s="404" t="s">
        <v>2647</v>
      </c>
      <c r="CM10" s="404" t="s">
        <v>2205</v>
      </c>
      <c r="CN10" s="404" t="s">
        <v>2647</v>
      </c>
      <c r="CO10" s="404" t="s">
        <v>2205</v>
      </c>
      <c r="CP10" s="404" t="s">
        <v>2647</v>
      </c>
      <c r="CQ10" s="404" t="s">
        <v>2226</v>
      </c>
      <c r="CR10" s="404" t="s">
        <v>2234</v>
      </c>
      <c r="CS10" s="404" t="s">
        <v>2226</v>
      </c>
      <c r="CT10" s="404" t="s">
        <v>2234</v>
      </c>
      <c r="CU10" s="404" t="s">
        <v>2205</v>
      </c>
      <c r="CV10" s="404" t="s">
        <v>2647</v>
      </c>
      <c r="CW10" s="404"/>
      <c r="CX10" s="404"/>
      <c r="CY10" s="404" t="s">
        <v>2205</v>
      </c>
      <c r="CZ10" s="404" t="s">
        <v>2647</v>
      </c>
      <c r="DA10" s="404"/>
      <c r="DB10" s="404"/>
      <c r="DC10" s="404"/>
      <c r="DD10" s="404"/>
      <c r="DE10" s="404"/>
      <c r="DF10" s="404"/>
      <c r="DG10" s="404" t="s">
        <v>2205</v>
      </c>
      <c r="DH10" s="404" t="s">
        <v>2647</v>
      </c>
      <c r="DI10" s="404" t="s">
        <v>2205</v>
      </c>
      <c r="DJ10" s="404" t="s">
        <v>2647</v>
      </c>
      <c r="DK10" s="404"/>
      <c r="DL10" s="404"/>
      <c r="DN10" s="166" t="s">
        <v>125</v>
      </c>
      <c r="DO10" s="165" t="s">
        <v>125</v>
      </c>
      <c r="DT10" s="446" t="s">
        <v>721</v>
      </c>
      <c r="DU10" s="446" t="s">
        <v>1727</v>
      </c>
      <c r="DW10" s="137" t="s">
        <v>1412</v>
      </c>
      <c r="DX10" s="137" t="s">
        <v>1414</v>
      </c>
      <c r="ED10" s="137" t="s">
        <v>3060</v>
      </c>
      <c r="EE10" s="137" t="s">
        <v>3156</v>
      </c>
    </row>
    <row r="11" spans="1:135" x14ac:dyDescent="0.3">
      <c r="A11" s="446" t="str">
        <f>'Translate &amp; Prices'!B15</f>
        <v>BRW světlá nerez (ACIER GRATA)</v>
      </c>
      <c r="B11" s="137">
        <v>1</v>
      </c>
      <c r="C11" s="137" t="s">
        <v>1222</v>
      </c>
      <c r="D11" s="137">
        <v>0</v>
      </c>
      <c r="Q11" s="446" t="str">
        <f>'Translate &amp; Prices'!$B$93</f>
        <v>Stopsol bronz</v>
      </c>
      <c r="R11" s="446" t="str">
        <f>'Translate &amp; Prices'!$B$108</f>
        <v>Master  Shine</v>
      </c>
      <c r="S11" s="446" t="str">
        <f>'Translate &amp; Prices'!$B$93</f>
        <v>Stopsol bronz</v>
      </c>
      <c r="U11" s="446" t="str">
        <f>'Translate &amp; Prices'!$B$113</f>
        <v>Lacobel RAL 3004</v>
      </c>
      <c r="V11" s="446" t="str">
        <f>'Translate &amp; Prices'!$B$113</f>
        <v>Lacobel RAL 3004</v>
      </c>
      <c r="AF11" s="407" t="s">
        <v>245</v>
      </c>
      <c r="AG11" s="407" t="s">
        <v>2102</v>
      </c>
      <c r="AY11" s="137" t="s">
        <v>2087</v>
      </c>
      <c r="AZ11" s="137" t="s">
        <v>2160</v>
      </c>
      <c r="BY11" s="137">
        <v>5</v>
      </c>
      <c r="CA11" s="137">
        <v>240</v>
      </c>
      <c r="CD11" s="137" t="s">
        <v>2269</v>
      </c>
      <c r="CE11" s="137">
        <v>1</v>
      </c>
      <c r="CF11" s="137">
        <v>0</v>
      </c>
      <c r="CG11" s="404"/>
      <c r="CH11" s="404"/>
      <c r="CI11" s="404"/>
      <c r="CJ11" s="404"/>
      <c r="CK11" s="404" t="s">
        <v>2643</v>
      </c>
      <c r="CL11" s="404"/>
      <c r="CM11" s="404" t="s">
        <v>2643</v>
      </c>
      <c r="CN11" s="404"/>
      <c r="CO11" s="404" t="s">
        <v>2643</v>
      </c>
      <c r="CP11" s="404"/>
      <c r="CQ11" s="404" t="s">
        <v>2227</v>
      </c>
      <c r="CR11" s="404"/>
      <c r="CS11" s="404" t="s">
        <v>2227</v>
      </c>
      <c r="CT11" s="404"/>
      <c r="CU11" s="404" t="s">
        <v>2643</v>
      </c>
      <c r="CV11" s="404"/>
      <c r="CW11" s="404"/>
      <c r="CX11" s="404"/>
      <c r="CY11" s="404" t="s">
        <v>2643</v>
      </c>
      <c r="CZ11" s="404"/>
      <c r="DA11" s="404"/>
      <c r="DB11" s="404"/>
      <c r="DC11" s="404"/>
      <c r="DD11" s="404"/>
      <c r="DE11" s="404"/>
      <c r="DF11" s="404"/>
      <c r="DG11" s="404" t="s">
        <v>2643</v>
      </c>
      <c r="DH11" s="404"/>
      <c r="DI11" s="404" t="s">
        <v>2643</v>
      </c>
      <c r="DJ11" s="404"/>
      <c r="DK11" s="404"/>
      <c r="DL11" s="404"/>
      <c r="DN11" s="166" t="s">
        <v>126</v>
      </c>
      <c r="DO11" s="165" t="s">
        <v>126</v>
      </c>
      <c r="DT11" s="446" t="s">
        <v>733</v>
      </c>
      <c r="DU11" s="446" t="s">
        <v>2592</v>
      </c>
      <c r="DW11" s="137" t="s">
        <v>42</v>
      </c>
      <c r="DX11" s="137" t="s">
        <v>2572</v>
      </c>
      <c r="ED11" s="137" t="s">
        <v>3061</v>
      </c>
      <c r="EE11" s="137" t="s">
        <v>3157</v>
      </c>
    </row>
    <row r="12" spans="1:135" x14ac:dyDescent="0.3">
      <c r="A12" s="446" t="str">
        <f>'Translate &amp; Prices'!B16</f>
        <v>BRW champagne</v>
      </c>
      <c r="B12" s="137">
        <v>1</v>
      </c>
      <c r="C12" s="137" t="s">
        <v>1222</v>
      </c>
      <c r="D12" s="137">
        <v>0</v>
      </c>
      <c r="Q12" s="446" t="str">
        <f>'Translate &amp; Prices'!$B$94</f>
        <v>Lakomat</v>
      </c>
      <c r="R12" s="446" t="str">
        <f>'Translate &amp; Prices'!$B$109</f>
        <v>Lacobel RAL 1013</v>
      </c>
      <c r="S12" s="446" t="str">
        <f>'Translate &amp; Prices'!$B$96</f>
        <v>Antisol bronz</v>
      </c>
      <c r="U12" s="446" t="str">
        <f>'Translate &amp; Prices'!$B$114</f>
        <v>Lacobel RAL 4006</v>
      </c>
      <c r="V12" s="446" t="str">
        <f>'Translate &amp; Prices'!$B$114</f>
        <v>Lacobel RAL 4006</v>
      </c>
      <c r="AF12" s="407" t="s">
        <v>246</v>
      </c>
      <c r="AG12" s="407" t="s">
        <v>2102</v>
      </c>
      <c r="AY12" s="137" t="s">
        <v>2087</v>
      </c>
      <c r="AZ12" s="137" t="s">
        <v>2161</v>
      </c>
      <c r="BY12" s="137">
        <v>6</v>
      </c>
      <c r="CA12" s="137">
        <v>256</v>
      </c>
      <c r="CD12" s="137" t="s">
        <v>2111</v>
      </c>
      <c r="CE12" s="137">
        <v>1</v>
      </c>
      <c r="CF12" s="137">
        <v>0</v>
      </c>
      <c r="CG12" s="404"/>
      <c r="CH12" s="404"/>
      <c r="CI12" s="404"/>
      <c r="CJ12" s="404"/>
      <c r="CK12" s="404" t="s">
        <v>2644</v>
      </c>
      <c r="CL12" s="404"/>
      <c r="CM12" s="404" t="s">
        <v>2644</v>
      </c>
      <c r="CN12" s="404"/>
      <c r="CO12" s="404" t="s">
        <v>2644</v>
      </c>
      <c r="CP12" s="404"/>
      <c r="CQ12" s="404" t="s">
        <v>2228</v>
      </c>
      <c r="CR12" s="404"/>
      <c r="CS12" s="404" t="s">
        <v>2228</v>
      </c>
      <c r="CT12" s="404"/>
      <c r="CU12" s="404" t="s">
        <v>2644</v>
      </c>
      <c r="CV12" s="404"/>
      <c r="CW12" s="404"/>
      <c r="CX12" s="404"/>
      <c r="CY12" s="404" t="s">
        <v>2644</v>
      </c>
      <c r="CZ12" s="404"/>
      <c r="DA12" s="404"/>
      <c r="DB12" s="404"/>
      <c r="DC12" s="404"/>
      <c r="DD12" s="404"/>
      <c r="DE12" s="404"/>
      <c r="DF12" s="404"/>
      <c r="DG12" s="404" t="s">
        <v>2644</v>
      </c>
      <c r="DH12" s="404"/>
      <c r="DI12" s="404" t="s">
        <v>2644</v>
      </c>
      <c r="DJ12" s="404"/>
      <c r="DK12" s="404"/>
      <c r="DL12" s="404"/>
      <c r="DN12" s="166" t="s">
        <v>127</v>
      </c>
      <c r="DO12" s="165" t="s">
        <v>127</v>
      </c>
      <c r="DT12" s="446" t="s">
        <v>734</v>
      </c>
      <c r="DU12" s="446" t="s">
        <v>734</v>
      </c>
      <c r="DW12" s="137" t="s">
        <v>1416</v>
      </c>
      <c r="DX12" s="137" t="s">
        <v>2573</v>
      </c>
      <c r="ED12" s="137" t="s">
        <v>3062</v>
      </c>
      <c r="EE12" s="137" t="s">
        <v>3158</v>
      </c>
    </row>
    <row r="13" spans="1:135" x14ac:dyDescent="0.3">
      <c r="A13" s="446" t="str">
        <f>'Translate &amp; Prices'!B17</f>
        <v>BRW tmavá nerez br. (Inox lija)</v>
      </c>
      <c r="B13" s="137">
        <v>1</v>
      </c>
      <c r="C13" s="137" t="s">
        <v>1222</v>
      </c>
      <c r="D13" s="137">
        <v>0</v>
      </c>
      <c r="Q13" s="446" t="str">
        <f>'Translate &amp; Prices'!$B$95</f>
        <v>Pisek</v>
      </c>
      <c r="R13" s="446" t="str">
        <f>'Translate &amp; Prices'!$B$110</f>
        <v>Lacobel RAL 1014</v>
      </c>
      <c r="S13" s="446" t="str">
        <f>'Translate &amp; Prices'!$B$97</f>
        <v>Antisol grafit</v>
      </c>
      <c r="U13" s="446" t="str">
        <f>'Translate &amp; Prices'!$B$115</f>
        <v>Lacobel RAL 5002</v>
      </c>
      <c r="V13" s="446" t="str">
        <f>'Translate &amp; Prices'!$B$115</f>
        <v>Lacobel RAL 5002</v>
      </c>
      <c r="AF13" s="410" t="s">
        <v>245</v>
      </c>
      <c r="AG13" s="410" t="s">
        <v>2105</v>
      </c>
      <c r="AY13" s="137" t="s">
        <v>2087</v>
      </c>
      <c r="AZ13" s="137" t="s">
        <v>2162</v>
      </c>
      <c r="BY13" s="137" t="str">
        <f>'Translate &amp; Prices'!$B$537</f>
        <v>Ne</v>
      </c>
      <c r="BZ13" s="137">
        <v>0</v>
      </c>
      <c r="CA13" s="137">
        <v>288</v>
      </c>
      <c r="CD13" s="137" t="s">
        <v>2268</v>
      </c>
      <c r="CE13" s="137">
        <v>1</v>
      </c>
      <c r="CF13" s="137">
        <v>0</v>
      </c>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N13" s="166" t="s">
        <v>492</v>
      </c>
      <c r="DO13" s="165" t="s">
        <v>125</v>
      </c>
      <c r="DT13" s="446" t="s">
        <v>724</v>
      </c>
      <c r="DU13" s="446" t="s">
        <v>726</v>
      </c>
      <c r="DW13" s="137" t="s">
        <v>2984</v>
      </c>
      <c r="DX13" s="137" t="s">
        <v>2985</v>
      </c>
      <c r="ED13" s="137" t="s">
        <v>3063</v>
      </c>
      <c r="EE13" s="137" t="s">
        <v>3159</v>
      </c>
    </row>
    <row r="14" spans="1:135" x14ac:dyDescent="0.3">
      <c r="A14" s="137" t="str">
        <f>'Translate &amp; Prices'!$B$13</f>
        <v>BRW zlatá</v>
      </c>
      <c r="B14" s="137">
        <v>1</v>
      </c>
      <c r="C14" s="137" t="s">
        <v>1222</v>
      </c>
      <c r="D14" s="137">
        <v>0</v>
      </c>
      <c r="F14" s="404" t="str">
        <f>'Translate &amp; Prices'!$B$61</f>
        <v>Siena (Vlevo a vpravo) + Varna (Nahoře a dole)</v>
      </c>
      <c r="Q14" s="446" t="str">
        <f>'Translate &amp; Prices'!$B$96</f>
        <v>Antisol bronz</v>
      </c>
      <c r="R14" s="446" t="str">
        <f>'Translate &amp; Prices'!$B$111</f>
        <v>Lacobel RAL 1015</v>
      </c>
      <c r="S14" s="446" t="str">
        <f>'Translate &amp; Prices'!$B$102</f>
        <v>Krizet</v>
      </c>
      <c r="U14" s="446" t="str">
        <f>'Translate &amp; Prices'!$B$116</f>
        <v>Lacobel RAL 7035</v>
      </c>
      <c r="V14" s="446" t="str">
        <f>'Translate &amp; Prices'!$B$116</f>
        <v>Lacobel RAL 7035</v>
      </c>
      <c r="AA14" s="137" t="s">
        <v>2099</v>
      </c>
      <c r="AB14" s="137" t="s">
        <v>2148</v>
      </c>
      <c r="AF14" s="410" t="s">
        <v>246</v>
      </c>
      <c r="AG14" s="410" t="s">
        <v>2105</v>
      </c>
      <c r="AY14" s="137" t="s">
        <v>2087</v>
      </c>
      <c r="AZ14" s="137" t="s">
        <v>2163</v>
      </c>
      <c r="BY14" s="137" t="str">
        <f>'Translate &amp; Prices'!$B$538</f>
        <v>Horizontálně</v>
      </c>
      <c r="BZ14" s="137">
        <v>1</v>
      </c>
      <c r="CA14" s="137">
        <v>320</v>
      </c>
      <c r="CD14" s="137" t="s">
        <v>2113</v>
      </c>
      <c r="CE14" s="137">
        <v>1</v>
      </c>
      <c r="CF14" s="137">
        <v>0</v>
      </c>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4"/>
      <c r="DF14" s="404"/>
      <c r="DG14" s="404"/>
      <c r="DH14" s="404"/>
      <c r="DI14" s="404"/>
      <c r="DJ14" s="404"/>
      <c r="DK14" s="404"/>
      <c r="DL14" s="404"/>
      <c r="DN14" s="166" t="s">
        <v>493</v>
      </c>
      <c r="DO14" s="165" t="s">
        <v>126</v>
      </c>
      <c r="DT14" s="446" t="s">
        <v>1688</v>
      </c>
      <c r="DU14" s="446" t="s">
        <v>1724</v>
      </c>
      <c r="DW14" s="137" t="s">
        <v>1000</v>
      </c>
      <c r="DX14" s="137" t="s">
        <v>1000</v>
      </c>
      <c r="ED14" s="137" t="s">
        <v>3064</v>
      </c>
      <c r="EE14" s="137" t="s">
        <v>3160</v>
      </c>
    </row>
    <row r="15" spans="1:135" x14ac:dyDescent="0.3">
      <c r="A15" s="446" t="str">
        <f>'Translate &amp; Prices'!B18</f>
        <v>Corleone (elox.)</v>
      </c>
      <c r="B15" s="137">
        <v>2</v>
      </c>
      <c r="C15" s="137" t="s">
        <v>1222</v>
      </c>
      <c r="D15" s="137">
        <v>0</v>
      </c>
      <c r="F15" s="404" t="str">
        <f>'Translate &amp; Prices'!$B$63</f>
        <v>Siena černá (Vlevo a vpravo) + Varna černá (Nahoře a dole)</v>
      </c>
      <c r="Q15" s="446" t="str">
        <f>'Translate &amp; Prices'!$B$97</f>
        <v>Antisol grafit</v>
      </c>
      <c r="R15" s="446" t="str">
        <f>'Translate &amp; Prices'!$B$112</f>
        <v>Lacobel RAL 2001</v>
      </c>
      <c r="S15" s="446" t="str">
        <f>'Translate &amp; Prices'!$B$103</f>
        <v>Master (Carre)</v>
      </c>
      <c r="U15" s="446" t="str">
        <f>'Translate &amp; Prices'!$B$117</f>
        <v>Lacobel RAL 8017</v>
      </c>
      <c r="V15" s="446" t="str">
        <f>'Translate &amp; Prices'!$B$117</f>
        <v>Lacobel RAL 8017</v>
      </c>
      <c r="AA15" s="137" t="s">
        <v>2099</v>
      </c>
      <c r="AB15" s="137" t="s">
        <v>2097</v>
      </c>
      <c r="AC15" s="137">
        <v>1</v>
      </c>
      <c r="AD15" s="137">
        <v>0</v>
      </c>
      <c r="AF15" s="407" t="s">
        <v>245</v>
      </c>
      <c r="AG15" s="407" t="s">
        <v>2107</v>
      </c>
      <c r="AY15" s="137" t="s">
        <v>1021</v>
      </c>
      <c r="BY15" s="137" t="str">
        <f>'Translate &amp; Prices'!$B$539</f>
        <v>Vertikálně</v>
      </c>
      <c r="BZ15" s="137">
        <v>2</v>
      </c>
      <c r="CA15" s="137">
        <v>384</v>
      </c>
      <c r="CD15" s="137" t="s">
        <v>2114</v>
      </c>
      <c r="CE15" s="137">
        <v>1</v>
      </c>
      <c r="CF15" s="137">
        <v>0</v>
      </c>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N15" s="166" t="s">
        <v>2348</v>
      </c>
      <c r="DO15" s="165" t="s">
        <v>127</v>
      </c>
      <c r="DT15" s="446" t="s">
        <v>1689</v>
      </c>
      <c r="DU15" s="446" t="s">
        <v>1691</v>
      </c>
      <c r="DW15" s="137" t="s">
        <v>1682</v>
      </c>
      <c r="DX15" s="137" t="s">
        <v>2574</v>
      </c>
      <c r="ED15" s="137" t="s">
        <v>3065</v>
      </c>
      <c r="EE15" s="137" t="s">
        <v>3161</v>
      </c>
    </row>
    <row r="16" spans="1:135" x14ac:dyDescent="0.3">
      <c r="A16" s="446" t="str">
        <f>'Translate &amp; Prices'!B19</f>
        <v>Corleone černé mat</v>
      </c>
      <c r="B16" s="137">
        <v>2</v>
      </c>
      <c r="C16" s="137" t="s">
        <v>1222</v>
      </c>
      <c r="D16" s="137">
        <v>0</v>
      </c>
      <c r="F16" s="404" t="str">
        <f>'Translate &amp; Prices'!$B$65</f>
        <v>Palio (Vlevo a vpravo) + Varna (Nahoře a dole)</v>
      </c>
      <c r="Q16" s="446" t="str">
        <f>'Translate &amp; Prices'!$B$98</f>
        <v>Zrcadlo</v>
      </c>
      <c r="R16" s="446" t="str">
        <f>'Translate &amp; Prices'!$B$113</f>
        <v>Lacobel RAL 3004</v>
      </c>
      <c r="S16" s="446" t="str">
        <f>'Translate &amp; Prices'!$B$104</f>
        <v xml:space="preserve">Master  Lens </v>
      </c>
      <c r="U16" s="446" t="str">
        <f>'Translate &amp; Prices'!$B$118</f>
        <v>Lacobel RAL 9003</v>
      </c>
      <c r="V16" s="446" t="str">
        <f>'Translate &amp; Prices'!$B$118</f>
        <v>Lacobel RAL 9003</v>
      </c>
      <c r="AA16" s="137" t="s">
        <v>2099</v>
      </c>
      <c r="AB16" s="137" t="s">
        <v>2100</v>
      </c>
      <c r="AC16" s="137">
        <v>1</v>
      </c>
      <c r="AD16" s="137">
        <v>1</v>
      </c>
      <c r="AF16" s="407" t="s">
        <v>246</v>
      </c>
      <c r="AG16" s="407" t="s">
        <v>2107</v>
      </c>
      <c r="AY16" s="137" t="s">
        <v>1021</v>
      </c>
      <c r="AZ16" s="137" t="s">
        <v>2164</v>
      </c>
      <c r="BY16" s="137" t="str">
        <f>'Translate &amp; Prices'!$B$540</f>
        <v>Horizontálně i Vertikálně</v>
      </c>
      <c r="BZ16" s="137">
        <v>3</v>
      </c>
      <c r="CA16" s="137">
        <v>448</v>
      </c>
      <c r="CD16" s="137" t="s">
        <v>2638</v>
      </c>
      <c r="CE16" s="137">
        <v>1</v>
      </c>
      <c r="CF16" s="137">
        <v>1</v>
      </c>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4"/>
      <c r="DF16" s="404"/>
      <c r="DG16" s="404"/>
      <c r="DH16" s="404"/>
      <c r="DI16" s="404"/>
      <c r="DJ16" s="404"/>
      <c r="DK16" s="404"/>
      <c r="DL16" s="404"/>
      <c r="DN16" s="166" t="s">
        <v>568</v>
      </c>
      <c r="DO16" s="165" t="s">
        <v>125</v>
      </c>
      <c r="DT16" s="446" t="s">
        <v>1693</v>
      </c>
      <c r="DU16" s="446" t="s">
        <v>1693</v>
      </c>
      <c r="DW16" s="137" t="s">
        <v>1001</v>
      </c>
      <c r="DX16" s="137" t="s">
        <v>2575</v>
      </c>
      <c r="ED16" s="137" t="s">
        <v>3066</v>
      </c>
      <c r="EE16" s="137" t="s">
        <v>3162</v>
      </c>
    </row>
    <row r="17" spans="1:135" x14ac:dyDescent="0.3">
      <c r="A17" s="446" t="str">
        <f>'Translate &amp; Prices'!B20</f>
        <v>Corleone champagne</v>
      </c>
      <c r="B17" s="137">
        <v>2</v>
      </c>
      <c r="C17" s="137" t="s">
        <v>1222</v>
      </c>
      <c r="D17" s="137">
        <v>0</v>
      </c>
      <c r="F17" s="137" t="str">
        <f>'Translate &amp; Prices'!$B$70</f>
        <v>Palio černá (Vlevo a vpravo) + Varna černá (Nahoře a dole)</v>
      </c>
      <c r="Q17" s="446" t="str">
        <f>'Translate &amp; Prices'!$B$99</f>
        <v>Zrcadlo hnědé</v>
      </c>
      <c r="R17" s="446" t="str">
        <f>'Translate &amp; Prices'!$B$114</f>
        <v>Lacobel RAL 4006</v>
      </c>
      <c r="S17" s="446" t="str">
        <f>'Translate &amp; Prices'!$B$105</f>
        <v>Master  Ligne</v>
      </c>
      <c r="U17" s="446" t="str">
        <f>'Translate &amp; Prices'!$B$119</f>
        <v>Lacobel RAL 9005</v>
      </c>
      <c r="V17" s="446" t="str">
        <f>'Translate &amp; Prices'!$B$119</f>
        <v>Lacobel RAL 9005</v>
      </c>
      <c r="AA17" s="137" t="s">
        <v>2099</v>
      </c>
      <c r="AB17" s="137" t="s">
        <v>2101</v>
      </c>
      <c r="AC17" s="137">
        <v>0</v>
      </c>
      <c r="AD17" s="137">
        <v>0</v>
      </c>
      <c r="AF17" s="410" t="s">
        <v>245</v>
      </c>
      <c r="AG17" s="410" t="s">
        <v>2108</v>
      </c>
      <c r="AY17" s="137" t="s">
        <v>1021</v>
      </c>
      <c r="AZ17" s="137" t="s">
        <v>2165</v>
      </c>
      <c r="CA17" s="137">
        <v>480</v>
      </c>
      <c r="CD17" s="137" t="s">
        <v>2639</v>
      </c>
      <c r="CE17" s="137">
        <v>1</v>
      </c>
      <c r="CF17" s="137">
        <v>1</v>
      </c>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N17" s="166" t="s">
        <v>569</v>
      </c>
      <c r="DO17" s="165" t="s">
        <v>126</v>
      </c>
      <c r="DT17" s="446" t="s">
        <v>727</v>
      </c>
      <c r="DU17" s="446" t="s">
        <v>727</v>
      </c>
      <c r="DW17" s="137" t="s">
        <v>1004</v>
      </c>
      <c r="DX17" s="137" t="s">
        <v>1004</v>
      </c>
      <c r="ED17" s="137" t="s">
        <v>3067</v>
      </c>
      <c r="EE17" s="137" t="s">
        <v>3163</v>
      </c>
    </row>
    <row r="18" spans="1:135" x14ac:dyDescent="0.3">
      <c r="A18" s="446" t="str">
        <f>'Translate &amp; Prices'!B21</f>
        <v>Imola (elox.)</v>
      </c>
      <c r="B18" s="137">
        <v>2</v>
      </c>
      <c r="C18" s="137" t="s">
        <v>2133</v>
      </c>
      <c r="D18" s="137">
        <v>0</v>
      </c>
      <c r="F18" s="404" t="str">
        <f>'Translate &amp; Prices'!$B$67</f>
        <v>Rocca (Vlevo a vpravo) + Varna (Nahoře a dole)</v>
      </c>
      <c r="Q18" s="446" t="str">
        <f>'Translate &amp; Prices'!$B$100</f>
        <v>Zrcadlo grafit</v>
      </c>
      <c r="R18" s="446" t="str">
        <f>'Translate &amp; Prices'!$B$115</f>
        <v>Lacobel RAL 5002</v>
      </c>
      <c r="S18" s="446" t="str">
        <f>'Translate &amp; Prices'!$B$106</f>
        <v>Master  Point</v>
      </c>
      <c r="U18" s="446" t="str">
        <f>'Translate &amp; Prices'!$B$120</f>
        <v>Lacobel RAL 9006</v>
      </c>
      <c r="V18" s="446" t="str">
        <f>'Translate &amp; Prices'!$B$120</f>
        <v>Lacobel RAL 9006</v>
      </c>
      <c r="AA18" s="137" t="s">
        <v>2099</v>
      </c>
      <c r="AB18" s="137" t="s">
        <v>2103</v>
      </c>
      <c r="AC18" s="137">
        <v>0</v>
      </c>
      <c r="AD18" s="137">
        <v>0</v>
      </c>
      <c r="AF18" s="410" t="s">
        <v>246</v>
      </c>
      <c r="AG18" s="410" t="s">
        <v>2108</v>
      </c>
      <c r="AY18" s="137" t="s">
        <v>1021</v>
      </c>
      <c r="AZ18" s="137" t="s">
        <v>2166</v>
      </c>
      <c r="BY18" s="137">
        <v>1</v>
      </c>
      <c r="CA18" s="137">
        <v>576</v>
      </c>
      <c r="CD18" s="137" t="s">
        <v>2119</v>
      </c>
      <c r="CE18" s="137">
        <v>1</v>
      </c>
      <c r="CF18" s="137">
        <v>0</v>
      </c>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N18" s="166" t="s">
        <v>570</v>
      </c>
      <c r="DO18" s="165" t="s">
        <v>127</v>
      </c>
      <c r="DT18" s="446" t="s">
        <v>728</v>
      </c>
      <c r="DU18" s="446" t="s">
        <v>728</v>
      </c>
      <c r="DW18" s="137" t="s">
        <v>1628</v>
      </c>
      <c r="DX18" s="137" t="s">
        <v>2576</v>
      </c>
      <c r="ED18" s="137" t="s">
        <v>3068</v>
      </c>
      <c r="EE18" s="137" t="s">
        <v>3164</v>
      </c>
    </row>
    <row r="19" spans="1:135" x14ac:dyDescent="0.3">
      <c r="A19" s="446" t="str">
        <f>'Translate &amp; Prices'!B22</f>
        <v>Imola černá mat</v>
      </c>
      <c r="B19" s="137">
        <v>2</v>
      </c>
      <c r="C19" s="137" t="s">
        <v>2133</v>
      </c>
      <c r="D19" s="137">
        <v>0</v>
      </c>
      <c r="F19" s="404" t="str">
        <f>'Translate &amp; Prices'!$B$69</f>
        <v>Rocca černá (Vlevo a vpravo) + Varna černá (Nahoře a dole)</v>
      </c>
      <c r="Q19" s="446" t="str">
        <f>'Translate &amp; Prices'!$B$102</f>
        <v>Krizet</v>
      </c>
      <c r="R19" s="446" t="str">
        <f>'Translate &amp; Prices'!$B$116</f>
        <v>Lacobel RAL 7035</v>
      </c>
      <c r="S19" s="446" t="str">
        <f>'Translate &amp; Prices'!$B$108</f>
        <v>Master  Shine</v>
      </c>
      <c r="U19" s="446" t="str">
        <f>'Translate &amp; Prices'!$B$121</f>
        <v>Lacobel RAL 9007</v>
      </c>
      <c r="V19" s="446" t="str">
        <f>'Translate &amp; Prices'!$B$121</f>
        <v>Lacobel RAL 9007</v>
      </c>
      <c r="AA19" s="137" t="s">
        <v>2099</v>
      </c>
      <c r="AB19" s="137" t="s">
        <v>2104</v>
      </c>
      <c r="AC19" s="137">
        <v>0</v>
      </c>
      <c r="AD19" s="137">
        <v>0</v>
      </c>
      <c r="AF19" s="407" t="s">
        <v>245</v>
      </c>
      <c r="AG19" s="407" t="s">
        <v>2110</v>
      </c>
      <c r="AY19" s="137" t="s">
        <v>1021</v>
      </c>
      <c r="AZ19" s="137" t="s">
        <v>2167</v>
      </c>
      <c r="BY19" s="137">
        <v>2</v>
      </c>
      <c r="CA19" s="137">
        <v>672</v>
      </c>
      <c r="DN19" s="137" t="s">
        <v>2970</v>
      </c>
      <c r="DO19" s="137" t="s">
        <v>125</v>
      </c>
      <c r="DT19" s="446" t="s">
        <v>729</v>
      </c>
      <c r="DU19" s="446" t="s">
        <v>729</v>
      </c>
      <c r="DW19" s="137" t="s">
        <v>1677</v>
      </c>
      <c r="DX19" s="137" t="s">
        <v>2577</v>
      </c>
      <c r="ED19" s="137" t="s">
        <v>3069</v>
      </c>
      <c r="EE19" s="137" t="s">
        <v>3165</v>
      </c>
    </row>
    <row r="20" spans="1:135" x14ac:dyDescent="0.3">
      <c r="A20" s="446" t="str">
        <f>'Translate &amp; Prices'!B23</f>
        <v>Imola bílá mat</v>
      </c>
      <c r="B20" s="137">
        <v>2</v>
      </c>
      <c r="C20" s="137" t="s">
        <v>2133</v>
      </c>
      <c r="D20" s="137">
        <v>0</v>
      </c>
      <c r="Q20" s="446" t="str">
        <f>'Translate &amp; Prices'!$B$103</f>
        <v>Master (Carre)</v>
      </c>
      <c r="R20" s="446" t="str">
        <f>'Translate &amp; Prices'!$B$117</f>
        <v>Lacobel RAL 8017</v>
      </c>
      <c r="U20" s="446" t="str">
        <f>'Translate &amp; Prices'!$B$122</f>
        <v>Lacobel RAL 9010</v>
      </c>
      <c r="V20" s="446" t="str">
        <f>'Translate &amp; Prices'!$B$122</f>
        <v>Lacobel RAL 9010</v>
      </c>
      <c r="AA20" s="137" t="s">
        <v>2099</v>
      </c>
      <c r="AB20" s="137" t="s">
        <v>2106</v>
      </c>
      <c r="AC20" s="137">
        <v>0</v>
      </c>
      <c r="AD20" s="137">
        <v>0</v>
      </c>
      <c r="AF20" s="407" t="s">
        <v>246</v>
      </c>
      <c r="AG20" s="407" t="s">
        <v>2110</v>
      </c>
      <c r="AY20" s="137" t="s">
        <v>1021</v>
      </c>
      <c r="AZ20" s="137" t="s">
        <v>2168</v>
      </c>
      <c r="BY20" s="137">
        <v>3</v>
      </c>
      <c r="CA20" s="137">
        <v>736</v>
      </c>
      <c r="DN20" s="137" t="s">
        <v>2803</v>
      </c>
      <c r="DO20" s="137" t="s">
        <v>126</v>
      </c>
      <c r="DT20" s="446" t="s">
        <v>730</v>
      </c>
      <c r="DU20" s="446" t="s">
        <v>730</v>
      </c>
      <c r="DW20" s="137" t="s">
        <v>2996</v>
      </c>
      <c r="DX20" s="137" t="s">
        <v>2997</v>
      </c>
      <c r="ED20" s="137" t="s">
        <v>3070</v>
      </c>
      <c r="EE20" s="137" t="s">
        <v>3166</v>
      </c>
    </row>
    <row r="21" spans="1:135" x14ac:dyDescent="0.3">
      <c r="A21" s="137" t="str">
        <f>'Translate &amp; Prices'!$B$47</f>
        <v>Imola zlatá</v>
      </c>
      <c r="B21" s="137">
        <v>2</v>
      </c>
      <c r="C21" s="137" t="s">
        <v>2133</v>
      </c>
      <c r="D21" s="137">
        <v>0</v>
      </c>
      <c r="Q21" s="446" t="str">
        <f>'Translate &amp; Prices'!$B$104</f>
        <v xml:space="preserve">Master  Lens </v>
      </c>
      <c r="R21" s="446" t="str">
        <f>'Translate &amp; Prices'!$B$118</f>
        <v>Lacobel RAL 9003</v>
      </c>
      <c r="U21" s="446" t="str">
        <f>'Translate &amp; Prices'!$B$123</f>
        <v>Lacobel REF 0128</v>
      </c>
      <c r="V21" s="446" t="str">
        <f>'Translate &amp; Prices'!$B$123</f>
        <v>Lacobel REF 0128</v>
      </c>
      <c r="AA21" s="137" t="s">
        <v>2099</v>
      </c>
      <c r="AB21" s="137" t="s">
        <v>2102</v>
      </c>
      <c r="AC21" s="137">
        <v>1</v>
      </c>
      <c r="AD21" s="137">
        <v>0</v>
      </c>
      <c r="AF21" s="410" t="s">
        <v>245</v>
      </c>
      <c r="AG21" s="410" t="s">
        <v>2111</v>
      </c>
      <c r="BY21" s="137">
        <v>4</v>
      </c>
      <c r="CA21" s="137">
        <v>768</v>
      </c>
      <c r="DN21" s="137" t="s">
        <v>1847</v>
      </c>
      <c r="DO21" s="137" t="s">
        <v>127</v>
      </c>
      <c r="DT21" s="446" t="s">
        <v>732</v>
      </c>
      <c r="DU21" s="446" t="s">
        <v>732</v>
      </c>
      <c r="DW21" s="137" t="s">
        <v>1005</v>
      </c>
      <c r="DX21" s="137" t="s">
        <v>1005</v>
      </c>
      <c r="ED21" s="137" t="s">
        <v>3071</v>
      </c>
      <c r="EE21" s="137" t="s">
        <v>3167</v>
      </c>
    </row>
    <row r="22" spans="1:135" x14ac:dyDescent="0.3">
      <c r="A22" s="446" t="str">
        <f>'Translate &amp; Prices'!B24</f>
        <v>Modena (elox.)</v>
      </c>
      <c r="B22" s="137">
        <v>2</v>
      </c>
      <c r="C22" s="137" t="s">
        <v>1222</v>
      </c>
      <c r="D22" s="137">
        <v>0</v>
      </c>
      <c r="Q22" s="446" t="str">
        <f>'Translate &amp; Prices'!$B$105</f>
        <v>Master  Ligne</v>
      </c>
      <c r="R22" s="446" t="str">
        <f>'Translate &amp; Prices'!$B$119</f>
        <v>Lacobel RAL 9005</v>
      </c>
      <c r="U22" s="446" t="str">
        <f>'Translate &amp; Prices'!$B$124</f>
        <v>Lacobel REF 0327</v>
      </c>
      <c r="V22" s="446" t="str">
        <f>'Translate &amp; Prices'!$B$124</f>
        <v>Lacobel REF 0327</v>
      </c>
      <c r="AA22" s="137" t="s">
        <v>2099</v>
      </c>
      <c r="AB22" s="137" t="s">
        <v>2274</v>
      </c>
      <c r="AC22" s="137">
        <v>1</v>
      </c>
      <c r="AD22" s="137">
        <v>0</v>
      </c>
      <c r="AF22" s="410" t="s">
        <v>246</v>
      </c>
      <c r="AG22" s="410" t="s">
        <v>2111</v>
      </c>
      <c r="BY22" s="137">
        <v>5</v>
      </c>
      <c r="CA22" s="137">
        <v>832</v>
      </c>
      <c r="DT22" s="446" t="s">
        <v>61</v>
      </c>
      <c r="DU22" s="446" t="s">
        <v>61</v>
      </c>
      <c r="DW22" s="137" t="s">
        <v>1640</v>
      </c>
      <c r="DX22" s="137" t="s">
        <v>2578</v>
      </c>
      <c r="ED22" s="137" t="s">
        <v>3072</v>
      </c>
      <c r="EE22" s="137" t="s">
        <v>3168</v>
      </c>
    </row>
    <row r="23" spans="1:135" x14ac:dyDescent="0.3">
      <c r="A23" s="446" t="str">
        <f>'Translate &amp; Prices'!B25</f>
        <v>Modena černá mat</v>
      </c>
      <c r="B23" s="137">
        <v>2</v>
      </c>
      <c r="C23" s="137" t="s">
        <v>1222</v>
      </c>
      <c r="D23" s="137">
        <v>0</v>
      </c>
      <c r="G23" s="11"/>
      <c r="H23" s="11"/>
      <c r="I23" s="11"/>
      <c r="Q23" s="446" t="str">
        <f>'Translate &amp; Prices'!$B$106</f>
        <v>Master  Point</v>
      </c>
      <c r="R23" s="446" t="str">
        <f>'Translate &amp; Prices'!$B$120</f>
        <v>Lacobel RAL 9006</v>
      </c>
      <c r="U23" s="446" t="str">
        <f>'Translate &amp; Prices'!$B$125</f>
        <v>Lacobel REF 0337</v>
      </c>
      <c r="V23" s="446" t="str">
        <f>'Translate &amp; Prices'!$B$125</f>
        <v>Lacobel REF 0337</v>
      </c>
      <c r="AA23" s="137" t="s">
        <v>2099</v>
      </c>
      <c r="AB23" s="137" t="s">
        <v>2107</v>
      </c>
      <c r="AC23" s="137">
        <v>1</v>
      </c>
      <c r="AD23" s="137">
        <v>0</v>
      </c>
      <c r="AF23" s="407" t="s">
        <v>245</v>
      </c>
      <c r="AG23" s="407" t="s">
        <v>2112</v>
      </c>
      <c r="BY23" s="137">
        <v>6</v>
      </c>
      <c r="CA23" s="137">
        <v>960</v>
      </c>
      <c r="DT23" s="446" t="s">
        <v>62</v>
      </c>
      <c r="DU23" s="446" t="s">
        <v>62</v>
      </c>
      <c r="DW23" s="137" t="s">
        <v>688</v>
      </c>
      <c r="DX23" s="137" t="s">
        <v>690</v>
      </c>
      <c r="ED23" s="137" t="s">
        <v>3073</v>
      </c>
      <c r="EE23" s="137" t="s">
        <v>3169</v>
      </c>
    </row>
    <row r="24" spans="1:135" x14ac:dyDescent="0.3">
      <c r="A24" s="446" t="str">
        <f>'Translate &amp; Prices'!B27</f>
        <v>Modena černá broušená</v>
      </c>
      <c r="B24" s="137">
        <v>2</v>
      </c>
      <c r="C24" s="137" t="s">
        <v>1222</v>
      </c>
      <c r="D24" s="137">
        <v>0</v>
      </c>
      <c r="G24" s="11"/>
      <c r="H24" s="11"/>
      <c r="I24" s="11"/>
      <c r="Q24" s="446" t="str">
        <f>'Translate &amp; Prices'!$B$108</f>
        <v>Master  Shine</v>
      </c>
      <c r="R24" s="446" t="str">
        <f>'Translate &amp; Prices'!$B$121</f>
        <v>Lacobel RAL 9007</v>
      </c>
      <c r="U24" s="446" t="str">
        <f>'Translate &amp; Prices'!$B$126</f>
        <v>Lacobel REF 0627</v>
      </c>
      <c r="V24" s="446" t="str">
        <f>'Translate &amp; Prices'!$B$126</f>
        <v>Lacobel REF 0627</v>
      </c>
      <c r="AF24" s="407" t="s">
        <v>246</v>
      </c>
      <c r="AG24" s="407" t="s">
        <v>2112</v>
      </c>
      <c r="BY24" s="137">
        <v>7</v>
      </c>
      <c r="DT24" s="446" t="s">
        <v>45</v>
      </c>
      <c r="DU24" s="446" t="s">
        <v>45</v>
      </c>
      <c r="DW24" s="137" t="s">
        <v>1418</v>
      </c>
      <c r="DX24" s="137" t="s">
        <v>2579</v>
      </c>
      <c r="ED24" s="137" t="s">
        <v>3074</v>
      </c>
      <c r="EE24" s="137" t="s">
        <v>3170</v>
      </c>
    </row>
    <row r="25" spans="1:135" x14ac:dyDescent="0.3">
      <c r="A25" s="446" t="str">
        <f>'Translate &amp; Prices'!B28</f>
        <v>Modena tmavá nerez br. (inox lija)</v>
      </c>
      <c r="B25" s="137">
        <v>2</v>
      </c>
      <c r="C25" s="137" t="s">
        <v>1222</v>
      </c>
      <c r="D25" s="137">
        <v>0</v>
      </c>
      <c r="G25" s="11"/>
      <c r="H25" s="11"/>
      <c r="I25" s="11"/>
      <c r="Q25" s="446" t="str">
        <f>'Translate &amp; Prices'!$B$109</f>
        <v>Lacobel RAL 1013</v>
      </c>
      <c r="R25" s="446" t="str">
        <f>'Translate &amp; Prices'!$B$122</f>
        <v>Lacobel RAL 9010</v>
      </c>
      <c r="U25" s="446" t="str">
        <f>'Translate &amp; Prices'!$B$127</f>
        <v>Lacobel REF 0667</v>
      </c>
      <c r="V25" s="446" t="str">
        <f>'Translate &amp; Prices'!$B$127</f>
        <v>Lacobel REF 0667</v>
      </c>
      <c r="AF25" s="410" t="s">
        <v>245</v>
      </c>
      <c r="AG25" s="410" t="s">
        <v>2113</v>
      </c>
      <c r="BY25" s="137">
        <v>8</v>
      </c>
      <c r="DT25" s="446" t="s">
        <v>51</v>
      </c>
      <c r="DU25" s="446" t="s">
        <v>51</v>
      </c>
      <c r="DW25" s="137" t="s">
        <v>1006</v>
      </c>
      <c r="DX25" s="137" t="s">
        <v>1006</v>
      </c>
      <c r="ED25" s="137" t="s">
        <v>3075</v>
      </c>
      <c r="EE25" s="137" t="s">
        <v>3171</v>
      </c>
    </row>
    <row r="26" spans="1:135" x14ac:dyDescent="0.3">
      <c r="A26" s="446" t="str">
        <f>'Translate &amp; Prices'!B29</f>
        <v>Palio (elox.)</v>
      </c>
      <c r="B26" s="137">
        <v>2</v>
      </c>
      <c r="C26" s="137" t="s">
        <v>1222</v>
      </c>
      <c r="D26" s="137">
        <v>0</v>
      </c>
      <c r="G26" s="11"/>
      <c r="H26" s="11"/>
      <c r="I26" s="11"/>
      <c r="Q26" s="446" t="str">
        <f>'Translate &amp; Prices'!$B$110</f>
        <v>Lacobel RAL 1014</v>
      </c>
      <c r="R26" s="446" t="str">
        <f>'Translate &amp; Prices'!$B$123</f>
        <v>Lacobel REF 0128</v>
      </c>
      <c r="U26" s="446" t="str">
        <f>'Translate &amp; Prices'!$B$128</f>
        <v>Lacobel REF 1164</v>
      </c>
      <c r="V26" s="446" t="str">
        <f>'Translate &amp; Prices'!$B$128</f>
        <v>Lacobel REF 1164</v>
      </c>
      <c r="AF26" s="410" t="s">
        <v>246</v>
      </c>
      <c r="AG26" s="410" t="s">
        <v>2113</v>
      </c>
      <c r="BY26" s="137">
        <v>9</v>
      </c>
      <c r="DT26" s="446" t="s">
        <v>52</v>
      </c>
      <c r="DU26" s="446" t="s">
        <v>52</v>
      </c>
      <c r="DW26" s="137" t="s">
        <v>2118</v>
      </c>
      <c r="DX26" s="137" t="s">
        <v>2580</v>
      </c>
      <c r="ED26" s="137" t="s">
        <v>3076</v>
      </c>
      <c r="EE26" s="137" t="s">
        <v>3172</v>
      </c>
    </row>
    <row r="27" spans="1:135" x14ac:dyDescent="0.3">
      <c r="A27" s="446" t="str">
        <f>'Translate &amp; Prices'!B30</f>
        <v>Palio černá mat</v>
      </c>
      <c r="B27" s="137">
        <v>2</v>
      </c>
      <c r="C27" s="137" t="s">
        <v>1222</v>
      </c>
      <c r="D27" s="137">
        <v>0</v>
      </c>
      <c r="G27" s="11"/>
      <c r="H27" s="11"/>
      <c r="I27" s="11"/>
      <c r="Q27" s="446" t="str">
        <f>'Translate &amp; Prices'!$B$111</f>
        <v>Lacobel RAL 1015</v>
      </c>
      <c r="R27" s="446" t="str">
        <f>'Translate &amp; Prices'!$B$124</f>
        <v>Lacobel REF 0327</v>
      </c>
      <c r="U27" s="446" t="str">
        <f>'Translate &amp; Prices'!$B$129</f>
        <v>Lacobel REF 1236</v>
      </c>
      <c r="V27" s="446" t="str">
        <f>'Translate &amp; Prices'!$B$129</f>
        <v>Lacobel REF 1236</v>
      </c>
      <c r="AF27" s="407" t="s">
        <v>245</v>
      </c>
      <c r="AG27" s="407" t="s">
        <v>2114</v>
      </c>
      <c r="BY27" s="137">
        <v>10</v>
      </c>
      <c r="DT27" s="446" t="s">
        <v>53</v>
      </c>
      <c r="DU27" s="446" t="s">
        <v>53</v>
      </c>
      <c r="DW27" s="137" t="s">
        <v>1007</v>
      </c>
      <c r="DX27" s="137" t="s">
        <v>1007</v>
      </c>
      <c r="ED27" s="137" t="s">
        <v>3077</v>
      </c>
      <c r="EE27" s="137" t="s">
        <v>3173</v>
      </c>
    </row>
    <row r="28" spans="1:135" x14ac:dyDescent="0.3">
      <c r="A28" s="446" t="str">
        <f>'Translate &amp; Prices'!B31</f>
        <v>Pisa (elox.)</v>
      </c>
      <c r="B28" s="137">
        <v>2</v>
      </c>
      <c r="C28" s="137" t="s">
        <v>2133</v>
      </c>
      <c r="D28" s="137">
        <v>0</v>
      </c>
      <c r="G28" s="11"/>
      <c r="H28" s="11"/>
      <c r="I28" s="11"/>
      <c r="Q28" s="446" t="str">
        <f>'Translate &amp; Prices'!$B$112</f>
        <v>Lacobel RAL 2001</v>
      </c>
      <c r="R28" s="446" t="str">
        <f>'Translate &amp; Prices'!$B$125</f>
        <v>Lacobel REF 0337</v>
      </c>
      <c r="U28" s="446" t="str">
        <f>'Translate &amp; Prices'!$B$130</f>
        <v>Lacobel REF 1435</v>
      </c>
      <c r="V28" s="446" t="str">
        <f>'Translate &amp; Prices'!$B$130</f>
        <v>Lacobel REF 1435</v>
      </c>
      <c r="AA28" s="137" t="s">
        <v>2109</v>
      </c>
      <c r="AB28" s="137" t="s">
        <v>2147</v>
      </c>
      <c r="AF28" s="407" t="s">
        <v>246</v>
      </c>
      <c r="AG28" s="407" t="s">
        <v>2114</v>
      </c>
      <c r="DT28" s="446" t="s">
        <v>46</v>
      </c>
      <c r="DU28" s="446" t="s">
        <v>46</v>
      </c>
      <c r="DW28" s="137" t="s">
        <v>1632</v>
      </c>
      <c r="DX28" s="137" t="s">
        <v>2581</v>
      </c>
      <c r="ED28" s="137" t="s">
        <v>3078</v>
      </c>
      <c r="EE28" s="137" t="s">
        <v>3174</v>
      </c>
    </row>
    <row r="29" spans="1:135" x14ac:dyDescent="0.3">
      <c r="A29" s="137" t="str">
        <f>'Translate &amp; Prices'!$B$55</f>
        <v>Pisa bílá lesk</v>
      </c>
      <c r="B29" s="137">
        <v>2</v>
      </c>
      <c r="C29" s="137" t="s">
        <v>2133</v>
      </c>
      <c r="D29" s="137">
        <v>0</v>
      </c>
      <c r="G29" s="11"/>
      <c r="H29" s="11"/>
      <c r="I29" s="11"/>
      <c r="Q29" s="446" t="str">
        <f>'Translate &amp; Prices'!$B$113</f>
        <v>Lacobel RAL 3004</v>
      </c>
      <c r="R29" s="446" t="str">
        <f>'Translate &amp; Prices'!$B$126</f>
        <v>Lacobel REF 0627</v>
      </c>
      <c r="U29" s="446" t="str">
        <f>'Translate &amp; Prices'!$B$131</f>
        <v>Lacobel REF 1586</v>
      </c>
      <c r="V29" s="446" t="str">
        <f>'Translate &amp; Prices'!$B$131</f>
        <v>Lacobel REF 1586</v>
      </c>
      <c r="AA29" s="137" t="s">
        <v>2109</v>
      </c>
      <c r="AB29" s="137" t="s">
        <v>2108</v>
      </c>
      <c r="AC29" s="137">
        <v>1</v>
      </c>
      <c r="AD29" s="137">
        <v>0</v>
      </c>
      <c r="AF29" s="410" t="s">
        <v>245</v>
      </c>
      <c r="AG29" s="410" t="s">
        <v>2115</v>
      </c>
      <c r="DT29" s="446" t="s">
        <v>56</v>
      </c>
      <c r="DU29" s="446" t="s">
        <v>56</v>
      </c>
      <c r="DW29" s="137" t="s">
        <v>3000</v>
      </c>
      <c r="DX29" s="137" t="s">
        <v>3001</v>
      </c>
      <c r="ED29" s="137" t="s">
        <v>3079</v>
      </c>
      <c r="EE29" s="137" t="s">
        <v>3175</v>
      </c>
    </row>
    <row r="30" spans="1:135" x14ac:dyDescent="0.3">
      <c r="A30" s="446" t="str">
        <f>'Translate &amp; Prices'!B32</f>
        <v>Pisa černá mat</v>
      </c>
      <c r="B30" s="137">
        <v>2</v>
      </c>
      <c r="C30" s="137" t="s">
        <v>2133</v>
      </c>
      <c r="D30" s="137">
        <v>0</v>
      </c>
      <c r="Q30" s="446" t="str">
        <f>'Translate &amp; Prices'!$B$114</f>
        <v>Lacobel RAL 4006</v>
      </c>
      <c r="R30" s="446" t="str">
        <f>'Translate &amp; Prices'!$B$127</f>
        <v>Lacobel REF 0667</v>
      </c>
      <c r="U30" s="446" t="str">
        <f>'Translate &amp; Prices'!$B$132</f>
        <v>Lacobel REF 1603</v>
      </c>
      <c r="V30" s="446" t="str">
        <f>'Translate &amp; Prices'!$B$132</f>
        <v>Lacobel REF 1603</v>
      </c>
      <c r="AA30" s="137" t="s">
        <v>2109</v>
      </c>
      <c r="AB30" s="137" t="s">
        <v>2269</v>
      </c>
      <c r="AC30" s="137">
        <v>1</v>
      </c>
      <c r="AD30" s="137">
        <v>0</v>
      </c>
      <c r="AF30" s="410" t="s">
        <v>246</v>
      </c>
      <c r="AG30" s="410" t="s">
        <v>2115</v>
      </c>
      <c r="DT30" s="446" t="s">
        <v>60</v>
      </c>
      <c r="DU30" s="446" t="s">
        <v>60</v>
      </c>
      <c r="DW30" s="137" t="s">
        <v>1420</v>
      </c>
      <c r="DX30" s="137" t="s">
        <v>1008</v>
      </c>
      <c r="ED30" s="137" t="s">
        <v>3080</v>
      </c>
      <c r="EE30" s="137" t="s">
        <v>3176</v>
      </c>
    </row>
    <row r="31" spans="1:135" x14ac:dyDescent="0.3">
      <c r="A31" s="137" t="str">
        <f>'Translate &amp; Prices'!$B$57</f>
        <v>Pisa zlatá</v>
      </c>
      <c r="B31" s="137">
        <v>1</v>
      </c>
      <c r="C31" s="137" t="s">
        <v>1222</v>
      </c>
      <c r="D31" s="137">
        <v>0</v>
      </c>
      <c r="G31" s="11"/>
      <c r="H31" s="11"/>
      <c r="I31" s="11"/>
      <c r="Q31" s="446" t="str">
        <f>'Translate &amp; Prices'!$B$115</f>
        <v>Lacobel RAL 5002</v>
      </c>
      <c r="R31" s="446" t="str">
        <f>'Translate &amp; Prices'!$B$128</f>
        <v>Lacobel REF 1164</v>
      </c>
      <c r="U31" s="446" t="str">
        <f>'Translate &amp; Prices'!$B$133</f>
        <v>Lacobel REF 1604</v>
      </c>
      <c r="V31" s="446" t="str">
        <f>'Translate &amp; Prices'!$B$133</f>
        <v>Lacobel REF 1604</v>
      </c>
      <c r="AA31" s="137" t="s">
        <v>2109</v>
      </c>
      <c r="AB31" s="137" t="s">
        <v>2111</v>
      </c>
      <c r="AC31" s="137">
        <v>1</v>
      </c>
      <c r="AD31" s="137">
        <v>0</v>
      </c>
      <c r="AF31" s="407" t="s">
        <v>245</v>
      </c>
      <c r="AG31" s="407" t="s">
        <v>2116</v>
      </c>
      <c r="DT31" s="446" t="s">
        <v>63</v>
      </c>
      <c r="DU31" s="446" t="s">
        <v>63</v>
      </c>
      <c r="DW31" s="137" t="s">
        <v>1009</v>
      </c>
      <c r="DX31" s="137" t="s">
        <v>1009</v>
      </c>
      <c r="ED31" s="137" t="s">
        <v>3081</v>
      </c>
      <c r="EE31" s="137" t="s">
        <v>3177</v>
      </c>
    </row>
    <row r="32" spans="1:135" x14ac:dyDescent="0.3">
      <c r="A32" s="446" t="str">
        <f>'Translate &amp; Prices'!B34</f>
        <v>Ravena (elox.)</v>
      </c>
      <c r="B32" s="137">
        <v>2</v>
      </c>
      <c r="C32" s="137" t="s">
        <v>1222</v>
      </c>
      <c r="D32" s="137">
        <v>0</v>
      </c>
      <c r="G32" s="11"/>
      <c r="H32" s="11"/>
      <c r="I32" s="11"/>
      <c r="Q32" s="446" t="str">
        <f>'Translate &amp; Prices'!$B$116</f>
        <v>Lacobel RAL 7035</v>
      </c>
      <c r="R32" s="446" t="str">
        <f>'Translate &amp; Prices'!$B$129</f>
        <v>Lacobel REF 1236</v>
      </c>
      <c r="U32" s="446" t="str">
        <f>'Translate &amp; Prices'!$B$134</f>
        <v>Matelac RAL 2001</v>
      </c>
      <c r="V32" s="446" t="str">
        <f>'Translate &amp; Prices'!$B$134</f>
        <v>Matelac RAL 2001</v>
      </c>
      <c r="AA32" s="137" t="s">
        <v>2109</v>
      </c>
      <c r="AB32" s="137" t="s">
        <v>2268</v>
      </c>
      <c r="AC32" s="137">
        <v>1</v>
      </c>
      <c r="AD32" s="137">
        <v>0</v>
      </c>
      <c r="AF32" s="407" t="s">
        <v>246</v>
      </c>
      <c r="AG32" s="407" t="s">
        <v>2116</v>
      </c>
      <c r="BY32" s="137" t="str">
        <f>'Translate &amp; Prices'!$B$210</f>
        <v>Vlevo</v>
      </c>
      <c r="BZ32" s="137" t="str">
        <f>'Translate &amp; Prices'!$B$569</f>
        <v>(spodního)</v>
      </c>
      <c r="CA32" s="137" t="str">
        <f>'Translate &amp; Prices'!$B$571</f>
        <v>(horního)</v>
      </c>
      <c r="CC32" s="137" t="str">
        <f>'Translate &amp; Prices'!$O$569</f>
        <v>(dolnej)</v>
      </c>
      <c r="CD32" s="137" t="str">
        <f>'Translate &amp; Prices'!$O$571</f>
        <v>(górnej)</v>
      </c>
      <c r="DT32" s="446" t="s">
        <v>65</v>
      </c>
      <c r="DU32" s="446" t="s">
        <v>65</v>
      </c>
      <c r="DW32" s="137" t="s">
        <v>2120</v>
      </c>
      <c r="DX32" s="137" t="s">
        <v>2582</v>
      </c>
      <c r="ED32" s="137" t="s">
        <v>3082</v>
      </c>
      <c r="EE32" s="137" t="s">
        <v>3178</v>
      </c>
    </row>
    <row r="33" spans="1:135" x14ac:dyDescent="0.3">
      <c r="A33" s="446" t="str">
        <f>'Translate &amp; Prices'!B35</f>
        <v>Siena (elox.)</v>
      </c>
      <c r="B33" s="137">
        <v>2</v>
      </c>
      <c r="C33" s="137" t="s">
        <v>1222</v>
      </c>
      <c r="D33" s="137">
        <v>0</v>
      </c>
      <c r="G33" s="11"/>
      <c r="H33" s="11"/>
      <c r="I33" s="11"/>
      <c r="Q33" s="446" t="str">
        <f>'Translate &amp; Prices'!$B$117</f>
        <v>Lacobel RAL 8017</v>
      </c>
      <c r="R33" s="446" t="str">
        <f>'Translate &amp; Prices'!$B$130</f>
        <v>Lacobel REF 1435</v>
      </c>
      <c r="U33" s="446" t="str">
        <f>'Translate &amp; Prices'!$B$135</f>
        <v>Matelac RAL 3004</v>
      </c>
      <c r="V33" s="446" t="str">
        <f>'Translate &amp; Prices'!$B$135</f>
        <v>Matelac RAL 3004</v>
      </c>
      <c r="AA33" s="137" t="s">
        <v>2109</v>
      </c>
      <c r="AB33" s="137" t="s">
        <v>2113</v>
      </c>
      <c r="AC33" s="137">
        <v>1</v>
      </c>
      <c r="AD33" s="137">
        <v>0</v>
      </c>
      <c r="AF33" s="410" t="s">
        <v>245</v>
      </c>
      <c r="AG33" s="410" t="s">
        <v>2119</v>
      </c>
      <c r="BY33" s="137" t="str">
        <f>'Translate &amp; Prices'!$B$209</f>
        <v xml:space="preserve">Vpravo </v>
      </c>
      <c r="BZ33" s="137" t="str">
        <f>'Translate &amp; Prices'!$B$569</f>
        <v>(spodního)</v>
      </c>
      <c r="CA33" s="137" t="str">
        <f>'Translate &amp; Prices'!$B$571</f>
        <v>(horního)</v>
      </c>
      <c r="CC33" s="137" t="str">
        <f>'Translate &amp; Prices'!$O$569</f>
        <v>(dolnej)</v>
      </c>
      <c r="CD33" s="137" t="str">
        <f>'Translate &amp; Prices'!$O$571</f>
        <v>(górnej)</v>
      </c>
      <c r="DT33" s="446" t="s">
        <v>64</v>
      </c>
      <c r="DU33" s="446" t="s">
        <v>64</v>
      </c>
      <c r="DW33" s="137" t="s">
        <v>1010</v>
      </c>
      <c r="DX33" s="137" t="s">
        <v>1010</v>
      </c>
      <c r="ED33" s="137" t="s">
        <v>3083</v>
      </c>
      <c r="EE33" s="137" t="s">
        <v>3179</v>
      </c>
    </row>
    <row r="34" spans="1:135" x14ac:dyDescent="0.3">
      <c r="A34" s="446" t="str">
        <f>'Translate &amp; Prices'!$B$36</f>
        <v>Siena černá mat</v>
      </c>
      <c r="B34" s="137">
        <v>1</v>
      </c>
      <c r="C34" s="137" t="s">
        <v>1222</v>
      </c>
      <c r="D34" s="137">
        <v>0</v>
      </c>
      <c r="G34" s="11"/>
      <c r="H34" s="11"/>
      <c r="I34" s="11"/>
      <c r="Q34" s="446" t="str">
        <f>'Translate &amp; Prices'!$B$118</f>
        <v>Lacobel RAL 9003</v>
      </c>
      <c r="R34" s="446" t="str">
        <f>'Translate &amp; Prices'!$B$131</f>
        <v>Lacobel REF 1586</v>
      </c>
      <c r="U34" s="446" t="str">
        <f>'Translate &amp; Prices'!$B$136</f>
        <v>Matelac RAL 7021</v>
      </c>
      <c r="V34" s="446" t="str">
        <f>'Translate &amp; Prices'!$B$136</f>
        <v>Matelac RAL 7021</v>
      </c>
      <c r="AB34" s="137" t="s">
        <v>2114</v>
      </c>
      <c r="AC34" s="137">
        <v>1</v>
      </c>
      <c r="AD34" s="137">
        <v>0</v>
      </c>
      <c r="AF34" s="410" t="s">
        <v>246</v>
      </c>
      <c r="AG34" s="410" t="s">
        <v>2119</v>
      </c>
      <c r="BY34" s="137" t="str">
        <f>'Translate &amp; Prices'!$B$207</f>
        <v>Nahoře</v>
      </c>
      <c r="BZ34" s="137" t="str">
        <f>'Translate &amp; Prices'!$B$570</f>
        <v>(levého)</v>
      </c>
      <c r="CA34" s="137" t="str">
        <f>'Translate &amp; Prices'!$B$572</f>
        <v>(pravého)</v>
      </c>
      <c r="CC34" s="137" t="str">
        <f>'Translate &amp; Prices'!$O$570</f>
        <v>(lewej)</v>
      </c>
      <c r="CD34" s="137" t="str">
        <f>'Translate &amp; Prices'!$O$572</f>
        <v>(prawej)</v>
      </c>
      <c r="DT34" s="446" t="s">
        <v>1013</v>
      </c>
      <c r="DU34" s="446" t="s">
        <v>1013</v>
      </c>
      <c r="DW34" s="137" t="s">
        <v>1421</v>
      </c>
      <c r="DX34" s="137" t="s">
        <v>2583</v>
      </c>
      <c r="ED34" s="137" t="s">
        <v>3084</v>
      </c>
      <c r="EE34" s="137" t="s">
        <v>3180</v>
      </c>
    </row>
    <row r="35" spans="1:135" x14ac:dyDescent="0.3">
      <c r="A35" s="446" t="str">
        <f>'Translate &amp; Prices'!B37</f>
        <v>Verona (elox.)</v>
      </c>
      <c r="B35" s="137">
        <v>1</v>
      </c>
      <c r="C35" s="137" t="s">
        <v>1222</v>
      </c>
      <c r="D35" s="137">
        <v>0</v>
      </c>
      <c r="G35" s="11"/>
      <c r="H35" s="11"/>
      <c r="I35" s="11"/>
      <c r="Q35" s="446" t="str">
        <f>'Translate &amp; Prices'!$B$119</f>
        <v>Lacobel RAL 9005</v>
      </c>
      <c r="R35" s="446" t="str">
        <f>'Translate &amp; Prices'!$B$132</f>
        <v>Lacobel REF 1603</v>
      </c>
      <c r="U35" s="446" t="str">
        <f>'Translate &amp; Prices'!$B$137</f>
        <v>Matelac RAL 9003</v>
      </c>
      <c r="V35" s="446" t="str">
        <f>'Translate &amp; Prices'!$B$137</f>
        <v>Matelac RAL 9003</v>
      </c>
      <c r="BY35" s="137" t="str">
        <f>'Translate &amp; Prices'!$B$208</f>
        <v>Dole</v>
      </c>
      <c r="BZ35" s="137" t="str">
        <f>'Translate &amp; Prices'!$B$570</f>
        <v>(levého)</v>
      </c>
      <c r="CA35" s="137" t="str">
        <f>'Translate &amp; Prices'!$B$572</f>
        <v>(pravého)</v>
      </c>
      <c r="CC35" s="137" t="str">
        <f>'Translate &amp; Prices'!$O$570</f>
        <v>(lewej)</v>
      </c>
      <c r="CD35" s="137" t="str">
        <f>'Translate &amp; Prices'!$O$572</f>
        <v>(prawej)</v>
      </c>
      <c r="DT35" s="446" t="s">
        <v>47</v>
      </c>
      <c r="DU35" s="446" t="s">
        <v>47</v>
      </c>
      <c r="DW35" s="137" t="s">
        <v>696</v>
      </c>
      <c r="DX35" s="137" t="s">
        <v>698</v>
      </c>
      <c r="ED35" s="137" t="s">
        <v>3085</v>
      </c>
      <c r="EE35" s="137" t="s">
        <v>3181</v>
      </c>
    </row>
    <row r="36" spans="1:135" x14ac:dyDescent="0.3">
      <c r="A36" s="446" t="str">
        <f>'Translate &amp; Prices'!B38</f>
        <v>Verona broušený hliník</v>
      </c>
      <c r="B36" s="137">
        <v>1</v>
      </c>
      <c r="C36" s="137" t="s">
        <v>1222</v>
      </c>
      <c r="D36" s="137">
        <v>0</v>
      </c>
      <c r="G36" s="11"/>
      <c r="H36" s="11"/>
      <c r="I36" s="11"/>
      <c r="Q36" s="446" t="str">
        <f>'Translate &amp; Prices'!$B$120</f>
        <v>Lacobel RAL 9006</v>
      </c>
      <c r="R36" s="446" t="str">
        <f>'Translate &amp; Prices'!$B$133</f>
        <v>Lacobel REF 1604</v>
      </c>
      <c r="U36" s="446" t="str">
        <f>'Translate &amp; Prices'!$B$138</f>
        <v>Matelac RAL 9005</v>
      </c>
      <c r="V36" s="446" t="str">
        <f>'Translate &amp; Prices'!$B$138</f>
        <v>Matelac RAL 9005</v>
      </c>
      <c r="DT36" s="446" t="s">
        <v>54</v>
      </c>
      <c r="DU36" s="446" t="s">
        <v>54</v>
      </c>
      <c r="DW36" s="137" t="s">
        <v>1616</v>
      </c>
      <c r="DX36" s="137" t="s">
        <v>2584</v>
      </c>
      <c r="ED36" s="137" t="s">
        <v>3023</v>
      </c>
      <c r="EE36" s="137" t="s">
        <v>3182</v>
      </c>
    </row>
    <row r="37" spans="1:135" x14ac:dyDescent="0.3">
      <c r="A37" s="446" t="str">
        <f>'Translate &amp; Prices'!B40</f>
        <v>Verona černá mat</v>
      </c>
      <c r="B37" s="137">
        <v>1</v>
      </c>
      <c r="C37" s="137" t="s">
        <v>1222</v>
      </c>
      <c r="D37" s="137">
        <v>0</v>
      </c>
      <c r="G37" s="11"/>
      <c r="H37" s="11"/>
      <c r="I37" s="11"/>
      <c r="Q37" s="446" t="str">
        <f>'Translate &amp; Prices'!$B$121</f>
        <v>Lacobel RAL 9007</v>
      </c>
      <c r="R37" s="446" t="str">
        <f>'Translate &amp; Prices'!$B$134</f>
        <v>Matelac RAL 2001</v>
      </c>
      <c r="U37" s="446" t="str">
        <f>'Translate &amp; Prices'!$B$139</f>
        <v>Matelac RAL 9006</v>
      </c>
      <c r="V37" s="446" t="str">
        <f>'Translate &amp; Prices'!$B$139</f>
        <v>Matelac RAL 9006</v>
      </c>
      <c r="BY37" s="137" t="s">
        <v>2637</v>
      </c>
      <c r="DT37" s="446" t="s">
        <v>66</v>
      </c>
      <c r="DU37" s="446" t="s">
        <v>66</v>
      </c>
      <c r="DW37" s="137" t="s">
        <v>1422</v>
      </c>
      <c r="DX37" s="137" t="s">
        <v>1423</v>
      </c>
      <c r="ED37" s="137" t="s">
        <v>3024</v>
      </c>
      <c r="EE37" s="137" t="s">
        <v>3183</v>
      </c>
    </row>
    <row r="38" spans="1:135" x14ac:dyDescent="0.3">
      <c r="A38" s="137" t="str">
        <f>'Translate &amp; Prices'!$B$39</f>
        <v>Verona černá lesk</v>
      </c>
      <c r="B38" s="137">
        <v>1</v>
      </c>
      <c r="C38" s="137" t="s">
        <v>1222</v>
      </c>
      <c r="D38" s="137">
        <v>0</v>
      </c>
      <c r="Q38" s="446" t="str">
        <f>'Translate &amp; Prices'!$B$122</f>
        <v>Lacobel RAL 9010</v>
      </c>
      <c r="R38" s="446" t="str">
        <f>'Translate &amp; Prices'!$B$135</f>
        <v>Matelac RAL 3004</v>
      </c>
      <c r="U38" s="446" t="str">
        <f>'Translate &amp; Prices'!$B$140</f>
        <v>Matelac RAL 9010</v>
      </c>
      <c r="V38" s="446" t="str">
        <f>'Translate &amp; Prices'!$B$140</f>
        <v>Matelac RAL 9010</v>
      </c>
      <c r="DT38" s="446" t="s">
        <v>57</v>
      </c>
      <c r="DU38" s="446" t="s">
        <v>57</v>
      </c>
      <c r="DW38" s="137" t="s">
        <v>693</v>
      </c>
      <c r="DX38" s="137" t="s">
        <v>2585</v>
      </c>
      <c r="ED38" s="137" t="s">
        <v>3025</v>
      </c>
      <c r="EE38" s="137" t="s">
        <v>3184</v>
      </c>
    </row>
    <row r="39" spans="1:135" x14ac:dyDescent="0.3">
      <c r="A39" s="446" t="str">
        <f>'Translate &amp; Prices'!B41</f>
        <v>Verona hnědá</v>
      </c>
      <c r="B39" s="137">
        <v>1</v>
      </c>
      <c r="C39" s="137" t="s">
        <v>1222</v>
      </c>
      <c r="D39" s="137">
        <v>0</v>
      </c>
      <c r="Q39" s="446" t="str">
        <f>'Translate &amp; Prices'!$B$123</f>
        <v>Lacobel REF 0128</v>
      </c>
      <c r="R39" s="446" t="str">
        <f>'Translate &amp; Prices'!$B$136</f>
        <v>Matelac RAL 7021</v>
      </c>
      <c r="U39" s="446" t="str">
        <f>'Translate &amp; Prices'!$B$141</f>
        <v>Matelac REF 1435</v>
      </c>
      <c r="V39" s="446" t="str">
        <f>'Translate &amp; Prices'!$B$141</f>
        <v>Matelac REF 1435</v>
      </c>
      <c r="AA39" s="137" t="s">
        <v>1021</v>
      </c>
      <c r="AB39" s="137" t="s">
        <v>2145</v>
      </c>
      <c r="DT39" s="446" t="s">
        <v>58</v>
      </c>
      <c r="DU39" s="446" t="s">
        <v>58</v>
      </c>
      <c r="DW39" s="137" t="s">
        <v>1425</v>
      </c>
      <c r="DX39" s="137" t="s">
        <v>2586</v>
      </c>
      <c r="ED39" s="137" t="s">
        <v>3026</v>
      </c>
      <c r="EE39" s="137" t="s">
        <v>3185</v>
      </c>
    </row>
    <row r="40" spans="1:135" x14ac:dyDescent="0.3">
      <c r="A40" s="446" t="str">
        <f>'Translate &amp; Prices'!B42</f>
        <v>Verona champagne</v>
      </c>
      <c r="B40" s="137">
        <v>1</v>
      </c>
      <c r="C40" s="137" t="s">
        <v>1222</v>
      </c>
      <c r="D40" s="137">
        <v>0</v>
      </c>
      <c r="Q40" s="446" t="str">
        <f>'Translate &amp; Prices'!$B$124</f>
        <v>Lacobel REF 0327</v>
      </c>
      <c r="R40" s="446" t="str">
        <f>'Translate &amp; Prices'!$B$137</f>
        <v>Matelac RAL 9003</v>
      </c>
      <c r="U40" s="446" t="str">
        <f>'Translate &amp; Prices'!$B$142</f>
        <v>Matelac REF 1586</v>
      </c>
      <c r="V40" s="446" t="str">
        <f>'Translate &amp; Prices'!$B$142</f>
        <v>Matelac REF 1586</v>
      </c>
      <c r="AA40" s="137" t="s">
        <v>1021</v>
      </c>
      <c r="AB40" s="137" t="s">
        <v>2638</v>
      </c>
      <c r="AC40" s="137">
        <v>1</v>
      </c>
      <c r="AD40" s="137">
        <v>0</v>
      </c>
      <c r="DT40" s="446" t="s">
        <v>48</v>
      </c>
      <c r="DU40" s="446" t="s">
        <v>48</v>
      </c>
      <c r="DW40" s="137" t="s">
        <v>1426</v>
      </c>
      <c r="DX40" s="137" t="s">
        <v>2587</v>
      </c>
      <c r="ED40" s="137" t="s">
        <v>3027</v>
      </c>
      <c r="EE40" s="137" t="s">
        <v>3186</v>
      </c>
    </row>
    <row r="41" spans="1:135" x14ac:dyDescent="0.3">
      <c r="A41" s="446" t="str">
        <f>'Translate &amp; Prices'!B43</f>
        <v>Verona tmavá nerez broušená</v>
      </c>
      <c r="B41" s="137">
        <v>1</v>
      </c>
      <c r="C41" s="137" t="s">
        <v>1222</v>
      </c>
      <c r="D41" s="137">
        <v>0</v>
      </c>
      <c r="Q41" s="446" t="str">
        <f>'Translate &amp; Prices'!$B$125</f>
        <v>Lacobel REF 0337</v>
      </c>
      <c r="R41" s="446" t="str">
        <f>'Translate &amp; Prices'!$B$138</f>
        <v>Matelac RAL 9005</v>
      </c>
      <c r="U41" s="446" t="str">
        <f>'Translate &amp; Prices'!$B$143</f>
        <v>Matelac zrcadlo bronz</v>
      </c>
      <c r="V41" s="446" t="str">
        <f>'Translate &amp; Prices'!$B$143</f>
        <v>Matelac zrcadlo bronz</v>
      </c>
      <c r="AB41" s="137" t="s">
        <v>2639</v>
      </c>
      <c r="AC41" s="137">
        <v>1</v>
      </c>
      <c r="AD41" s="137">
        <v>0</v>
      </c>
      <c r="DT41" s="446" t="s">
        <v>49</v>
      </c>
      <c r="DU41" s="446" t="s">
        <v>49</v>
      </c>
      <c r="DW41" s="137" t="s">
        <v>2988</v>
      </c>
      <c r="DX41" s="137" t="s">
        <v>2989</v>
      </c>
      <c r="ED41" s="137" t="s">
        <v>3028</v>
      </c>
      <c r="EE41" s="137" t="s">
        <v>3187</v>
      </c>
    </row>
    <row r="42" spans="1:135" x14ac:dyDescent="0.3">
      <c r="A42" s="446" t="str">
        <f>'Translate &amp; Prices'!B44</f>
        <v>Verona světlá nerez (Acier grata)</v>
      </c>
      <c r="B42" s="137">
        <v>1</v>
      </c>
      <c r="C42" s="137" t="s">
        <v>1222</v>
      </c>
      <c r="D42" s="137">
        <v>0</v>
      </c>
      <c r="Q42" s="446" t="str">
        <f>'Translate &amp; Prices'!$B$126</f>
        <v>Lacobel REF 0627</v>
      </c>
      <c r="R42" s="446" t="str">
        <f>'Translate &amp; Prices'!$B$139</f>
        <v>Matelac RAL 9006</v>
      </c>
      <c r="U42" s="446" t="str">
        <f>'Translate &amp; Prices'!$B$145</f>
        <v>Matelac zrcadlo grafit</v>
      </c>
      <c r="V42" s="446" t="str">
        <f>'Translate &amp; Prices'!$B$145</f>
        <v>Matelac zrcadlo grafit</v>
      </c>
      <c r="AA42" s="137" t="s">
        <v>2117</v>
      </c>
      <c r="AB42" s="137" t="s">
        <v>2146</v>
      </c>
      <c r="DT42" s="446" t="s">
        <v>55</v>
      </c>
      <c r="DU42" s="446" t="s">
        <v>55</v>
      </c>
      <c r="DW42" s="137" t="s">
        <v>1011</v>
      </c>
      <c r="DX42" s="137" t="s">
        <v>1011</v>
      </c>
      <c r="ED42" s="137" t="s">
        <v>3029</v>
      </c>
      <c r="EE42" s="137" t="s">
        <v>3188</v>
      </c>
    </row>
    <row r="43" spans="1:135" x14ac:dyDescent="0.3">
      <c r="A43" s="137" t="str">
        <f>'Translate &amp; Prices'!$B$26</f>
        <v>Verona zlatá</v>
      </c>
      <c r="B43" s="137">
        <v>1</v>
      </c>
      <c r="C43" s="137" t="s">
        <v>1222</v>
      </c>
      <c r="D43" s="137">
        <v>0</v>
      </c>
      <c r="Q43" s="446" t="str">
        <f>'Translate &amp; Prices'!$B$127</f>
        <v>Lacobel REF 0667</v>
      </c>
      <c r="R43" s="446" t="str">
        <f>'Translate &amp; Prices'!$B$140</f>
        <v>Matelac RAL 9010</v>
      </c>
      <c r="U43" s="446" t="str">
        <f>'Translate &amp; Prices'!$B$146</f>
        <v>Matelac zrcadlo stříbr.</v>
      </c>
      <c r="V43" s="446" t="str">
        <f>'Translate &amp; Prices'!$B$146</f>
        <v>Matelac zrcadlo stříbr.</v>
      </c>
      <c r="AA43" s="137" t="s">
        <v>2117</v>
      </c>
      <c r="AB43" s="137" t="s">
        <v>2280</v>
      </c>
      <c r="AC43" s="137">
        <v>0</v>
      </c>
      <c r="AD43" s="137">
        <v>0</v>
      </c>
      <c r="DT43" s="446" t="s">
        <v>50</v>
      </c>
      <c r="DU43" s="446" t="s">
        <v>50</v>
      </c>
      <c r="DW43" s="137" t="s">
        <v>1624</v>
      </c>
      <c r="DX43" s="137" t="s">
        <v>2588</v>
      </c>
      <c r="ED43" s="137" t="s">
        <v>3030</v>
      </c>
      <c r="EE43" s="137" t="s">
        <v>3189</v>
      </c>
    </row>
    <row r="44" spans="1:135" x14ac:dyDescent="0.3">
      <c r="A44" s="446" t="str">
        <f>'Translate &amp; Prices'!B45</f>
        <v>Vivaro (elox.)</v>
      </c>
      <c r="B44" s="137">
        <v>2</v>
      </c>
      <c r="C44" s="137" t="s">
        <v>1222</v>
      </c>
      <c r="D44" s="137">
        <v>1</v>
      </c>
      <c r="Q44" s="446" t="str">
        <f>'Translate &amp; Prices'!$B$128</f>
        <v>Lacobel REF 1164</v>
      </c>
      <c r="R44" s="446" t="str">
        <f>'Translate &amp; Prices'!$B$141</f>
        <v>Matelac REF 1435</v>
      </c>
      <c r="AA44" s="137" t="s">
        <v>2117</v>
      </c>
      <c r="AB44" s="137" t="s">
        <v>2119</v>
      </c>
      <c r="AC44" s="137">
        <v>1</v>
      </c>
      <c r="AD44" s="137">
        <v>0</v>
      </c>
      <c r="DT44" s="446" t="s">
        <v>67</v>
      </c>
      <c r="DU44" s="446" t="s">
        <v>67</v>
      </c>
      <c r="DW44" s="137" t="s">
        <v>1430</v>
      </c>
      <c r="DX44" s="137" t="s">
        <v>2589</v>
      </c>
      <c r="ED44" s="137" t="s">
        <v>3031</v>
      </c>
      <c r="EE44" s="137" t="s">
        <v>3190</v>
      </c>
    </row>
    <row r="45" spans="1:135" x14ac:dyDescent="0.3">
      <c r="A45" s="446" t="str">
        <f>'Translate &amp; Prices'!B46</f>
        <v>Vivaro černá mat</v>
      </c>
      <c r="B45" s="137">
        <v>2</v>
      </c>
      <c r="C45" s="137" t="s">
        <v>1222</v>
      </c>
      <c r="D45" s="137">
        <v>1</v>
      </c>
      <c r="Q45" s="446" t="str">
        <f>'Translate &amp; Prices'!$B$129</f>
        <v>Lacobel REF 1236</v>
      </c>
      <c r="R45" s="446" t="str">
        <f>'Translate &amp; Prices'!$B$142</f>
        <v>Matelac REF 1586</v>
      </c>
      <c r="AB45" s="137" t="s">
        <v>2281</v>
      </c>
      <c r="AC45" s="137">
        <v>0</v>
      </c>
      <c r="AD45" s="137">
        <v>0</v>
      </c>
      <c r="DT45" s="446" t="s">
        <v>44</v>
      </c>
      <c r="DU45" s="446" t="s">
        <v>44</v>
      </c>
      <c r="DW45" s="137" t="s">
        <v>1664</v>
      </c>
      <c r="DX45" s="137" t="s">
        <v>2590</v>
      </c>
      <c r="ED45" s="137" t="s">
        <v>3032</v>
      </c>
      <c r="EE45" s="137" t="s">
        <v>3191</v>
      </c>
    </row>
    <row r="46" spans="1:135" x14ac:dyDescent="0.3">
      <c r="A46" s="446" t="str">
        <f>'Translate &amp; Prices'!B48</f>
        <v>Vivaro tmavá nerez br. (inox lija)</v>
      </c>
      <c r="B46" s="137">
        <v>2</v>
      </c>
      <c r="C46" s="137" t="s">
        <v>1222</v>
      </c>
      <c r="D46" s="137">
        <v>0</v>
      </c>
      <c r="Q46" s="446" t="str">
        <f>'Translate &amp; Prices'!$B$130</f>
        <v>Lacobel REF 1435</v>
      </c>
      <c r="R46" s="446" t="str">
        <f>'Translate &amp; Prices'!$B$143</f>
        <v>Matelac zrcadlo bronz</v>
      </c>
      <c r="DT46" s="446" t="s">
        <v>59</v>
      </c>
      <c r="DU46" s="446" t="s">
        <v>59</v>
      </c>
      <c r="DW46" s="137" t="s">
        <v>1668</v>
      </c>
      <c r="DX46" s="137" t="s">
        <v>2591</v>
      </c>
      <c r="ED46" s="137" t="s">
        <v>3033</v>
      </c>
      <c r="EE46" s="137" t="s">
        <v>3192</v>
      </c>
    </row>
    <row r="47" spans="1:135" x14ac:dyDescent="0.3">
      <c r="A47" s="446" t="str">
        <f>'Translate &amp; Prices'!B49</f>
        <v>Vivaro bílá mat</v>
      </c>
      <c r="B47" s="137">
        <v>2</v>
      </c>
      <c r="C47" s="137" t="s">
        <v>1222</v>
      </c>
      <c r="D47" s="137">
        <v>0</v>
      </c>
      <c r="Q47" s="446" t="str">
        <f>'Translate &amp; Prices'!$B$131</f>
        <v>Lacobel REF 1586</v>
      </c>
      <c r="R47" s="446" t="str">
        <f>'Translate &amp; Prices'!$B$145</f>
        <v>Matelac zrcadlo grafit</v>
      </c>
      <c r="DT47" s="446" t="s">
        <v>74</v>
      </c>
      <c r="DU47" s="446" t="s">
        <v>74</v>
      </c>
      <c r="DW47" s="137" t="s">
        <v>2992</v>
      </c>
      <c r="DX47" s="137" t="s">
        <v>2993</v>
      </c>
      <c r="ED47" s="137" t="s">
        <v>3034</v>
      </c>
      <c r="EE47" s="137" t="s">
        <v>3193</v>
      </c>
    </row>
    <row r="48" spans="1:135" x14ac:dyDescent="0.3">
      <c r="A48" s="446" t="str">
        <f>'Translate &amp; Prices'!B50</f>
        <v>Vivaro bílá lesk</v>
      </c>
      <c r="B48" s="137">
        <v>2</v>
      </c>
      <c r="C48" s="137" t="s">
        <v>1222</v>
      </c>
      <c r="D48" s="137">
        <v>0</v>
      </c>
      <c r="Q48" s="446" t="str">
        <f>'Translate &amp; Prices'!$B$132</f>
        <v>Lacobel REF 1603</v>
      </c>
      <c r="R48" s="446" t="str">
        <f>'Translate &amp; Prices'!$B$146</f>
        <v>Matelac zrcadlo stříbr.</v>
      </c>
      <c r="DT48" s="446" t="s">
        <v>76</v>
      </c>
      <c r="DU48" s="446" t="s">
        <v>76</v>
      </c>
      <c r="DW48" s="137" t="s">
        <v>2284</v>
      </c>
      <c r="DX48" s="137" t="s">
        <v>2335</v>
      </c>
      <c r="ED48" s="137" t="s">
        <v>3035</v>
      </c>
      <c r="EE48" s="137" t="s">
        <v>3194</v>
      </c>
    </row>
    <row r="49" spans="1:135" x14ac:dyDescent="0.3">
      <c r="A49" s="404" t="str">
        <f>'Translate &amp; Prices'!$B$33</f>
        <v>Vivaro zlatá</v>
      </c>
      <c r="B49" s="137">
        <v>2</v>
      </c>
      <c r="C49" s="137" t="s">
        <v>1222</v>
      </c>
      <c r="D49" s="137">
        <v>0</v>
      </c>
      <c r="Q49" s="446" t="str">
        <f>'Translate &amp; Prices'!$B$133</f>
        <v>Lacobel REF 1604</v>
      </c>
      <c r="DT49" s="446" t="s">
        <v>72</v>
      </c>
      <c r="DU49" s="446" t="s">
        <v>72</v>
      </c>
      <c r="DW49" s="137" t="s">
        <v>2478</v>
      </c>
      <c r="DX49" s="137" t="s">
        <v>2482</v>
      </c>
      <c r="ED49" s="137" t="s">
        <v>3036</v>
      </c>
      <c r="EE49" s="137" t="s">
        <v>3195</v>
      </c>
    </row>
    <row r="50" spans="1:135" x14ac:dyDescent="0.3">
      <c r="A50" s="404" t="str">
        <f>'Translate &amp; Prices'!$B$61</f>
        <v>Siena (Vlevo a vpravo) + Varna (Nahoře a dole)</v>
      </c>
      <c r="B50" s="137">
        <v>2</v>
      </c>
      <c r="C50" s="137" t="s">
        <v>1222</v>
      </c>
      <c r="D50" s="137">
        <v>0</v>
      </c>
      <c r="Q50" s="446" t="str">
        <f>'Translate &amp; Prices'!$B$134</f>
        <v>Matelac RAL 2001</v>
      </c>
      <c r="DT50" s="446" t="s">
        <v>69</v>
      </c>
      <c r="DU50" s="446" t="s">
        <v>69</v>
      </c>
      <c r="DW50" s="137" t="s">
        <v>2286</v>
      </c>
      <c r="DX50" s="137" t="s">
        <v>2337</v>
      </c>
      <c r="ED50" s="137" t="s">
        <v>3037</v>
      </c>
      <c r="EE50" s="137" t="s">
        <v>3196</v>
      </c>
    </row>
    <row r="51" spans="1:135" x14ac:dyDescent="0.3">
      <c r="A51" s="404" t="str">
        <f>'Translate &amp; Prices'!$B$63</f>
        <v>Siena černá (Vlevo a vpravo) + Varna černá (Nahoře a dole)</v>
      </c>
      <c r="B51" s="137">
        <v>2</v>
      </c>
      <c r="C51" s="137" t="s">
        <v>1222</v>
      </c>
      <c r="D51" s="137">
        <v>0</v>
      </c>
      <c r="Q51" s="446" t="str">
        <f>'Translate &amp; Prices'!$B$135</f>
        <v>Matelac RAL 3004</v>
      </c>
      <c r="DT51" s="446" t="s">
        <v>73</v>
      </c>
      <c r="DU51" s="446" t="s">
        <v>73</v>
      </c>
      <c r="DW51" s="137" t="s">
        <v>2755</v>
      </c>
      <c r="DX51" s="137" t="s">
        <v>2757</v>
      </c>
      <c r="ED51" s="137" t="s">
        <v>3038</v>
      </c>
      <c r="EE51" s="137" t="s">
        <v>3197</v>
      </c>
    </row>
    <row r="52" spans="1:135" x14ac:dyDescent="0.3">
      <c r="A52" s="404" t="str">
        <f>'Translate &amp; Prices'!$B$65</f>
        <v>Palio (Vlevo a vpravo) + Varna (Nahoře a dole)</v>
      </c>
      <c r="B52" s="137">
        <v>2</v>
      </c>
      <c r="C52" s="137" t="s">
        <v>1222</v>
      </c>
      <c r="D52" s="137">
        <v>0</v>
      </c>
      <c r="Q52" s="446" t="str">
        <f>'Translate &amp; Prices'!$B$136</f>
        <v>Matelac RAL 7021</v>
      </c>
      <c r="DT52" s="446" t="s">
        <v>71</v>
      </c>
      <c r="DU52" s="446" t="s">
        <v>71</v>
      </c>
      <c r="DW52" s="137" t="s">
        <v>2288</v>
      </c>
      <c r="DX52" s="137" t="s">
        <v>2339</v>
      </c>
      <c r="ED52" s="137" t="s">
        <v>3039</v>
      </c>
      <c r="EE52" s="137" t="s">
        <v>3198</v>
      </c>
    </row>
    <row r="53" spans="1:135" x14ac:dyDescent="0.3">
      <c r="A53" s="137" t="str">
        <f>'Translate &amp; Prices'!$B$70</f>
        <v>Palio černá (Vlevo a vpravo) + Varna černá (Nahoře a dole)</v>
      </c>
      <c r="B53" s="137">
        <v>2</v>
      </c>
      <c r="C53" s="137" t="s">
        <v>1222</v>
      </c>
      <c r="D53" s="137">
        <v>0</v>
      </c>
      <c r="Q53" s="446" t="str">
        <f>'Translate &amp; Prices'!$B$137</f>
        <v>Matelac RAL 9003</v>
      </c>
      <c r="DT53" s="446" t="s">
        <v>70</v>
      </c>
      <c r="DU53" s="446" t="s">
        <v>70</v>
      </c>
      <c r="DW53" s="137" t="s">
        <v>2495</v>
      </c>
      <c r="DX53" s="137" t="s">
        <v>2499</v>
      </c>
      <c r="ED53" s="137" t="s">
        <v>3040</v>
      </c>
      <c r="EE53" s="137" t="s">
        <v>3199</v>
      </c>
    </row>
    <row r="54" spans="1:135" x14ac:dyDescent="0.3">
      <c r="A54" s="404" t="str">
        <f>'Translate &amp; Prices'!$B$67</f>
        <v>Rocca (Vlevo a vpravo) + Varna (Nahoře a dole)</v>
      </c>
      <c r="B54" s="137">
        <v>1</v>
      </c>
      <c r="C54" s="137" t="s">
        <v>1222</v>
      </c>
      <c r="D54" s="137">
        <v>0</v>
      </c>
      <c r="Q54" s="446" t="str">
        <f>'Translate &amp; Prices'!$B$138</f>
        <v>Matelac RAL 9005</v>
      </c>
      <c r="DT54" s="446" t="s">
        <v>68</v>
      </c>
      <c r="DU54" s="446" t="s">
        <v>68</v>
      </c>
      <c r="DW54" s="599" t="s">
        <v>991</v>
      </c>
      <c r="DX54" s="137" t="s">
        <v>991</v>
      </c>
      <c r="ED54" s="137" t="s">
        <v>3041</v>
      </c>
      <c r="EE54" s="137" t="s">
        <v>3200</v>
      </c>
    </row>
    <row r="55" spans="1:135" x14ac:dyDescent="0.3">
      <c r="A55" s="404" t="str">
        <f>'Translate &amp; Prices'!$B$69</f>
        <v>Rocca černá (Vlevo a vpravo) + Varna černá (Nahoře a dole)</v>
      </c>
      <c r="B55" s="137">
        <v>1</v>
      </c>
      <c r="C55" s="137" t="s">
        <v>1222</v>
      </c>
      <c r="D55" s="137">
        <v>0</v>
      </c>
      <c r="Q55" s="446" t="str">
        <f>'Translate &amp; Prices'!$B$139</f>
        <v>Matelac RAL 9006</v>
      </c>
      <c r="DT55" s="446" t="s">
        <v>75</v>
      </c>
      <c r="DU55" s="446" t="s">
        <v>75</v>
      </c>
      <c r="DW55" s="599" t="s">
        <v>1400</v>
      </c>
      <c r="DX55" s="137" t="s">
        <v>1409</v>
      </c>
      <c r="ED55" s="137" t="s">
        <v>3042</v>
      </c>
      <c r="EE55" s="137" t="s">
        <v>3201</v>
      </c>
    </row>
    <row r="56" spans="1:135" x14ac:dyDescent="0.3">
      <c r="Q56" s="446" t="str">
        <f>'Translate &amp; Prices'!$B$140</f>
        <v>Matelac RAL 9010</v>
      </c>
      <c r="DT56" s="446" t="s">
        <v>82</v>
      </c>
      <c r="DU56" s="446" t="s">
        <v>546</v>
      </c>
      <c r="DW56" s="599" t="s">
        <v>1657</v>
      </c>
      <c r="DX56" s="137" t="s">
        <v>2568</v>
      </c>
      <c r="ED56" s="137" t="s">
        <v>3043</v>
      </c>
      <c r="EE56" s="137" t="s">
        <v>3202</v>
      </c>
    </row>
    <row r="57" spans="1:135" x14ac:dyDescent="0.3">
      <c r="Q57" s="446" t="str">
        <f>'Translate &amp; Prices'!$B$141</f>
        <v>Matelac REF 1435</v>
      </c>
      <c r="DT57" s="446" t="s">
        <v>84</v>
      </c>
      <c r="DU57" s="446" t="s">
        <v>548</v>
      </c>
      <c r="DW57" s="599" t="s">
        <v>1661</v>
      </c>
      <c r="DX57" s="137" t="s">
        <v>2569</v>
      </c>
      <c r="ED57" s="137" t="s">
        <v>3044</v>
      </c>
      <c r="EE57" s="137" t="s">
        <v>3203</v>
      </c>
    </row>
    <row r="58" spans="1:135" x14ac:dyDescent="0.3">
      <c r="Q58" s="446" t="str">
        <f>'Translate &amp; Prices'!$B$142</f>
        <v>Matelac REF 1586</v>
      </c>
      <c r="DT58" s="446" t="s">
        <v>83</v>
      </c>
      <c r="DU58" s="446" t="s">
        <v>1730</v>
      </c>
      <c r="DW58" s="599" t="s">
        <v>1410</v>
      </c>
      <c r="DX58" s="137" t="s">
        <v>1401</v>
      </c>
      <c r="ED58" s="137" t="s">
        <v>3045</v>
      </c>
      <c r="EE58" s="137" t="s">
        <v>3204</v>
      </c>
    </row>
    <row r="59" spans="1:135" x14ac:dyDescent="0.3">
      <c r="Q59" s="446" t="str">
        <f>'Translate &amp; Prices'!$B$143</f>
        <v>Matelac zrcadlo bronz</v>
      </c>
      <c r="DT59" s="446" t="s">
        <v>718</v>
      </c>
      <c r="DU59" s="446" t="s">
        <v>719</v>
      </c>
      <c r="DW59" s="599" t="s">
        <v>993</v>
      </c>
      <c r="DX59" s="137" t="s">
        <v>2570</v>
      </c>
      <c r="ED59" s="137" t="s">
        <v>3046</v>
      </c>
      <c r="EE59" s="137" t="s">
        <v>3205</v>
      </c>
    </row>
    <row r="60" spans="1:135" x14ac:dyDescent="0.3">
      <c r="Q60" s="446" t="str">
        <f>'Translate &amp; Prices'!$B$145</f>
        <v>Matelac zrcadlo grafit</v>
      </c>
      <c r="DT60" s="446" t="s">
        <v>722</v>
      </c>
      <c r="DU60" s="446" t="s">
        <v>722</v>
      </c>
      <c r="DW60" s="599" t="s">
        <v>1649</v>
      </c>
      <c r="DX60" s="137" t="s">
        <v>2571</v>
      </c>
      <c r="ED60" s="137" t="s">
        <v>3047</v>
      </c>
      <c r="EE60" s="137" t="s">
        <v>3206</v>
      </c>
    </row>
    <row r="61" spans="1:135" x14ac:dyDescent="0.3">
      <c r="Q61" s="446" t="str">
        <f>'Translate &amp; Prices'!$B$146</f>
        <v>Matelac zrcadlo stříbr.</v>
      </c>
      <c r="DT61" s="446" t="s">
        <v>1719</v>
      </c>
      <c r="DU61" s="446" t="s">
        <v>1722</v>
      </c>
      <c r="DW61" s="599" t="s">
        <v>997</v>
      </c>
      <c r="DX61" s="137" t="s">
        <v>998</v>
      </c>
      <c r="ED61" s="137" t="s">
        <v>3048</v>
      </c>
      <c r="EE61" s="137" t="s">
        <v>3207</v>
      </c>
    </row>
    <row r="62" spans="1:135" x14ac:dyDescent="0.3">
      <c r="DT62" s="446" t="s">
        <v>1432</v>
      </c>
      <c r="DU62" s="446" t="s">
        <v>1432</v>
      </c>
      <c r="DW62" s="599" t="s">
        <v>1413</v>
      </c>
      <c r="DX62" s="137" t="s">
        <v>1414</v>
      </c>
      <c r="ED62" s="137" t="s">
        <v>3049</v>
      </c>
      <c r="EE62" s="137" t="s">
        <v>3208</v>
      </c>
    </row>
    <row r="63" spans="1:135" x14ac:dyDescent="0.3">
      <c r="DT63" s="446" t="s">
        <v>1433</v>
      </c>
      <c r="DU63" s="446" t="s">
        <v>1433</v>
      </c>
      <c r="DW63" s="599" t="s">
        <v>42</v>
      </c>
      <c r="DX63" s="137" t="s">
        <v>2572</v>
      </c>
      <c r="ED63" s="137" t="s">
        <v>3050</v>
      </c>
      <c r="EE63" s="137" t="s">
        <v>3209</v>
      </c>
    </row>
    <row r="64" spans="1:135" x14ac:dyDescent="0.3">
      <c r="DT64" s="446" t="s">
        <v>1434</v>
      </c>
      <c r="DU64" s="446" t="s">
        <v>1434</v>
      </c>
      <c r="DW64" s="599" t="s">
        <v>1417</v>
      </c>
      <c r="DX64" s="137" t="s">
        <v>2573</v>
      </c>
      <c r="ED64" s="137" t="s">
        <v>3051</v>
      </c>
      <c r="EE64" s="137" t="s">
        <v>3210</v>
      </c>
    </row>
    <row r="65" spans="124:135" x14ac:dyDescent="0.3">
      <c r="DT65" s="446" t="s">
        <v>1435</v>
      </c>
      <c r="DU65" s="446" t="s">
        <v>1723</v>
      </c>
      <c r="DW65" s="599" t="s">
        <v>2984</v>
      </c>
      <c r="DX65" s="137" t="s">
        <v>2985</v>
      </c>
      <c r="ED65" s="599" t="s">
        <v>3086</v>
      </c>
      <c r="EE65" s="137" t="s">
        <v>3148</v>
      </c>
    </row>
    <row r="66" spans="124:135" x14ac:dyDescent="0.3">
      <c r="DT66" s="446" t="s">
        <v>723</v>
      </c>
      <c r="DU66" s="446" t="s">
        <v>723</v>
      </c>
      <c r="DW66" s="599" t="s">
        <v>1000</v>
      </c>
      <c r="DX66" s="137" t="s">
        <v>1000</v>
      </c>
      <c r="ED66" s="599" t="s">
        <v>3087</v>
      </c>
      <c r="EE66" s="137" t="s">
        <v>3149</v>
      </c>
    </row>
    <row r="67" spans="124:135" x14ac:dyDescent="0.3">
      <c r="DT67" s="446" t="s">
        <v>1728</v>
      </c>
      <c r="DU67" s="446" t="s">
        <v>1727</v>
      </c>
      <c r="DW67" s="599" t="s">
        <v>1683</v>
      </c>
      <c r="DX67" s="137" t="s">
        <v>2574</v>
      </c>
      <c r="ED67" s="599" t="s">
        <v>3088</v>
      </c>
      <c r="EE67" s="137" t="s">
        <v>3150</v>
      </c>
    </row>
    <row r="68" spans="124:135" x14ac:dyDescent="0.3">
      <c r="DT68" s="446" t="s">
        <v>733</v>
      </c>
      <c r="DU68" s="446" t="s">
        <v>2592</v>
      </c>
      <c r="DW68" s="599" t="s">
        <v>1001</v>
      </c>
      <c r="DX68" s="137" t="s">
        <v>2575</v>
      </c>
      <c r="ED68" s="599" t="s">
        <v>3089</v>
      </c>
      <c r="EE68" s="137" t="s">
        <v>3151</v>
      </c>
    </row>
    <row r="69" spans="124:135" x14ac:dyDescent="0.3">
      <c r="DT69" s="446" t="s">
        <v>734</v>
      </c>
      <c r="DU69" s="446" t="s">
        <v>734</v>
      </c>
      <c r="DW69" s="599" t="s">
        <v>1004</v>
      </c>
      <c r="DX69" s="137" t="s">
        <v>1004</v>
      </c>
      <c r="ED69" s="599" t="s">
        <v>3090</v>
      </c>
      <c r="EE69" s="137" t="s">
        <v>3152</v>
      </c>
    </row>
    <row r="70" spans="124:135" x14ac:dyDescent="0.3">
      <c r="DT70" s="446" t="s">
        <v>725</v>
      </c>
      <c r="DU70" s="446" t="s">
        <v>726</v>
      </c>
      <c r="DW70" s="599" t="s">
        <v>1629</v>
      </c>
      <c r="DX70" s="137" t="s">
        <v>2576</v>
      </c>
      <c r="ED70" s="599" t="s">
        <v>3091</v>
      </c>
      <c r="EE70" s="137" t="s">
        <v>3153</v>
      </c>
    </row>
    <row r="71" spans="124:135" x14ac:dyDescent="0.3">
      <c r="DT71" s="446" t="s">
        <v>1721</v>
      </c>
      <c r="DU71" s="446" t="s">
        <v>1724</v>
      </c>
      <c r="DW71" s="599" t="s">
        <v>1678</v>
      </c>
      <c r="DX71" s="137" t="s">
        <v>2577</v>
      </c>
      <c r="ED71" s="599" t="s">
        <v>3092</v>
      </c>
      <c r="EE71" s="137" t="s">
        <v>3154</v>
      </c>
    </row>
    <row r="72" spans="124:135" x14ac:dyDescent="0.3">
      <c r="DT72" s="446" t="s">
        <v>1690</v>
      </c>
      <c r="DU72" s="446" t="s">
        <v>1691</v>
      </c>
      <c r="DW72" s="599" t="s">
        <v>2996</v>
      </c>
      <c r="DX72" s="137" t="s">
        <v>2997</v>
      </c>
      <c r="ED72" s="599" t="s">
        <v>3093</v>
      </c>
      <c r="EE72" s="137" t="s">
        <v>3155</v>
      </c>
    </row>
    <row r="73" spans="124:135" x14ac:dyDescent="0.3">
      <c r="DT73" s="446" t="s">
        <v>1693</v>
      </c>
      <c r="DU73" s="446" t="s">
        <v>1693</v>
      </c>
      <c r="DW73" s="599" t="s">
        <v>1005</v>
      </c>
      <c r="DX73" s="137" t="s">
        <v>1005</v>
      </c>
      <c r="ED73" s="599" t="s">
        <v>3094</v>
      </c>
      <c r="EE73" s="137" t="s">
        <v>3156</v>
      </c>
    </row>
    <row r="74" spans="124:135" x14ac:dyDescent="0.3">
      <c r="DT74" s="446" t="s">
        <v>727</v>
      </c>
      <c r="DU74" s="446" t="s">
        <v>727</v>
      </c>
      <c r="DW74" s="599" t="s">
        <v>1641</v>
      </c>
      <c r="DX74" s="137" t="s">
        <v>2578</v>
      </c>
      <c r="ED74" s="599" t="s">
        <v>3095</v>
      </c>
      <c r="EE74" s="137" t="s">
        <v>3157</v>
      </c>
    </row>
    <row r="75" spans="124:135" x14ac:dyDescent="0.3">
      <c r="DT75" s="446" t="s">
        <v>728</v>
      </c>
      <c r="DU75" s="446" t="s">
        <v>728</v>
      </c>
      <c r="DW75" s="599" t="s">
        <v>689</v>
      </c>
      <c r="DX75" s="137" t="s">
        <v>690</v>
      </c>
      <c r="ED75" s="599" t="s">
        <v>3096</v>
      </c>
      <c r="EE75" s="137" t="s">
        <v>3158</v>
      </c>
    </row>
    <row r="76" spans="124:135" x14ac:dyDescent="0.3">
      <c r="DT76" s="446" t="s">
        <v>729</v>
      </c>
      <c r="DU76" s="446" t="s">
        <v>729</v>
      </c>
      <c r="DW76" s="599" t="s">
        <v>1419</v>
      </c>
      <c r="DX76" s="137" t="s">
        <v>2579</v>
      </c>
      <c r="ED76" s="599" t="s">
        <v>3097</v>
      </c>
      <c r="EE76" s="137" t="s">
        <v>3159</v>
      </c>
    </row>
    <row r="77" spans="124:135" x14ac:dyDescent="0.3">
      <c r="DT77" s="446" t="s">
        <v>730</v>
      </c>
      <c r="DU77" s="446" t="s">
        <v>730</v>
      </c>
      <c r="DW77" s="599" t="s">
        <v>1006</v>
      </c>
      <c r="DX77" s="137" t="s">
        <v>1006</v>
      </c>
      <c r="ED77" s="599" t="s">
        <v>3098</v>
      </c>
      <c r="EE77" s="137" t="s">
        <v>3160</v>
      </c>
    </row>
    <row r="78" spans="124:135" x14ac:dyDescent="0.3">
      <c r="DT78" s="446" t="s">
        <v>732</v>
      </c>
      <c r="DU78" s="446" t="s">
        <v>732</v>
      </c>
      <c r="DW78" s="599" t="s">
        <v>2324</v>
      </c>
      <c r="DX78" s="137" t="s">
        <v>2580</v>
      </c>
      <c r="ED78" s="599" t="s">
        <v>3099</v>
      </c>
      <c r="EE78" s="137" t="s">
        <v>3161</v>
      </c>
    </row>
    <row r="79" spans="124:135" x14ac:dyDescent="0.3">
      <c r="DT79" s="446" t="s">
        <v>61</v>
      </c>
      <c r="DU79" s="446" t="s">
        <v>61</v>
      </c>
      <c r="DW79" s="599" t="s">
        <v>1007</v>
      </c>
      <c r="DX79" s="137" t="s">
        <v>1007</v>
      </c>
      <c r="ED79" s="599" t="s">
        <v>3100</v>
      </c>
      <c r="EE79" s="137" t="s">
        <v>3162</v>
      </c>
    </row>
    <row r="80" spans="124:135" x14ac:dyDescent="0.3">
      <c r="DT80" s="446" t="s">
        <v>62</v>
      </c>
      <c r="DU80" s="446" t="s">
        <v>62</v>
      </c>
      <c r="DW80" s="599" t="s">
        <v>1633</v>
      </c>
      <c r="DX80" s="137" t="s">
        <v>2581</v>
      </c>
      <c r="ED80" s="599" t="s">
        <v>3101</v>
      </c>
      <c r="EE80" s="137" t="s">
        <v>3163</v>
      </c>
    </row>
    <row r="81" spans="124:135" x14ac:dyDescent="0.3">
      <c r="DT81" s="446" t="s">
        <v>45</v>
      </c>
      <c r="DU81" s="446" t="s">
        <v>45</v>
      </c>
      <c r="DW81" s="599" t="s">
        <v>3000</v>
      </c>
      <c r="DX81" s="137" t="s">
        <v>3001</v>
      </c>
      <c r="ED81" s="599" t="s">
        <v>3102</v>
      </c>
      <c r="EE81" s="137" t="s">
        <v>3164</v>
      </c>
    </row>
    <row r="82" spans="124:135" x14ac:dyDescent="0.3">
      <c r="DT82" s="446" t="s">
        <v>51</v>
      </c>
      <c r="DU82" s="446" t="s">
        <v>51</v>
      </c>
      <c r="DW82" s="599" t="s">
        <v>1008</v>
      </c>
      <c r="DX82" s="137" t="s">
        <v>1008</v>
      </c>
      <c r="ED82" s="599" t="s">
        <v>3103</v>
      </c>
      <c r="EE82" s="137" t="s">
        <v>3165</v>
      </c>
    </row>
    <row r="83" spans="124:135" x14ac:dyDescent="0.3">
      <c r="DT83" s="446" t="s">
        <v>52</v>
      </c>
      <c r="DU83" s="446" t="s">
        <v>52</v>
      </c>
      <c r="DW83" s="599" t="s">
        <v>1009</v>
      </c>
      <c r="DX83" s="137" t="s">
        <v>1009</v>
      </c>
      <c r="ED83" s="599" t="s">
        <v>3104</v>
      </c>
      <c r="EE83" s="137" t="s">
        <v>3166</v>
      </c>
    </row>
    <row r="84" spans="124:135" x14ac:dyDescent="0.3">
      <c r="DT84" s="446" t="s">
        <v>53</v>
      </c>
      <c r="DU84" s="446" t="s">
        <v>53</v>
      </c>
      <c r="DW84" s="599" t="s">
        <v>2326</v>
      </c>
      <c r="DX84" s="137" t="s">
        <v>2582</v>
      </c>
      <c r="ED84" s="599" t="s">
        <v>3105</v>
      </c>
      <c r="EE84" s="137" t="s">
        <v>3167</v>
      </c>
    </row>
    <row r="85" spans="124:135" x14ac:dyDescent="0.3">
      <c r="DT85" s="446" t="s">
        <v>46</v>
      </c>
      <c r="DU85" s="446" t="s">
        <v>46</v>
      </c>
      <c r="DW85" s="599" t="s">
        <v>1010</v>
      </c>
      <c r="DX85" s="137" t="s">
        <v>1010</v>
      </c>
      <c r="ED85" s="599" t="s">
        <v>3106</v>
      </c>
      <c r="EE85" s="137" t="s">
        <v>3168</v>
      </c>
    </row>
    <row r="86" spans="124:135" x14ac:dyDescent="0.3">
      <c r="DT86" s="446" t="s">
        <v>56</v>
      </c>
      <c r="DU86" s="446" t="s">
        <v>56</v>
      </c>
      <c r="DW86" s="599" t="s">
        <v>700</v>
      </c>
      <c r="DX86" s="137" t="s">
        <v>2583</v>
      </c>
      <c r="ED86" s="599" t="s">
        <v>3014</v>
      </c>
      <c r="EE86" s="137" t="s">
        <v>3169</v>
      </c>
    </row>
    <row r="87" spans="124:135" x14ac:dyDescent="0.3">
      <c r="DT87" s="446" t="s">
        <v>60</v>
      </c>
      <c r="DU87" s="446" t="s">
        <v>60</v>
      </c>
      <c r="DW87" s="599" t="s">
        <v>697</v>
      </c>
      <c r="DX87" s="137" t="s">
        <v>698</v>
      </c>
      <c r="ED87" s="599" t="s">
        <v>3107</v>
      </c>
      <c r="EE87" s="137" t="s">
        <v>3170</v>
      </c>
    </row>
    <row r="88" spans="124:135" x14ac:dyDescent="0.3">
      <c r="DT88" s="446" t="s">
        <v>63</v>
      </c>
      <c r="DU88" s="446" t="s">
        <v>63</v>
      </c>
      <c r="DW88" s="599" t="s">
        <v>1617</v>
      </c>
      <c r="DX88" s="137" t="s">
        <v>2584</v>
      </c>
      <c r="ED88" s="599" t="s">
        <v>3108</v>
      </c>
      <c r="EE88" s="137" t="s">
        <v>3171</v>
      </c>
    </row>
    <row r="89" spans="124:135" x14ac:dyDescent="0.3">
      <c r="DT89" s="446" t="s">
        <v>65</v>
      </c>
      <c r="DU89" s="446" t="s">
        <v>65</v>
      </c>
      <c r="DW89" s="599" t="s">
        <v>1422</v>
      </c>
      <c r="DX89" s="137" t="s">
        <v>1423</v>
      </c>
      <c r="ED89" s="599" t="s">
        <v>3109</v>
      </c>
      <c r="EE89" s="137" t="s">
        <v>3172</v>
      </c>
    </row>
    <row r="90" spans="124:135" x14ac:dyDescent="0.3">
      <c r="DT90" s="446" t="s">
        <v>64</v>
      </c>
      <c r="DU90" s="446" t="s">
        <v>64</v>
      </c>
      <c r="DW90" s="599" t="s">
        <v>693</v>
      </c>
      <c r="DX90" s="137" t="s">
        <v>2585</v>
      </c>
      <c r="ED90" s="599" t="s">
        <v>3110</v>
      </c>
      <c r="EE90" s="137" t="s">
        <v>3173</v>
      </c>
    </row>
    <row r="91" spans="124:135" x14ac:dyDescent="0.3">
      <c r="DT91" s="446" t="s">
        <v>1013</v>
      </c>
      <c r="DU91" s="446" t="s">
        <v>1013</v>
      </c>
      <c r="DW91" s="599" t="s">
        <v>703</v>
      </c>
      <c r="DX91" s="137" t="s">
        <v>2586</v>
      </c>
      <c r="ED91" s="599" t="s">
        <v>3111</v>
      </c>
      <c r="EE91" s="137" t="s">
        <v>3174</v>
      </c>
    </row>
    <row r="92" spans="124:135" x14ac:dyDescent="0.3">
      <c r="DT92" s="446" t="s">
        <v>47</v>
      </c>
      <c r="DU92" s="446" t="s">
        <v>47</v>
      </c>
      <c r="DW92" s="599" t="s">
        <v>1427</v>
      </c>
      <c r="DX92" s="137" t="s">
        <v>2587</v>
      </c>
      <c r="ED92" s="599" t="s">
        <v>3112</v>
      </c>
      <c r="EE92" s="137" t="s">
        <v>3175</v>
      </c>
    </row>
    <row r="93" spans="124:135" x14ac:dyDescent="0.3">
      <c r="DT93" s="446" t="s">
        <v>54</v>
      </c>
      <c r="DU93" s="446" t="s">
        <v>54</v>
      </c>
      <c r="DW93" s="599" t="s">
        <v>2988</v>
      </c>
      <c r="DX93" s="137" t="s">
        <v>2989</v>
      </c>
      <c r="ED93" s="599" t="s">
        <v>3113</v>
      </c>
      <c r="EE93" s="137" t="s">
        <v>3176</v>
      </c>
    </row>
    <row r="94" spans="124:135" x14ac:dyDescent="0.3">
      <c r="DT94" s="446" t="s">
        <v>66</v>
      </c>
      <c r="DU94" s="446" t="s">
        <v>66</v>
      </c>
      <c r="DW94" s="599" t="s">
        <v>1011</v>
      </c>
      <c r="DX94" s="137" t="s">
        <v>1011</v>
      </c>
      <c r="ED94" s="599" t="s">
        <v>3114</v>
      </c>
      <c r="EE94" s="137" t="s">
        <v>3177</v>
      </c>
    </row>
    <row r="95" spans="124:135" x14ac:dyDescent="0.3">
      <c r="DT95" s="446" t="s">
        <v>57</v>
      </c>
      <c r="DU95" s="446" t="s">
        <v>57</v>
      </c>
      <c r="DW95" s="599" t="s">
        <v>1625</v>
      </c>
      <c r="DX95" s="137" t="s">
        <v>2588</v>
      </c>
      <c r="ED95" s="599" t="s">
        <v>3115</v>
      </c>
      <c r="EE95" s="137" t="s">
        <v>3178</v>
      </c>
    </row>
    <row r="96" spans="124:135" x14ac:dyDescent="0.3">
      <c r="DT96" s="446" t="s">
        <v>58</v>
      </c>
      <c r="DU96" s="446" t="s">
        <v>58</v>
      </c>
      <c r="DW96" s="599" t="s">
        <v>1430</v>
      </c>
      <c r="DX96" s="137" t="s">
        <v>2589</v>
      </c>
      <c r="ED96" s="599" t="s">
        <v>3116</v>
      </c>
      <c r="EE96" s="137" t="s">
        <v>3179</v>
      </c>
    </row>
    <row r="97" spans="124:135" x14ac:dyDescent="0.3">
      <c r="DT97" s="446" t="s">
        <v>48</v>
      </c>
      <c r="DU97" s="446" t="s">
        <v>48</v>
      </c>
      <c r="DW97" s="599" t="s">
        <v>1665</v>
      </c>
      <c r="DX97" s="137" t="s">
        <v>2590</v>
      </c>
      <c r="ED97" s="599" t="s">
        <v>3117</v>
      </c>
      <c r="EE97" s="137" t="s">
        <v>3180</v>
      </c>
    </row>
    <row r="98" spans="124:135" x14ac:dyDescent="0.3">
      <c r="DT98" s="446" t="s">
        <v>49</v>
      </c>
      <c r="DU98" s="446" t="s">
        <v>49</v>
      </c>
      <c r="DW98" s="599" t="s">
        <v>1669</v>
      </c>
      <c r="DX98" s="137" t="s">
        <v>2591</v>
      </c>
      <c r="ED98" s="599" t="s">
        <v>3118</v>
      </c>
      <c r="EE98" s="137" t="s">
        <v>3181</v>
      </c>
    </row>
    <row r="99" spans="124:135" x14ac:dyDescent="0.3">
      <c r="DT99" s="446" t="s">
        <v>55</v>
      </c>
      <c r="DU99" s="446" t="s">
        <v>55</v>
      </c>
      <c r="DW99" s="599" t="s">
        <v>2992</v>
      </c>
      <c r="DX99" s="137" t="s">
        <v>2993</v>
      </c>
      <c r="ED99" s="599" t="s">
        <v>3119</v>
      </c>
      <c r="EE99" s="137" t="s">
        <v>3182</v>
      </c>
    </row>
    <row r="100" spans="124:135" x14ac:dyDescent="0.3">
      <c r="DT100" s="446" t="s">
        <v>50</v>
      </c>
      <c r="DU100" s="446" t="s">
        <v>50</v>
      </c>
      <c r="DW100" s="599" t="s">
        <v>2329</v>
      </c>
      <c r="DX100" s="137" t="s">
        <v>2335</v>
      </c>
      <c r="ED100" s="599" t="s">
        <v>3120</v>
      </c>
      <c r="EE100" s="137" t="s">
        <v>3183</v>
      </c>
    </row>
    <row r="101" spans="124:135" x14ac:dyDescent="0.3">
      <c r="DT101" s="446" t="s">
        <v>67</v>
      </c>
      <c r="DU101" s="446" t="s">
        <v>67</v>
      </c>
      <c r="DW101" s="599" t="s">
        <v>2480</v>
      </c>
      <c r="DX101" s="137" t="s">
        <v>2482</v>
      </c>
      <c r="ED101" s="599" t="s">
        <v>3121</v>
      </c>
      <c r="EE101" s="137" t="s">
        <v>3184</v>
      </c>
    </row>
    <row r="102" spans="124:135" x14ac:dyDescent="0.3">
      <c r="DT102" s="446" t="s">
        <v>44</v>
      </c>
      <c r="DU102" s="446" t="s">
        <v>44</v>
      </c>
      <c r="DW102" s="599" t="s">
        <v>2331</v>
      </c>
      <c r="DX102" s="137" t="s">
        <v>2337</v>
      </c>
      <c r="ED102" s="599" t="s">
        <v>3122</v>
      </c>
      <c r="EE102" s="137" t="s">
        <v>3185</v>
      </c>
    </row>
    <row r="103" spans="124:135" x14ac:dyDescent="0.3">
      <c r="DT103" s="446" t="s">
        <v>59</v>
      </c>
      <c r="DU103" s="446" t="s">
        <v>59</v>
      </c>
      <c r="DW103" s="599" t="s">
        <v>2756</v>
      </c>
      <c r="DX103" s="137" t="s">
        <v>2757</v>
      </c>
      <c r="ED103" s="599" t="s">
        <v>3123</v>
      </c>
      <c r="EE103" s="137" t="s">
        <v>3186</v>
      </c>
    </row>
    <row r="104" spans="124:135" x14ac:dyDescent="0.3">
      <c r="DT104" s="446" t="s">
        <v>74</v>
      </c>
      <c r="DU104" s="446" t="s">
        <v>74</v>
      </c>
      <c r="DW104" s="599" t="s">
        <v>2333</v>
      </c>
      <c r="DX104" s="137" t="s">
        <v>2339</v>
      </c>
      <c r="ED104" s="599" t="s">
        <v>3124</v>
      </c>
      <c r="EE104" s="137" t="s">
        <v>3187</v>
      </c>
    </row>
    <row r="105" spans="124:135" x14ac:dyDescent="0.3">
      <c r="DT105" s="446" t="s">
        <v>76</v>
      </c>
      <c r="DU105" s="446" t="s">
        <v>76</v>
      </c>
      <c r="DW105" s="599" t="s">
        <v>2497</v>
      </c>
      <c r="DX105" s="137" t="s">
        <v>2499</v>
      </c>
      <c r="ED105" s="599" t="s">
        <v>3125</v>
      </c>
      <c r="EE105" s="137" t="s">
        <v>3188</v>
      </c>
    </row>
    <row r="106" spans="124:135" x14ac:dyDescent="0.3">
      <c r="DT106" s="446" t="s">
        <v>72</v>
      </c>
      <c r="DU106" s="446" t="s">
        <v>72</v>
      </c>
      <c r="DW106" s="137" t="s">
        <v>991</v>
      </c>
      <c r="DX106" s="137" t="s">
        <v>991</v>
      </c>
      <c r="ED106" s="599" t="s">
        <v>3126</v>
      </c>
      <c r="EE106" s="137" t="s">
        <v>3189</v>
      </c>
    </row>
    <row r="107" spans="124:135" x14ac:dyDescent="0.3">
      <c r="DT107" s="446" t="s">
        <v>69</v>
      </c>
      <c r="DU107" s="446" t="s">
        <v>69</v>
      </c>
      <c r="DW107" s="137" t="s">
        <v>1409</v>
      </c>
      <c r="DX107" s="137" t="s">
        <v>1409</v>
      </c>
      <c r="ED107" s="599" t="s">
        <v>3127</v>
      </c>
      <c r="EE107" s="137" t="s">
        <v>3190</v>
      </c>
    </row>
    <row r="108" spans="124:135" x14ac:dyDescent="0.3">
      <c r="DT108" s="446" t="s">
        <v>73</v>
      </c>
      <c r="DU108" s="446" t="s">
        <v>73</v>
      </c>
      <c r="DW108" s="137" t="s">
        <v>2568</v>
      </c>
      <c r="DX108" s="137" t="s">
        <v>2568</v>
      </c>
      <c r="ED108" s="599" t="s">
        <v>3128</v>
      </c>
      <c r="EE108" s="137" t="s">
        <v>3191</v>
      </c>
    </row>
    <row r="109" spans="124:135" x14ac:dyDescent="0.3">
      <c r="DT109" s="446" t="s">
        <v>71</v>
      </c>
      <c r="DU109" s="446" t="s">
        <v>71</v>
      </c>
      <c r="DW109" s="137" t="s">
        <v>2569</v>
      </c>
      <c r="DX109" s="137" t="s">
        <v>2569</v>
      </c>
      <c r="ED109" s="599" t="s">
        <v>3129</v>
      </c>
      <c r="EE109" s="137" t="s">
        <v>3192</v>
      </c>
    </row>
    <row r="110" spans="124:135" x14ac:dyDescent="0.3">
      <c r="DT110" s="446" t="s">
        <v>70</v>
      </c>
      <c r="DU110" s="446" t="s">
        <v>70</v>
      </c>
      <c r="DW110" s="137" t="s">
        <v>1401</v>
      </c>
      <c r="DX110" s="137" t="s">
        <v>1401</v>
      </c>
      <c r="ED110" s="599" t="s">
        <v>3130</v>
      </c>
      <c r="EE110" s="137" t="s">
        <v>3193</v>
      </c>
    </row>
    <row r="111" spans="124:135" x14ac:dyDescent="0.3">
      <c r="DT111" s="446" t="s">
        <v>68</v>
      </c>
      <c r="DU111" s="446" t="s">
        <v>68</v>
      </c>
      <c r="DW111" s="137" t="s">
        <v>2570</v>
      </c>
      <c r="DX111" s="137" t="s">
        <v>2570</v>
      </c>
      <c r="ED111" s="599" t="s">
        <v>3131</v>
      </c>
      <c r="EE111" s="137" t="s">
        <v>3194</v>
      </c>
    </row>
    <row r="112" spans="124:135" x14ac:dyDescent="0.3">
      <c r="DT112" s="446" t="s">
        <v>75</v>
      </c>
      <c r="DU112" s="446" t="s">
        <v>75</v>
      </c>
      <c r="DW112" s="137" t="s">
        <v>2571</v>
      </c>
      <c r="DX112" s="137" t="s">
        <v>2571</v>
      </c>
      <c r="ED112" s="599" t="s">
        <v>3132</v>
      </c>
      <c r="EE112" s="137" t="s">
        <v>3195</v>
      </c>
    </row>
    <row r="113" spans="124:135" x14ac:dyDescent="0.3">
      <c r="DT113" s="446" t="s">
        <v>549</v>
      </c>
      <c r="DU113" s="446" t="s">
        <v>546</v>
      </c>
      <c r="DW113" s="137" t="s">
        <v>998</v>
      </c>
      <c r="DX113" s="137" t="s">
        <v>998</v>
      </c>
      <c r="ED113" s="599" t="s">
        <v>3133</v>
      </c>
      <c r="EE113" s="137" t="s">
        <v>3196</v>
      </c>
    </row>
    <row r="114" spans="124:135" x14ac:dyDescent="0.3">
      <c r="DT114" s="446" t="s">
        <v>551</v>
      </c>
      <c r="DU114" s="446" t="s">
        <v>548</v>
      </c>
      <c r="DW114" s="137" t="s">
        <v>1414</v>
      </c>
      <c r="DX114" s="137" t="s">
        <v>1414</v>
      </c>
      <c r="ED114" s="599" t="s">
        <v>3134</v>
      </c>
      <c r="EE114" s="137" t="s">
        <v>3197</v>
      </c>
    </row>
    <row r="115" spans="124:135" x14ac:dyDescent="0.3">
      <c r="DT115" s="446" t="s">
        <v>1729</v>
      </c>
      <c r="DU115" s="446" t="s">
        <v>1730</v>
      </c>
      <c r="DW115" s="137" t="s">
        <v>2572</v>
      </c>
      <c r="DX115" s="137" t="s">
        <v>2572</v>
      </c>
      <c r="ED115" s="599" t="s">
        <v>3135</v>
      </c>
      <c r="EE115" s="137" t="s">
        <v>3198</v>
      </c>
    </row>
    <row r="116" spans="124:135" x14ac:dyDescent="0.3">
      <c r="DT116" s="446" t="s">
        <v>719</v>
      </c>
      <c r="DU116" s="446" t="s">
        <v>719</v>
      </c>
      <c r="DW116" s="137" t="s">
        <v>2573</v>
      </c>
      <c r="DX116" s="137" t="s">
        <v>2573</v>
      </c>
      <c r="ED116" s="599" t="s">
        <v>3136</v>
      </c>
      <c r="EE116" s="137" t="s">
        <v>3199</v>
      </c>
    </row>
    <row r="117" spans="124:135" x14ac:dyDescent="0.3">
      <c r="DT117" s="446" t="s">
        <v>722</v>
      </c>
      <c r="DU117" s="446" t="s">
        <v>722</v>
      </c>
      <c r="DW117" s="137" t="s">
        <v>2985</v>
      </c>
      <c r="DX117" s="137" t="s">
        <v>2985</v>
      </c>
      <c r="ED117" s="599" t="s">
        <v>3137</v>
      </c>
      <c r="EE117" s="137" t="s">
        <v>3200</v>
      </c>
    </row>
    <row r="118" spans="124:135" x14ac:dyDescent="0.3">
      <c r="DT118" s="446" t="s">
        <v>1722</v>
      </c>
      <c r="DU118" s="446" t="s">
        <v>1722</v>
      </c>
      <c r="DW118" s="137" t="s">
        <v>1000</v>
      </c>
      <c r="DX118" s="137" t="s">
        <v>1000</v>
      </c>
      <c r="ED118" s="599" t="s">
        <v>3138</v>
      </c>
      <c r="EE118" s="137" t="s">
        <v>3201</v>
      </c>
    </row>
    <row r="119" spans="124:135" x14ac:dyDescent="0.3">
      <c r="DT119" s="446" t="s">
        <v>1432</v>
      </c>
      <c r="DU119" s="446" t="s">
        <v>1432</v>
      </c>
      <c r="DW119" s="137" t="s">
        <v>2574</v>
      </c>
      <c r="DX119" s="137" t="s">
        <v>2574</v>
      </c>
      <c r="ED119" s="599" t="s">
        <v>3139</v>
      </c>
      <c r="EE119" s="137" t="s">
        <v>3202</v>
      </c>
    </row>
    <row r="120" spans="124:135" x14ac:dyDescent="0.3">
      <c r="DT120" s="446" t="s">
        <v>1433</v>
      </c>
      <c r="DU120" s="446" t="s">
        <v>1433</v>
      </c>
      <c r="DW120" s="137" t="s">
        <v>2575</v>
      </c>
      <c r="DX120" s="137" t="s">
        <v>2575</v>
      </c>
      <c r="ED120" s="599" t="s">
        <v>3140</v>
      </c>
      <c r="EE120" s="137" t="s">
        <v>3203</v>
      </c>
    </row>
    <row r="121" spans="124:135" x14ac:dyDescent="0.3">
      <c r="DT121" s="446" t="s">
        <v>1434</v>
      </c>
      <c r="DU121" s="446" t="s">
        <v>1434</v>
      </c>
      <c r="DW121" s="137" t="s">
        <v>1004</v>
      </c>
      <c r="DX121" s="137" t="s">
        <v>1004</v>
      </c>
      <c r="ED121" s="599" t="s">
        <v>3141</v>
      </c>
      <c r="EE121" s="137" t="s">
        <v>3204</v>
      </c>
    </row>
    <row r="122" spans="124:135" x14ac:dyDescent="0.3">
      <c r="DT122" s="446" t="s">
        <v>1723</v>
      </c>
      <c r="DU122" s="446" t="s">
        <v>1723</v>
      </c>
      <c r="DW122" s="137" t="s">
        <v>2576</v>
      </c>
      <c r="DX122" s="137" t="s">
        <v>2576</v>
      </c>
      <c r="ED122" s="599" t="s">
        <v>3142</v>
      </c>
      <c r="EE122" s="137" t="s">
        <v>3205</v>
      </c>
    </row>
    <row r="123" spans="124:135" x14ac:dyDescent="0.3">
      <c r="DT123" s="446" t="s">
        <v>723</v>
      </c>
      <c r="DU123" s="446" t="s">
        <v>723</v>
      </c>
      <c r="DW123" s="137" t="s">
        <v>2577</v>
      </c>
      <c r="DX123" s="137" t="s">
        <v>2577</v>
      </c>
      <c r="ED123" s="599" t="s">
        <v>3143</v>
      </c>
      <c r="EE123" s="137" t="s">
        <v>3206</v>
      </c>
    </row>
    <row r="124" spans="124:135" x14ac:dyDescent="0.3">
      <c r="DT124" s="446" t="s">
        <v>1727</v>
      </c>
      <c r="DU124" s="446" t="s">
        <v>1727</v>
      </c>
      <c r="DW124" s="137" t="s">
        <v>2997</v>
      </c>
      <c r="DX124" s="137" t="s">
        <v>2997</v>
      </c>
      <c r="ED124" s="599" t="s">
        <v>3144</v>
      </c>
      <c r="EE124" s="137" t="s">
        <v>3207</v>
      </c>
    </row>
    <row r="125" spans="124:135" x14ac:dyDescent="0.3">
      <c r="DT125" s="446" t="s">
        <v>2592</v>
      </c>
      <c r="DU125" s="446" t="s">
        <v>2592</v>
      </c>
      <c r="DW125" s="137" t="s">
        <v>1005</v>
      </c>
      <c r="DX125" s="137" t="s">
        <v>1005</v>
      </c>
      <c r="ED125" s="599" t="s">
        <v>3145</v>
      </c>
      <c r="EE125" s="137" t="s">
        <v>3208</v>
      </c>
    </row>
    <row r="126" spans="124:135" x14ac:dyDescent="0.3">
      <c r="DT126" s="446" t="s">
        <v>734</v>
      </c>
      <c r="DU126" s="446" t="s">
        <v>734</v>
      </c>
      <c r="DW126" s="137" t="s">
        <v>2578</v>
      </c>
      <c r="DX126" s="137" t="s">
        <v>2578</v>
      </c>
      <c r="ED126" s="599" t="s">
        <v>3146</v>
      </c>
      <c r="EE126" s="137" t="s">
        <v>3209</v>
      </c>
    </row>
    <row r="127" spans="124:135" x14ac:dyDescent="0.3">
      <c r="DT127" s="446" t="s">
        <v>726</v>
      </c>
      <c r="DU127" s="446" t="s">
        <v>726</v>
      </c>
      <c r="DW127" s="137" t="s">
        <v>690</v>
      </c>
      <c r="DX127" s="137" t="s">
        <v>690</v>
      </c>
      <c r="ED127" s="599" t="s">
        <v>3147</v>
      </c>
      <c r="EE127" s="137" t="s">
        <v>3210</v>
      </c>
    </row>
    <row r="128" spans="124:135" x14ac:dyDescent="0.3">
      <c r="DT128" s="446" t="s">
        <v>1724</v>
      </c>
      <c r="DU128" s="446" t="s">
        <v>1724</v>
      </c>
      <c r="DW128" s="137" t="s">
        <v>2579</v>
      </c>
      <c r="DX128" s="137" t="s">
        <v>2579</v>
      </c>
      <c r="ED128" s="137" t="s">
        <v>3148</v>
      </c>
      <c r="EE128" s="137" t="s">
        <v>3148</v>
      </c>
    </row>
    <row r="129" spans="124:135" x14ac:dyDescent="0.3">
      <c r="DT129" s="446" t="s">
        <v>1691</v>
      </c>
      <c r="DU129" s="446" t="s">
        <v>1691</v>
      </c>
      <c r="DW129" s="137" t="s">
        <v>1006</v>
      </c>
      <c r="DX129" s="137" t="s">
        <v>1006</v>
      </c>
      <c r="ED129" s="137" t="s">
        <v>3149</v>
      </c>
      <c r="EE129" s="137" t="s">
        <v>3149</v>
      </c>
    </row>
    <row r="130" spans="124:135" x14ac:dyDescent="0.3">
      <c r="DT130" s="446" t="s">
        <v>1693</v>
      </c>
      <c r="DU130" s="446" t="s">
        <v>1693</v>
      </c>
      <c r="DW130" s="137" t="s">
        <v>2580</v>
      </c>
      <c r="DX130" s="137" t="s">
        <v>2580</v>
      </c>
      <c r="ED130" s="137" t="s">
        <v>3150</v>
      </c>
      <c r="EE130" s="137" t="s">
        <v>3150</v>
      </c>
    </row>
    <row r="131" spans="124:135" x14ac:dyDescent="0.3">
      <c r="DT131" s="446" t="s">
        <v>727</v>
      </c>
      <c r="DU131" s="446" t="s">
        <v>727</v>
      </c>
      <c r="DW131" s="137" t="s">
        <v>1007</v>
      </c>
      <c r="DX131" s="137" t="s">
        <v>1007</v>
      </c>
      <c r="ED131" s="137" t="s">
        <v>3151</v>
      </c>
      <c r="EE131" s="137" t="s">
        <v>3151</v>
      </c>
    </row>
    <row r="132" spans="124:135" x14ac:dyDescent="0.3">
      <c r="DT132" s="446" t="s">
        <v>728</v>
      </c>
      <c r="DU132" s="446" t="s">
        <v>728</v>
      </c>
      <c r="DW132" s="137" t="s">
        <v>2581</v>
      </c>
      <c r="DX132" s="137" t="s">
        <v>2581</v>
      </c>
      <c r="ED132" s="137" t="s">
        <v>3152</v>
      </c>
      <c r="EE132" s="137" t="s">
        <v>3152</v>
      </c>
    </row>
    <row r="133" spans="124:135" x14ac:dyDescent="0.3">
      <c r="DT133" s="446" t="s">
        <v>729</v>
      </c>
      <c r="DU133" s="446" t="s">
        <v>729</v>
      </c>
      <c r="DW133" s="137" t="s">
        <v>3001</v>
      </c>
      <c r="DX133" s="137" t="s">
        <v>3001</v>
      </c>
      <c r="ED133" s="137" t="s">
        <v>3153</v>
      </c>
      <c r="EE133" s="137" t="s">
        <v>3153</v>
      </c>
    </row>
    <row r="134" spans="124:135" x14ac:dyDescent="0.3">
      <c r="DT134" s="446" t="s">
        <v>730</v>
      </c>
      <c r="DU134" s="446" t="s">
        <v>730</v>
      </c>
      <c r="DW134" s="137" t="s">
        <v>1008</v>
      </c>
      <c r="DX134" s="137" t="s">
        <v>1008</v>
      </c>
      <c r="ED134" s="137" t="s">
        <v>3154</v>
      </c>
      <c r="EE134" s="137" t="s">
        <v>3154</v>
      </c>
    </row>
    <row r="135" spans="124:135" x14ac:dyDescent="0.3">
      <c r="DT135" s="446" t="s">
        <v>732</v>
      </c>
      <c r="DU135" s="446" t="s">
        <v>732</v>
      </c>
      <c r="DW135" s="137" t="s">
        <v>1009</v>
      </c>
      <c r="DX135" s="137" t="s">
        <v>1009</v>
      </c>
      <c r="ED135" s="137" t="s">
        <v>3155</v>
      </c>
      <c r="EE135" s="137" t="s">
        <v>3155</v>
      </c>
    </row>
    <row r="136" spans="124:135" x14ac:dyDescent="0.3">
      <c r="DT136" s="446" t="s">
        <v>61</v>
      </c>
      <c r="DU136" s="446" t="s">
        <v>61</v>
      </c>
      <c r="DW136" s="137" t="s">
        <v>2582</v>
      </c>
      <c r="DX136" s="137" t="s">
        <v>2582</v>
      </c>
      <c r="ED136" s="137" t="s">
        <v>3156</v>
      </c>
      <c r="EE136" s="137" t="s">
        <v>3156</v>
      </c>
    </row>
    <row r="137" spans="124:135" x14ac:dyDescent="0.3">
      <c r="DT137" s="446" t="s">
        <v>62</v>
      </c>
      <c r="DU137" s="446" t="s">
        <v>62</v>
      </c>
      <c r="DW137" s="137" t="s">
        <v>1010</v>
      </c>
      <c r="DX137" s="137" t="s">
        <v>1010</v>
      </c>
      <c r="ED137" s="137" t="s">
        <v>3157</v>
      </c>
      <c r="EE137" s="137" t="s">
        <v>3157</v>
      </c>
    </row>
    <row r="138" spans="124:135" x14ac:dyDescent="0.3">
      <c r="DT138" s="446" t="s">
        <v>45</v>
      </c>
      <c r="DU138" s="446" t="s">
        <v>45</v>
      </c>
      <c r="DW138" s="137" t="s">
        <v>2583</v>
      </c>
      <c r="DX138" s="137" t="s">
        <v>2583</v>
      </c>
      <c r="ED138" s="137" t="s">
        <v>3158</v>
      </c>
      <c r="EE138" s="137" t="s">
        <v>3158</v>
      </c>
    </row>
    <row r="139" spans="124:135" x14ac:dyDescent="0.3">
      <c r="DT139" s="446" t="s">
        <v>51</v>
      </c>
      <c r="DU139" s="446" t="s">
        <v>51</v>
      </c>
      <c r="DW139" s="137" t="s">
        <v>698</v>
      </c>
      <c r="DX139" s="137" t="s">
        <v>698</v>
      </c>
      <c r="ED139" s="137" t="s">
        <v>3159</v>
      </c>
      <c r="EE139" s="137" t="s">
        <v>3159</v>
      </c>
    </row>
    <row r="140" spans="124:135" x14ac:dyDescent="0.3">
      <c r="DT140" s="446" t="s">
        <v>52</v>
      </c>
      <c r="DU140" s="446" t="s">
        <v>52</v>
      </c>
      <c r="DW140" s="137" t="s">
        <v>2584</v>
      </c>
      <c r="DX140" s="137" t="s">
        <v>2584</v>
      </c>
      <c r="ED140" s="137" t="s">
        <v>3160</v>
      </c>
      <c r="EE140" s="137" t="s">
        <v>3160</v>
      </c>
    </row>
    <row r="141" spans="124:135" x14ac:dyDescent="0.3">
      <c r="DT141" s="446" t="s">
        <v>53</v>
      </c>
      <c r="DU141" s="446" t="s">
        <v>53</v>
      </c>
      <c r="DW141" s="137" t="s">
        <v>1423</v>
      </c>
      <c r="DX141" s="137" t="s">
        <v>1423</v>
      </c>
      <c r="ED141" s="137" t="s">
        <v>3161</v>
      </c>
      <c r="EE141" s="137" t="s">
        <v>3161</v>
      </c>
    </row>
    <row r="142" spans="124:135" x14ac:dyDescent="0.3">
      <c r="DT142" s="446" t="s">
        <v>46</v>
      </c>
      <c r="DU142" s="446" t="s">
        <v>46</v>
      </c>
      <c r="DW142" s="137" t="s">
        <v>2585</v>
      </c>
      <c r="DX142" s="137" t="s">
        <v>2585</v>
      </c>
      <c r="ED142" s="137" t="s">
        <v>3162</v>
      </c>
      <c r="EE142" s="137" t="s">
        <v>3162</v>
      </c>
    </row>
    <row r="143" spans="124:135" x14ac:dyDescent="0.3">
      <c r="DT143" s="446" t="s">
        <v>56</v>
      </c>
      <c r="DU143" s="446" t="s">
        <v>56</v>
      </c>
      <c r="DW143" s="137" t="s">
        <v>2586</v>
      </c>
      <c r="DX143" s="137" t="s">
        <v>2586</v>
      </c>
      <c r="ED143" s="137" t="s">
        <v>3163</v>
      </c>
      <c r="EE143" s="137" t="s">
        <v>3163</v>
      </c>
    </row>
    <row r="144" spans="124:135" x14ac:dyDescent="0.3">
      <c r="DT144" s="446" t="s">
        <v>60</v>
      </c>
      <c r="DU144" s="446" t="s">
        <v>60</v>
      </c>
      <c r="DW144" s="137" t="s">
        <v>2587</v>
      </c>
      <c r="DX144" s="137" t="s">
        <v>2587</v>
      </c>
      <c r="ED144" s="137" t="s">
        <v>3164</v>
      </c>
      <c r="EE144" s="137" t="s">
        <v>3164</v>
      </c>
    </row>
    <row r="145" spans="124:135" x14ac:dyDescent="0.3">
      <c r="DT145" s="446" t="s">
        <v>63</v>
      </c>
      <c r="DU145" s="446" t="s">
        <v>63</v>
      </c>
      <c r="DW145" s="137" t="s">
        <v>2989</v>
      </c>
      <c r="DX145" s="137" t="s">
        <v>2989</v>
      </c>
      <c r="ED145" s="137" t="s">
        <v>3165</v>
      </c>
      <c r="EE145" s="137" t="s">
        <v>3165</v>
      </c>
    </row>
    <row r="146" spans="124:135" x14ac:dyDescent="0.3">
      <c r="DT146" s="446" t="s">
        <v>65</v>
      </c>
      <c r="DU146" s="446" t="s">
        <v>65</v>
      </c>
      <c r="DW146" s="137" t="s">
        <v>1011</v>
      </c>
      <c r="DX146" s="137" t="s">
        <v>1011</v>
      </c>
      <c r="ED146" s="137" t="s">
        <v>3166</v>
      </c>
      <c r="EE146" s="137" t="s">
        <v>3166</v>
      </c>
    </row>
    <row r="147" spans="124:135" x14ac:dyDescent="0.3">
      <c r="DT147" s="446" t="s">
        <v>64</v>
      </c>
      <c r="DU147" s="446" t="s">
        <v>64</v>
      </c>
      <c r="DW147" s="137" t="s">
        <v>2588</v>
      </c>
      <c r="DX147" s="137" t="s">
        <v>2588</v>
      </c>
      <c r="ED147" s="137" t="s">
        <v>3167</v>
      </c>
      <c r="EE147" s="137" t="s">
        <v>3167</v>
      </c>
    </row>
    <row r="148" spans="124:135" x14ac:dyDescent="0.3">
      <c r="DT148" s="446" t="s">
        <v>1013</v>
      </c>
      <c r="DU148" s="446" t="s">
        <v>1013</v>
      </c>
      <c r="DW148" s="137" t="s">
        <v>2589</v>
      </c>
      <c r="DX148" s="137" t="s">
        <v>2589</v>
      </c>
      <c r="ED148" s="137" t="s">
        <v>3168</v>
      </c>
      <c r="EE148" s="137" t="s">
        <v>3168</v>
      </c>
    </row>
    <row r="149" spans="124:135" x14ac:dyDescent="0.3">
      <c r="DT149" s="446" t="s">
        <v>47</v>
      </c>
      <c r="DU149" s="446" t="s">
        <v>47</v>
      </c>
      <c r="DW149" s="137" t="s">
        <v>2590</v>
      </c>
      <c r="DX149" s="137" t="s">
        <v>2590</v>
      </c>
      <c r="ED149" s="137" t="s">
        <v>3169</v>
      </c>
      <c r="EE149" s="137" t="s">
        <v>3169</v>
      </c>
    </row>
    <row r="150" spans="124:135" x14ac:dyDescent="0.3">
      <c r="DT150" s="446" t="s">
        <v>54</v>
      </c>
      <c r="DU150" s="446" t="s">
        <v>54</v>
      </c>
      <c r="DW150" s="137" t="s">
        <v>2591</v>
      </c>
      <c r="DX150" s="137" t="s">
        <v>2591</v>
      </c>
      <c r="ED150" s="137" t="s">
        <v>3170</v>
      </c>
      <c r="EE150" s="137" t="s">
        <v>3170</v>
      </c>
    </row>
    <row r="151" spans="124:135" x14ac:dyDescent="0.3">
      <c r="DT151" s="446" t="s">
        <v>66</v>
      </c>
      <c r="DU151" s="446" t="s">
        <v>66</v>
      </c>
      <c r="DW151" s="137" t="s">
        <v>2993</v>
      </c>
      <c r="DX151" s="137" t="s">
        <v>2993</v>
      </c>
      <c r="ED151" s="137" t="s">
        <v>3171</v>
      </c>
      <c r="EE151" s="137" t="s">
        <v>3171</v>
      </c>
    </row>
    <row r="152" spans="124:135" x14ac:dyDescent="0.3">
      <c r="DT152" s="446" t="s">
        <v>57</v>
      </c>
      <c r="DU152" s="446" t="s">
        <v>57</v>
      </c>
      <c r="DW152" s="137" t="s">
        <v>2335</v>
      </c>
      <c r="DX152" s="137" t="s">
        <v>2335</v>
      </c>
      <c r="ED152" s="137" t="s">
        <v>3172</v>
      </c>
      <c r="EE152" s="137" t="s">
        <v>3172</v>
      </c>
    </row>
    <row r="153" spans="124:135" x14ac:dyDescent="0.3">
      <c r="DT153" s="446" t="s">
        <v>58</v>
      </c>
      <c r="DU153" s="446" t="s">
        <v>58</v>
      </c>
      <c r="DW153" s="137" t="s">
        <v>2482</v>
      </c>
      <c r="DX153" s="137" t="s">
        <v>2482</v>
      </c>
      <c r="ED153" s="137" t="s">
        <v>3173</v>
      </c>
      <c r="EE153" s="137" t="s">
        <v>3173</v>
      </c>
    </row>
    <row r="154" spans="124:135" x14ac:dyDescent="0.3">
      <c r="DT154" s="446" t="s">
        <v>48</v>
      </c>
      <c r="DU154" s="446" t="s">
        <v>48</v>
      </c>
      <c r="DW154" s="137" t="s">
        <v>2337</v>
      </c>
      <c r="DX154" s="137" t="s">
        <v>2337</v>
      </c>
      <c r="ED154" s="137" t="s">
        <v>3174</v>
      </c>
      <c r="EE154" s="137" t="s">
        <v>3174</v>
      </c>
    </row>
    <row r="155" spans="124:135" x14ac:dyDescent="0.3">
      <c r="DT155" s="446" t="s">
        <v>49</v>
      </c>
      <c r="DU155" s="446" t="s">
        <v>49</v>
      </c>
      <c r="DW155" s="137" t="s">
        <v>2757</v>
      </c>
      <c r="DX155" s="137" t="s">
        <v>2757</v>
      </c>
      <c r="ED155" s="137" t="s">
        <v>3175</v>
      </c>
      <c r="EE155" s="137" t="s">
        <v>3175</v>
      </c>
    </row>
    <row r="156" spans="124:135" x14ac:dyDescent="0.3">
      <c r="DT156" s="446" t="s">
        <v>55</v>
      </c>
      <c r="DU156" s="446" t="s">
        <v>55</v>
      </c>
      <c r="DW156" s="137" t="s">
        <v>2339</v>
      </c>
      <c r="DX156" s="137" t="s">
        <v>2339</v>
      </c>
      <c r="ED156" s="137" t="s">
        <v>3176</v>
      </c>
      <c r="EE156" s="137" t="s">
        <v>3176</v>
      </c>
    </row>
    <row r="157" spans="124:135" x14ac:dyDescent="0.3">
      <c r="DT157" s="446" t="s">
        <v>50</v>
      </c>
      <c r="DU157" s="446" t="s">
        <v>50</v>
      </c>
      <c r="DW157" s="137" t="s">
        <v>2499</v>
      </c>
      <c r="DX157" s="137" t="s">
        <v>2499</v>
      </c>
      <c r="ED157" s="137" t="s">
        <v>3177</v>
      </c>
      <c r="EE157" s="137" t="s">
        <v>3177</v>
      </c>
    </row>
    <row r="158" spans="124:135" x14ac:dyDescent="0.3">
      <c r="DT158" s="446" t="s">
        <v>67</v>
      </c>
      <c r="DU158" s="446" t="s">
        <v>67</v>
      </c>
      <c r="DW158" s="599" t="s">
        <v>991</v>
      </c>
      <c r="DX158" s="137" t="s">
        <v>991</v>
      </c>
      <c r="ED158" s="137" t="s">
        <v>3178</v>
      </c>
      <c r="EE158" s="137" t="s">
        <v>3178</v>
      </c>
    </row>
    <row r="159" spans="124:135" x14ac:dyDescent="0.3">
      <c r="DT159" s="446" t="s">
        <v>44</v>
      </c>
      <c r="DU159" s="446" t="s">
        <v>44</v>
      </c>
      <c r="DW159" s="599" t="s">
        <v>1400</v>
      </c>
      <c r="DX159" s="137" t="s">
        <v>1409</v>
      </c>
      <c r="ED159" s="137" t="s">
        <v>3179</v>
      </c>
      <c r="EE159" s="137" t="s">
        <v>3179</v>
      </c>
    </row>
    <row r="160" spans="124:135" x14ac:dyDescent="0.3">
      <c r="DT160" s="446" t="s">
        <v>59</v>
      </c>
      <c r="DU160" s="446" t="s">
        <v>59</v>
      </c>
      <c r="DW160" s="599" t="s">
        <v>1659</v>
      </c>
      <c r="DX160" s="137" t="s">
        <v>2568</v>
      </c>
      <c r="ED160" s="137" t="s">
        <v>3180</v>
      </c>
      <c r="EE160" s="137" t="s">
        <v>3180</v>
      </c>
    </row>
    <row r="161" spans="124:135" x14ac:dyDescent="0.3">
      <c r="DT161" s="446" t="s">
        <v>74</v>
      </c>
      <c r="DU161" s="446" t="s">
        <v>74</v>
      </c>
      <c r="DW161" s="599" t="s">
        <v>1663</v>
      </c>
      <c r="DX161" s="137" t="s">
        <v>2569</v>
      </c>
      <c r="ED161" s="137" t="s">
        <v>3181</v>
      </c>
      <c r="EE161" s="137" t="s">
        <v>3181</v>
      </c>
    </row>
    <row r="162" spans="124:135" x14ac:dyDescent="0.3">
      <c r="DT162" s="446" t="s">
        <v>76</v>
      </c>
      <c r="DU162" s="446" t="s">
        <v>76</v>
      </c>
      <c r="DW162" s="599" t="s">
        <v>1411</v>
      </c>
      <c r="DX162" s="137" t="s">
        <v>1401</v>
      </c>
      <c r="ED162" s="137" t="s">
        <v>3182</v>
      </c>
      <c r="EE162" s="137" t="s">
        <v>3182</v>
      </c>
    </row>
    <row r="163" spans="124:135" x14ac:dyDescent="0.3">
      <c r="DT163" s="446" t="s">
        <v>72</v>
      </c>
      <c r="DU163" s="446" t="s">
        <v>72</v>
      </c>
      <c r="DW163" s="599" t="s">
        <v>995</v>
      </c>
      <c r="DX163" s="137" t="s">
        <v>2570</v>
      </c>
      <c r="ED163" s="137" t="s">
        <v>3183</v>
      </c>
      <c r="EE163" s="137" t="s">
        <v>3183</v>
      </c>
    </row>
    <row r="164" spans="124:135" x14ac:dyDescent="0.3">
      <c r="DT164" s="446" t="s">
        <v>69</v>
      </c>
      <c r="DU164" s="446" t="s">
        <v>69</v>
      </c>
      <c r="DW164" s="599" t="s">
        <v>1651</v>
      </c>
      <c r="DX164" s="137" t="s">
        <v>2571</v>
      </c>
      <c r="ED164" s="137" t="s">
        <v>3184</v>
      </c>
      <c r="EE164" s="137" t="s">
        <v>3184</v>
      </c>
    </row>
    <row r="165" spans="124:135" x14ac:dyDescent="0.3">
      <c r="DT165" s="446" t="s">
        <v>73</v>
      </c>
      <c r="DU165" s="446" t="s">
        <v>73</v>
      </c>
      <c r="DW165" s="599" t="s">
        <v>999</v>
      </c>
      <c r="DX165" s="137" t="s">
        <v>998</v>
      </c>
      <c r="ED165" s="137" t="s">
        <v>3185</v>
      </c>
      <c r="EE165" s="137" t="s">
        <v>3185</v>
      </c>
    </row>
    <row r="166" spans="124:135" x14ac:dyDescent="0.3">
      <c r="DT166" s="446" t="s">
        <v>71</v>
      </c>
      <c r="DU166" s="446" t="s">
        <v>71</v>
      </c>
      <c r="DW166" s="599" t="s">
        <v>1415</v>
      </c>
      <c r="DX166" s="137" t="s">
        <v>1414</v>
      </c>
      <c r="ED166" s="137" t="s">
        <v>3186</v>
      </c>
      <c r="EE166" s="137" t="s">
        <v>3186</v>
      </c>
    </row>
    <row r="167" spans="124:135" x14ac:dyDescent="0.3">
      <c r="DT167" s="446" t="s">
        <v>70</v>
      </c>
      <c r="DU167" s="446" t="s">
        <v>70</v>
      </c>
      <c r="DW167" s="599" t="s">
        <v>624</v>
      </c>
      <c r="DX167" s="137" t="s">
        <v>2572</v>
      </c>
      <c r="ED167" s="137" t="s">
        <v>3187</v>
      </c>
      <c r="EE167" s="137" t="s">
        <v>3187</v>
      </c>
    </row>
    <row r="168" spans="124:135" x14ac:dyDescent="0.3">
      <c r="DT168" s="446" t="s">
        <v>68</v>
      </c>
      <c r="DU168" s="446" t="s">
        <v>68</v>
      </c>
      <c r="DW168" s="599" t="s">
        <v>625</v>
      </c>
      <c r="DX168" s="137" t="s">
        <v>2573</v>
      </c>
      <c r="ED168" s="137" t="s">
        <v>3188</v>
      </c>
      <c r="EE168" s="137" t="s">
        <v>3188</v>
      </c>
    </row>
    <row r="169" spans="124:135" x14ac:dyDescent="0.3">
      <c r="DT169" s="446" t="s">
        <v>75</v>
      </c>
      <c r="DU169" s="446" t="s">
        <v>75</v>
      </c>
      <c r="DW169" s="599" t="s">
        <v>2986</v>
      </c>
      <c r="DX169" s="137" t="s">
        <v>2985</v>
      </c>
      <c r="ED169" s="137" t="s">
        <v>3189</v>
      </c>
      <c r="EE169" s="137" t="s">
        <v>3189</v>
      </c>
    </row>
    <row r="170" spans="124:135" x14ac:dyDescent="0.3">
      <c r="DT170" s="446" t="s">
        <v>546</v>
      </c>
      <c r="DU170" s="446" t="s">
        <v>546</v>
      </c>
      <c r="DW170" s="599" t="s">
        <v>1000</v>
      </c>
      <c r="DX170" s="137" t="s">
        <v>1000</v>
      </c>
      <c r="ED170" s="137" t="s">
        <v>3190</v>
      </c>
      <c r="EE170" s="137" t="s">
        <v>3190</v>
      </c>
    </row>
    <row r="171" spans="124:135" x14ac:dyDescent="0.3">
      <c r="DT171" s="446" t="s">
        <v>548</v>
      </c>
      <c r="DU171" s="446" t="s">
        <v>548</v>
      </c>
      <c r="DW171" s="599" t="s">
        <v>1685</v>
      </c>
      <c r="DX171" s="137" t="s">
        <v>2574</v>
      </c>
      <c r="ED171" s="137" t="s">
        <v>3191</v>
      </c>
      <c r="EE171" s="137" t="s">
        <v>3191</v>
      </c>
    </row>
    <row r="172" spans="124:135" x14ac:dyDescent="0.3">
      <c r="DT172" s="446" t="s">
        <v>1730</v>
      </c>
      <c r="DU172" s="446" t="s">
        <v>1730</v>
      </c>
      <c r="DW172" s="599" t="s">
        <v>1003</v>
      </c>
      <c r="DX172" s="137" t="s">
        <v>2575</v>
      </c>
      <c r="ED172" s="137" t="s">
        <v>3192</v>
      </c>
      <c r="EE172" s="137" t="s">
        <v>3192</v>
      </c>
    </row>
    <row r="173" spans="124:135" x14ac:dyDescent="0.3">
      <c r="DT173" s="446" t="s">
        <v>720</v>
      </c>
      <c r="DU173" s="446" t="s">
        <v>719</v>
      </c>
      <c r="DW173" s="599" t="s">
        <v>1004</v>
      </c>
      <c r="DX173" s="137" t="s">
        <v>1004</v>
      </c>
      <c r="ED173" s="137" t="s">
        <v>3193</v>
      </c>
      <c r="EE173" s="137" t="s">
        <v>3193</v>
      </c>
    </row>
    <row r="174" spans="124:135" x14ac:dyDescent="0.3">
      <c r="DT174" s="446" t="s">
        <v>722</v>
      </c>
      <c r="DU174" s="446" t="s">
        <v>722</v>
      </c>
      <c r="DW174" s="599" t="s">
        <v>1631</v>
      </c>
      <c r="DX174" s="137" t="s">
        <v>2576</v>
      </c>
      <c r="ED174" s="137" t="s">
        <v>3194</v>
      </c>
      <c r="EE174" s="137" t="s">
        <v>3194</v>
      </c>
    </row>
    <row r="175" spans="124:135" x14ac:dyDescent="0.3">
      <c r="DT175" s="446" t="s">
        <v>1720</v>
      </c>
      <c r="DU175" s="446" t="s">
        <v>1722</v>
      </c>
      <c r="DW175" s="599" t="s">
        <v>1680</v>
      </c>
      <c r="DX175" s="137" t="s">
        <v>2577</v>
      </c>
      <c r="ED175" s="137" t="s">
        <v>3195</v>
      </c>
      <c r="EE175" s="137" t="s">
        <v>3195</v>
      </c>
    </row>
    <row r="176" spans="124:135" x14ac:dyDescent="0.3">
      <c r="DT176" s="446" t="s">
        <v>1432</v>
      </c>
      <c r="DU176" s="446" t="s">
        <v>1432</v>
      </c>
      <c r="DW176" s="599" t="s">
        <v>2998</v>
      </c>
      <c r="DX176" s="137" t="s">
        <v>2997</v>
      </c>
      <c r="ED176" s="137" t="s">
        <v>3196</v>
      </c>
      <c r="EE176" s="137" t="s">
        <v>3196</v>
      </c>
    </row>
    <row r="177" spans="124:135" x14ac:dyDescent="0.3">
      <c r="DT177" s="446" t="s">
        <v>1433</v>
      </c>
      <c r="DU177" s="446" t="s">
        <v>1433</v>
      </c>
      <c r="DW177" s="599" t="s">
        <v>1005</v>
      </c>
      <c r="DX177" s="137" t="s">
        <v>1005</v>
      </c>
      <c r="ED177" s="137" t="s">
        <v>3197</v>
      </c>
      <c r="EE177" s="137" t="s">
        <v>3197</v>
      </c>
    </row>
    <row r="178" spans="124:135" x14ac:dyDescent="0.3">
      <c r="DT178" s="446" t="s">
        <v>1434</v>
      </c>
      <c r="DU178" s="446" t="s">
        <v>1434</v>
      </c>
      <c r="DW178" s="599" t="s">
        <v>1643</v>
      </c>
      <c r="DX178" s="137" t="s">
        <v>2578</v>
      </c>
      <c r="ED178" s="137" t="s">
        <v>3198</v>
      </c>
      <c r="EE178" s="137" t="s">
        <v>3198</v>
      </c>
    </row>
    <row r="179" spans="124:135" x14ac:dyDescent="0.3">
      <c r="DT179" s="446" t="s">
        <v>1435</v>
      </c>
      <c r="DU179" s="446" t="s">
        <v>1723</v>
      </c>
      <c r="DW179" s="599" t="s">
        <v>691</v>
      </c>
      <c r="DX179" s="137" t="s">
        <v>690</v>
      </c>
      <c r="ED179" s="137" t="s">
        <v>3199</v>
      </c>
      <c r="EE179" s="137" t="s">
        <v>3199</v>
      </c>
    </row>
    <row r="180" spans="124:135" x14ac:dyDescent="0.3">
      <c r="DT180" s="446" t="s">
        <v>723</v>
      </c>
      <c r="DU180" s="446" t="s">
        <v>723</v>
      </c>
      <c r="DW180" s="599" t="s">
        <v>687</v>
      </c>
      <c r="DX180" s="137" t="s">
        <v>2579</v>
      </c>
      <c r="ED180" s="137" t="s">
        <v>3200</v>
      </c>
      <c r="EE180" s="137" t="s">
        <v>3200</v>
      </c>
    </row>
    <row r="181" spans="124:135" x14ac:dyDescent="0.3">
      <c r="DT181" s="446" t="s">
        <v>1726</v>
      </c>
      <c r="DU181" s="446" t="s">
        <v>1727</v>
      </c>
      <c r="DW181" s="599" t="s">
        <v>1006</v>
      </c>
      <c r="DX181" s="137" t="s">
        <v>1006</v>
      </c>
      <c r="ED181" s="137" t="s">
        <v>3201</v>
      </c>
      <c r="EE181" s="137" t="s">
        <v>3201</v>
      </c>
    </row>
    <row r="182" spans="124:135" x14ac:dyDescent="0.3">
      <c r="DT182" s="446" t="s">
        <v>733</v>
      </c>
      <c r="DU182" s="446" t="s">
        <v>2592</v>
      </c>
      <c r="DW182" s="599" t="s">
        <v>2325</v>
      </c>
      <c r="DX182" s="137" t="s">
        <v>2580</v>
      </c>
      <c r="ED182" s="137" t="s">
        <v>3202</v>
      </c>
      <c r="EE182" s="137" t="s">
        <v>3202</v>
      </c>
    </row>
    <row r="183" spans="124:135" x14ac:dyDescent="0.3">
      <c r="DT183" s="446" t="s">
        <v>734</v>
      </c>
      <c r="DU183" s="446" t="s">
        <v>734</v>
      </c>
      <c r="DW183" s="599" t="s">
        <v>1007</v>
      </c>
      <c r="DX183" s="137" t="s">
        <v>1007</v>
      </c>
      <c r="ED183" s="137" t="s">
        <v>3203</v>
      </c>
      <c r="EE183" s="137" t="s">
        <v>3203</v>
      </c>
    </row>
    <row r="184" spans="124:135" x14ac:dyDescent="0.3">
      <c r="DT184" s="446" t="s">
        <v>626</v>
      </c>
      <c r="DU184" s="446" t="s">
        <v>726</v>
      </c>
      <c r="DW184" s="599" t="s">
        <v>1635</v>
      </c>
      <c r="DX184" s="137" t="s">
        <v>2581</v>
      </c>
      <c r="ED184" s="137" t="s">
        <v>3204</v>
      </c>
      <c r="EE184" s="137" t="s">
        <v>3204</v>
      </c>
    </row>
    <row r="185" spans="124:135" x14ac:dyDescent="0.3">
      <c r="DT185" s="446" t="s">
        <v>1725</v>
      </c>
      <c r="DU185" s="446" t="s">
        <v>1724</v>
      </c>
      <c r="DW185" s="599" t="s">
        <v>3002</v>
      </c>
      <c r="DX185" s="137" t="s">
        <v>3001</v>
      </c>
      <c r="ED185" s="137" t="s">
        <v>3205</v>
      </c>
      <c r="EE185" s="137" t="s">
        <v>3205</v>
      </c>
    </row>
    <row r="186" spans="124:135" x14ac:dyDescent="0.3">
      <c r="DT186" s="446" t="s">
        <v>1692</v>
      </c>
      <c r="DU186" s="446" t="s">
        <v>1691</v>
      </c>
      <c r="DW186" s="599" t="s">
        <v>1008</v>
      </c>
      <c r="DX186" s="137" t="s">
        <v>1008</v>
      </c>
      <c r="ED186" s="137" t="s">
        <v>3206</v>
      </c>
      <c r="EE186" s="137" t="s">
        <v>3206</v>
      </c>
    </row>
    <row r="187" spans="124:135" x14ac:dyDescent="0.3">
      <c r="DT187" s="446" t="s">
        <v>1693</v>
      </c>
      <c r="DU187" s="446" t="s">
        <v>1693</v>
      </c>
      <c r="DW187" s="599" t="s">
        <v>1009</v>
      </c>
      <c r="DX187" s="137" t="s">
        <v>1009</v>
      </c>
      <c r="ED187" s="137" t="s">
        <v>3207</v>
      </c>
      <c r="EE187" s="137" t="s">
        <v>3207</v>
      </c>
    </row>
    <row r="188" spans="124:135" x14ac:dyDescent="0.3">
      <c r="DT188" s="446" t="s">
        <v>727</v>
      </c>
      <c r="DU188" s="446" t="s">
        <v>727</v>
      </c>
      <c r="DW188" s="599" t="s">
        <v>2327</v>
      </c>
      <c r="DX188" s="137" t="s">
        <v>2582</v>
      </c>
      <c r="ED188" s="137" t="s">
        <v>3208</v>
      </c>
      <c r="EE188" s="137" t="s">
        <v>3208</v>
      </c>
    </row>
    <row r="189" spans="124:135" x14ac:dyDescent="0.3">
      <c r="DT189" s="446" t="s">
        <v>728</v>
      </c>
      <c r="DU189" s="446" t="s">
        <v>728</v>
      </c>
      <c r="DW189" s="599" t="s">
        <v>1010</v>
      </c>
      <c r="DX189" s="137" t="s">
        <v>1010</v>
      </c>
      <c r="ED189" s="137" t="s">
        <v>3209</v>
      </c>
      <c r="EE189" s="137" t="s">
        <v>3209</v>
      </c>
    </row>
    <row r="190" spans="124:135" x14ac:dyDescent="0.3">
      <c r="DT190" s="446" t="s">
        <v>729</v>
      </c>
      <c r="DU190" s="446" t="s">
        <v>729</v>
      </c>
      <c r="DW190" s="599" t="s">
        <v>702</v>
      </c>
      <c r="DX190" s="137" t="s">
        <v>2583</v>
      </c>
      <c r="ED190" s="137" t="s">
        <v>3210</v>
      </c>
      <c r="EE190" s="137" t="s">
        <v>3210</v>
      </c>
    </row>
    <row r="191" spans="124:135" x14ac:dyDescent="0.3">
      <c r="DT191" s="446" t="s">
        <v>730</v>
      </c>
      <c r="DU191" s="446" t="s">
        <v>730</v>
      </c>
      <c r="DW191" s="599" t="s">
        <v>699</v>
      </c>
      <c r="DX191" s="137" t="s">
        <v>698</v>
      </c>
      <c r="ED191" s="137" t="s">
        <v>3211</v>
      </c>
      <c r="EE191" s="137" t="s">
        <v>3148</v>
      </c>
    </row>
    <row r="192" spans="124:135" x14ac:dyDescent="0.3">
      <c r="DT192" s="446" t="s">
        <v>732</v>
      </c>
      <c r="DU192" s="446" t="s">
        <v>732</v>
      </c>
      <c r="DW192" s="599" t="s">
        <v>1619</v>
      </c>
      <c r="DX192" s="137" t="s">
        <v>2584</v>
      </c>
      <c r="ED192" s="137" t="s">
        <v>3212</v>
      </c>
      <c r="EE192" s="137" t="s">
        <v>3149</v>
      </c>
    </row>
    <row r="193" spans="124:135" x14ac:dyDescent="0.3">
      <c r="DT193" s="446" t="s">
        <v>61</v>
      </c>
      <c r="DU193" s="446" t="s">
        <v>61</v>
      </c>
      <c r="DW193" s="599" t="s">
        <v>1424</v>
      </c>
      <c r="DX193" s="137" t="s">
        <v>1423</v>
      </c>
      <c r="ED193" s="137" t="s">
        <v>3213</v>
      </c>
      <c r="EE193" s="137" t="s">
        <v>3150</v>
      </c>
    </row>
    <row r="194" spans="124:135" x14ac:dyDescent="0.3">
      <c r="DT194" s="446" t="s">
        <v>62</v>
      </c>
      <c r="DU194" s="446" t="s">
        <v>62</v>
      </c>
      <c r="DW194" s="599" t="s">
        <v>695</v>
      </c>
      <c r="DX194" s="137" t="s">
        <v>2585</v>
      </c>
      <c r="ED194" s="137" t="s">
        <v>3214</v>
      </c>
      <c r="EE194" s="137" t="s">
        <v>3151</v>
      </c>
    </row>
    <row r="195" spans="124:135" x14ac:dyDescent="0.3">
      <c r="DT195" s="446" t="s">
        <v>45</v>
      </c>
      <c r="DU195" s="446" t="s">
        <v>45</v>
      </c>
      <c r="DW195" s="599" t="s">
        <v>705</v>
      </c>
      <c r="DX195" s="137" t="s">
        <v>2586</v>
      </c>
      <c r="ED195" s="137" t="s">
        <v>3215</v>
      </c>
      <c r="EE195" s="137" t="s">
        <v>3152</v>
      </c>
    </row>
    <row r="196" spans="124:135" x14ac:dyDescent="0.3">
      <c r="DT196" s="446" t="s">
        <v>51</v>
      </c>
      <c r="DU196" s="446" t="s">
        <v>51</v>
      </c>
      <c r="DW196" s="599" t="s">
        <v>1429</v>
      </c>
      <c r="DX196" s="137" t="s">
        <v>2587</v>
      </c>
      <c r="ED196" s="137" t="s">
        <v>3216</v>
      </c>
      <c r="EE196" s="137" t="s">
        <v>3153</v>
      </c>
    </row>
    <row r="197" spans="124:135" x14ac:dyDescent="0.3">
      <c r="DT197" s="446" t="s">
        <v>52</v>
      </c>
      <c r="DU197" s="446" t="s">
        <v>52</v>
      </c>
      <c r="DW197" s="599" t="s">
        <v>2990</v>
      </c>
      <c r="DX197" s="137" t="s">
        <v>2989</v>
      </c>
      <c r="ED197" s="137" t="s">
        <v>3217</v>
      </c>
      <c r="EE197" s="137" t="s">
        <v>3154</v>
      </c>
    </row>
    <row r="198" spans="124:135" x14ac:dyDescent="0.3">
      <c r="DT198" s="446" t="s">
        <v>53</v>
      </c>
      <c r="DU198" s="446" t="s">
        <v>53</v>
      </c>
      <c r="DW198" s="599" t="s">
        <v>1011</v>
      </c>
      <c r="DX198" s="137" t="s">
        <v>1011</v>
      </c>
      <c r="ED198" s="137" t="s">
        <v>3218</v>
      </c>
      <c r="EE198" s="137" t="s">
        <v>3155</v>
      </c>
    </row>
    <row r="199" spans="124:135" x14ac:dyDescent="0.3">
      <c r="DT199" s="446" t="s">
        <v>46</v>
      </c>
      <c r="DU199" s="446" t="s">
        <v>46</v>
      </c>
      <c r="DW199" s="599" t="s">
        <v>1627</v>
      </c>
      <c r="DX199" s="137" t="s">
        <v>2588</v>
      </c>
      <c r="ED199" s="137" t="s">
        <v>3219</v>
      </c>
      <c r="EE199" s="137" t="s">
        <v>3156</v>
      </c>
    </row>
    <row r="200" spans="124:135" x14ac:dyDescent="0.3">
      <c r="DT200" s="446" t="s">
        <v>56</v>
      </c>
      <c r="DU200" s="446" t="s">
        <v>56</v>
      </c>
      <c r="DW200" s="599" t="s">
        <v>708</v>
      </c>
      <c r="DX200" s="137" t="s">
        <v>2589</v>
      </c>
      <c r="ED200" s="137" t="s">
        <v>3220</v>
      </c>
      <c r="EE200" s="137" t="s">
        <v>3157</v>
      </c>
    </row>
    <row r="201" spans="124:135" x14ac:dyDescent="0.3">
      <c r="DT201" s="446" t="s">
        <v>60</v>
      </c>
      <c r="DU201" s="446" t="s">
        <v>60</v>
      </c>
      <c r="DW201" s="599" t="s">
        <v>1667</v>
      </c>
      <c r="DX201" s="137" t="s">
        <v>2590</v>
      </c>
      <c r="ED201" s="137" t="s">
        <v>3221</v>
      </c>
      <c r="EE201" s="137" t="s">
        <v>3158</v>
      </c>
    </row>
    <row r="202" spans="124:135" x14ac:dyDescent="0.3">
      <c r="DT202" s="446" t="s">
        <v>63</v>
      </c>
      <c r="DU202" s="446" t="s">
        <v>63</v>
      </c>
      <c r="DW202" s="599" t="s">
        <v>1671</v>
      </c>
      <c r="DX202" s="137" t="s">
        <v>2591</v>
      </c>
      <c r="ED202" s="137" t="s">
        <v>3222</v>
      </c>
      <c r="EE202" s="137" t="s">
        <v>3159</v>
      </c>
    </row>
    <row r="203" spans="124:135" x14ac:dyDescent="0.3">
      <c r="DT203" s="446" t="s">
        <v>65</v>
      </c>
      <c r="DU203" s="446" t="s">
        <v>65</v>
      </c>
      <c r="DW203" s="599" t="s">
        <v>2994</v>
      </c>
      <c r="DX203" s="137" t="s">
        <v>2993</v>
      </c>
      <c r="ED203" s="137" t="s">
        <v>3223</v>
      </c>
      <c r="EE203" s="137" t="s">
        <v>3160</v>
      </c>
    </row>
    <row r="204" spans="124:135" x14ac:dyDescent="0.3">
      <c r="DT204" s="446" t="s">
        <v>64</v>
      </c>
      <c r="DU204" s="446" t="s">
        <v>64</v>
      </c>
      <c r="DW204" s="599" t="s">
        <v>2341</v>
      </c>
      <c r="DX204" s="137" t="s">
        <v>2335</v>
      </c>
      <c r="ED204" s="137" t="s">
        <v>3224</v>
      </c>
      <c r="EE204" s="137" t="s">
        <v>3161</v>
      </c>
    </row>
    <row r="205" spans="124:135" x14ac:dyDescent="0.3">
      <c r="DT205" s="446" t="s">
        <v>1013</v>
      </c>
      <c r="DU205" s="446" t="s">
        <v>1013</v>
      </c>
      <c r="DW205" s="599" t="s">
        <v>2484</v>
      </c>
      <c r="DX205" s="137" t="s">
        <v>2482</v>
      </c>
      <c r="ED205" s="137" t="s">
        <v>3225</v>
      </c>
      <c r="EE205" s="137" t="s">
        <v>3162</v>
      </c>
    </row>
    <row r="206" spans="124:135" x14ac:dyDescent="0.3">
      <c r="DT206" s="446" t="s">
        <v>47</v>
      </c>
      <c r="DU206" s="446" t="s">
        <v>47</v>
      </c>
      <c r="DW206" s="599" t="s">
        <v>2343</v>
      </c>
      <c r="DX206" s="137" t="s">
        <v>2337</v>
      </c>
      <c r="ED206" s="137" t="s">
        <v>3226</v>
      </c>
      <c r="EE206" s="137" t="s">
        <v>3163</v>
      </c>
    </row>
    <row r="207" spans="124:135" x14ac:dyDescent="0.3">
      <c r="DT207" s="446" t="s">
        <v>54</v>
      </c>
      <c r="DU207" s="446" t="s">
        <v>54</v>
      </c>
      <c r="DW207" s="599" t="s">
        <v>2758</v>
      </c>
      <c r="DX207" s="137" t="s">
        <v>2757</v>
      </c>
      <c r="ED207" s="137" t="s">
        <v>3227</v>
      </c>
      <c r="EE207" s="137" t="s">
        <v>3164</v>
      </c>
    </row>
    <row r="208" spans="124:135" x14ac:dyDescent="0.3">
      <c r="DT208" s="446" t="s">
        <v>66</v>
      </c>
      <c r="DU208" s="446" t="s">
        <v>66</v>
      </c>
      <c r="DW208" s="599" t="s">
        <v>2345</v>
      </c>
      <c r="DX208" s="137" t="s">
        <v>2339</v>
      </c>
      <c r="ED208" s="137" t="s">
        <v>3228</v>
      </c>
      <c r="EE208" s="137" t="s">
        <v>3165</v>
      </c>
    </row>
    <row r="209" spans="124:135" x14ac:dyDescent="0.3">
      <c r="DT209" s="446" t="s">
        <v>57</v>
      </c>
      <c r="DU209" s="446" t="s">
        <v>57</v>
      </c>
      <c r="DW209" s="599" t="s">
        <v>2501</v>
      </c>
      <c r="DX209" s="137" t="s">
        <v>2499</v>
      </c>
      <c r="ED209" s="137" t="s">
        <v>3229</v>
      </c>
      <c r="EE209" s="137" t="s">
        <v>3166</v>
      </c>
    </row>
    <row r="210" spans="124:135" x14ac:dyDescent="0.3">
      <c r="DT210" s="446" t="s">
        <v>58</v>
      </c>
      <c r="DU210" s="446" t="s">
        <v>58</v>
      </c>
      <c r="DW210" s="137" t="s">
        <v>991</v>
      </c>
      <c r="DX210" s="137" t="s">
        <v>991</v>
      </c>
      <c r="ED210" s="137" t="s">
        <v>3230</v>
      </c>
      <c r="EE210" s="137" t="s">
        <v>3167</v>
      </c>
    </row>
    <row r="211" spans="124:135" x14ac:dyDescent="0.3">
      <c r="DT211" s="446" t="s">
        <v>48</v>
      </c>
      <c r="DU211" s="446" t="s">
        <v>48</v>
      </c>
      <c r="DW211" s="137" t="s">
        <v>1762</v>
      </c>
      <c r="DX211" s="137" t="s">
        <v>1409</v>
      </c>
      <c r="ED211" s="137" t="s">
        <v>3231</v>
      </c>
      <c r="EE211" s="137" t="s">
        <v>3168</v>
      </c>
    </row>
    <row r="212" spans="124:135" x14ac:dyDescent="0.3">
      <c r="DT212" s="446" t="s">
        <v>49</v>
      </c>
      <c r="DU212" s="446" t="s">
        <v>49</v>
      </c>
      <c r="DW212" s="137" t="s">
        <v>1763</v>
      </c>
      <c r="DX212" s="137" t="s">
        <v>2568</v>
      </c>
      <c r="ED212" s="137" t="s">
        <v>3232</v>
      </c>
      <c r="EE212" s="137" t="s">
        <v>3169</v>
      </c>
    </row>
    <row r="213" spans="124:135" x14ac:dyDescent="0.3">
      <c r="DT213" s="446" t="s">
        <v>55</v>
      </c>
      <c r="DU213" s="446" t="s">
        <v>55</v>
      </c>
      <c r="DW213" s="137" t="s">
        <v>1764</v>
      </c>
      <c r="DX213" s="137" t="s">
        <v>2569</v>
      </c>
      <c r="ED213" s="137" t="s">
        <v>3233</v>
      </c>
      <c r="EE213" s="137" t="s">
        <v>3170</v>
      </c>
    </row>
    <row r="214" spans="124:135" x14ac:dyDescent="0.3">
      <c r="DT214" s="446" t="s">
        <v>50</v>
      </c>
      <c r="DU214" s="446" t="s">
        <v>50</v>
      </c>
      <c r="DW214" s="137" t="s">
        <v>1765</v>
      </c>
      <c r="DX214" s="137" t="s">
        <v>1401</v>
      </c>
      <c r="ED214" s="137" t="s">
        <v>3234</v>
      </c>
      <c r="EE214" s="137" t="s">
        <v>3171</v>
      </c>
    </row>
    <row r="215" spans="124:135" x14ac:dyDescent="0.3">
      <c r="DT215" s="446" t="s">
        <v>67</v>
      </c>
      <c r="DU215" s="446" t="s">
        <v>67</v>
      </c>
      <c r="DW215" s="137" t="s">
        <v>1766</v>
      </c>
      <c r="DX215" s="137" t="s">
        <v>2570</v>
      </c>
      <c r="ED215" s="137" t="s">
        <v>3235</v>
      </c>
      <c r="EE215" s="137" t="s">
        <v>3172</v>
      </c>
    </row>
    <row r="216" spans="124:135" x14ac:dyDescent="0.3">
      <c r="DT216" s="446" t="s">
        <v>44</v>
      </c>
      <c r="DU216" s="446" t="s">
        <v>44</v>
      </c>
      <c r="DW216" s="137" t="s">
        <v>1767</v>
      </c>
      <c r="DX216" s="137" t="s">
        <v>2571</v>
      </c>
      <c r="ED216" s="137" t="s">
        <v>3236</v>
      </c>
      <c r="EE216" s="137" t="s">
        <v>3173</v>
      </c>
    </row>
    <row r="217" spans="124:135" x14ac:dyDescent="0.3">
      <c r="DT217" s="446" t="s">
        <v>59</v>
      </c>
      <c r="DU217" s="446" t="s">
        <v>59</v>
      </c>
      <c r="DW217" s="137" t="s">
        <v>1769</v>
      </c>
      <c r="DX217" s="137" t="s">
        <v>998</v>
      </c>
      <c r="ED217" s="137" t="s">
        <v>3237</v>
      </c>
      <c r="EE217" s="137" t="s">
        <v>3174</v>
      </c>
    </row>
    <row r="218" spans="124:135" x14ac:dyDescent="0.3">
      <c r="DT218" s="446" t="s">
        <v>74</v>
      </c>
      <c r="DU218" s="446" t="s">
        <v>74</v>
      </c>
      <c r="DW218" s="137" t="s">
        <v>2653</v>
      </c>
      <c r="DX218" s="137" t="s">
        <v>1414</v>
      </c>
      <c r="ED218" s="137" t="s">
        <v>3238</v>
      </c>
      <c r="EE218" s="137" t="s">
        <v>3175</v>
      </c>
    </row>
    <row r="219" spans="124:135" x14ac:dyDescent="0.3">
      <c r="DT219" s="446" t="s">
        <v>76</v>
      </c>
      <c r="DU219" s="446" t="s">
        <v>76</v>
      </c>
      <c r="DW219" s="137" t="s">
        <v>42</v>
      </c>
      <c r="DX219" s="137" t="s">
        <v>2572</v>
      </c>
      <c r="ED219" s="137" t="s">
        <v>3239</v>
      </c>
      <c r="EE219" s="137" t="s">
        <v>3176</v>
      </c>
    </row>
    <row r="220" spans="124:135" x14ac:dyDescent="0.3">
      <c r="DT220" s="446" t="s">
        <v>72</v>
      </c>
      <c r="DU220" s="446" t="s">
        <v>72</v>
      </c>
      <c r="DW220" s="137" t="s">
        <v>2776</v>
      </c>
      <c r="DX220" s="137" t="s">
        <v>2573</v>
      </c>
      <c r="ED220" s="137" t="s">
        <v>3240</v>
      </c>
      <c r="EE220" s="137" t="s">
        <v>3177</v>
      </c>
    </row>
    <row r="221" spans="124:135" x14ac:dyDescent="0.3">
      <c r="DT221" s="446" t="s">
        <v>69</v>
      </c>
      <c r="DU221" s="446" t="s">
        <v>69</v>
      </c>
      <c r="DW221" s="137" t="s">
        <v>2987</v>
      </c>
      <c r="DX221" s="137" t="s">
        <v>2985</v>
      </c>
      <c r="ED221" s="137" t="s">
        <v>3241</v>
      </c>
      <c r="EE221" s="137" t="s">
        <v>3178</v>
      </c>
    </row>
    <row r="222" spans="124:135" x14ac:dyDescent="0.3">
      <c r="DT222" s="446" t="s">
        <v>73</v>
      </c>
      <c r="DU222" s="446" t="s">
        <v>73</v>
      </c>
      <c r="DW222" s="137" t="s">
        <v>1000</v>
      </c>
      <c r="DX222" s="137" t="s">
        <v>1000</v>
      </c>
      <c r="ED222" s="137" t="s">
        <v>3242</v>
      </c>
      <c r="EE222" s="137" t="s">
        <v>3179</v>
      </c>
    </row>
    <row r="223" spans="124:135" x14ac:dyDescent="0.3">
      <c r="DT223" s="446" t="s">
        <v>71</v>
      </c>
      <c r="DU223" s="446" t="s">
        <v>71</v>
      </c>
      <c r="DW223" s="137" t="s">
        <v>1773</v>
      </c>
      <c r="DX223" s="137" t="s">
        <v>2574</v>
      </c>
      <c r="ED223" s="137" t="s">
        <v>3243</v>
      </c>
      <c r="EE223" s="137" t="s">
        <v>3180</v>
      </c>
    </row>
    <row r="224" spans="124:135" x14ac:dyDescent="0.3">
      <c r="DT224" s="446" t="s">
        <v>70</v>
      </c>
      <c r="DU224" s="446" t="s">
        <v>70</v>
      </c>
      <c r="DW224" s="137" t="s">
        <v>1001</v>
      </c>
      <c r="DX224" s="137" t="s">
        <v>2575</v>
      </c>
      <c r="ED224" s="137" t="s">
        <v>3244</v>
      </c>
      <c r="EE224" s="137" t="s">
        <v>3181</v>
      </c>
    </row>
    <row r="225" spans="124:135" x14ac:dyDescent="0.3">
      <c r="DT225" s="446" t="s">
        <v>68</v>
      </c>
      <c r="DU225" s="446" t="s">
        <v>68</v>
      </c>
      <c r="DW225" s="137" t="s">
        <v>1004</v>
      </c>
      <c r="DX225" s="137" t="s">
        <v>1004</v>
      </c>
      <c r="ED225" s="137" t="s">
        <v>3245</v>
      </c>
      <c r="EE225" s="137" t="s">
        <v>3182</v>
      </c>
    </row>
    <row r="226" spans="124:135" x14ac:dyDescent="0.3">
      <c r="DT226" s="446" t="s">
        <v>75</v>
      </c>
      <c r="DU226" s="446" t="s">
        <v>75</v>
      </c>
      <c r="DW226" s="137" t="s">
        <v>1775</v>
      </c>
      <c r="DX226" s="137" t="s">
        <v>2576</v>
      </c>
      <c r="ED226" s="137" t="s">
        <v>3246</v>
      </c>
      <c r="EE226" s="137" t="s">
        <v>3183</v>
      </c>
    </row>
    <row r="227" spans="124:135" x14ac:dyDescent="0.3">
      <c r="DT227" s="446" t="s">
        <v>627</v>
      </c>
      <c r="DU227" s="446" t="s">
        <v>546</v>
      </c>
      <c r="DW227" s="137" t="s">
        <v>1776</v>
      </c>
      <c r="DX227" s="137" t="s">
        <v>2577</v>
      </c>
      <c r="ED227" s="137" t="s">
        <v>3247</v>
      </c>
      <c r="EE227" s="137" t="s">
        <v>3184</v>
      </c>
    </row>
    <row r="228" spans="124:135" x14ac:dyDescent="0.3">
      <c r="DT228" s="446" t="s">
        <v>629</v>
      </c>
      <c r="DU228" s="446" t="s">
        <v>548</v>
      </c>
      <c r="DW228" s="137" t="s">
        <v>2999</v>
      </c>
      <c r="DX228" s="137" t="s">
        <v>2997</v>
      </c>
      <c r="ED228" s="137" t="s">
        <v>3248</v>
      </c>
      <c r="EE228" s="137" t="s">
        <v>3185</v>
      </c>
    </row>
    <row r="229" spans="124:135" x14ac:dyDescent="0.3">
      <c r="DT229" s="446" t="s">
        <v>1731</v>
      </c>
      <c r="DU229" s="446" t="s">
        <v>1730</v>
      </c>
      <c r="DW229" s="137" t="s">
        <v>1005</v>
      </c>
      <c r="DX229" s="137" t="s">
        <v>1005</v>
      </c>
      <c r="ED229" s="137" t="s">
        <v>3249</v>
      </c>
      <c r="EE229" s="137" t="s">
        <v>3186</v>
      </c>
    </row>
    <row r="230" spans="124:135" x14ac:dyDescent="0.3">
      <c r="DT230" s="446" t="s">
        <v>2724</v>
      </c>
      <c r="DU230" s="446" t="s">
        <v>719</v>
      </c>
      <c r="DW230" s="137" t="s">
        <v>1778</v>
      </c>
      <c r="DX230" s="137" t="s">
        <v>2578</v>
      </c>
      <c r="ED230" s="137" t="s">
        <v>3250</v>
      </c>
      <c r="EE230" s="137" t="s">
        <v>3187</v>
      </c>
    </row>
    <row r="231" spans="124:135" x14ac:dyDescent="0.3">
      <c r="DT231" s="446" t="s">
        <v>722</v>
      </c>
      <c r="DU231" s="446" t="s">
        <v>722</v>
      </c>
      <c r="DW231" s="137" t="s">
        <v>2945</v>
      </c>
      <c r="DX231" s="137" t="s">
        <v>690</v>
      </c>
      <c r="ED231" s="137" t="s">
        <v>3251</v>
      </c>
      <c r="EE231" s="137" t="s">
        <v>3188</v>
      </c>
    </row>
    <row r="232" spans="124:135" x14ac:dyDescent="0.3">
      <c r="DT232" s="446" t="s">
        <v>1803</v>
      </c>
      <c r="DU232" s="446" t="s">
        <v>1722</v>
      </c>
      <c r="DW232" s="137" t="s">
        <v>2946</v>
      </c>
      <c r="DX232" s="137" t="s">
        <v>2579</v>
      </c>
      <c r="ED232" s="137" t="s">
        <v>3252</v>
      </c>
      <c r="EE232" s="137" t="s">
        <v>3189</v>
      </c>
    </row>
    <row r="233" spans="124:135" x14ac:dyDescent="0.3">
      <c r="DT233" s="446" t="s">
        <v>1804</v>
      </c>
      <c r="DU233" s="446" t="s">
        <v>1432</v>
      </c>
      <c r="DW233" s="137" t="s">
        <v>1006</v>
      </c>
      <c r="DX233" s="137" t="s">
        <v>1006</v>
      </c>
      <c r="ED233" s="137" t="s">
        <v>3253</v>
      </c>
      <c r="EE233" s="137" t="s">
        <v>3190</v>
      </c>
    </row>
    <row r="234" spans="124:135" x14ac:dyDescent="0.3">
      <c r="DT234" s="446" t="s">
        <v>1433</v>
      </c>
      <c r="DU234" s="446" t="s">
        <v>1433</v>
      </c>
      <c r="DW234" s="137" t="s">
        <v>2777</v>
      </c>
      <c r="DX234" s="137" t="s">
        <v>2580</v>
      </c>
      <c r="ED234" s="137" t="s">
        <v>3254</v>
      </c>
      <c r="EE234" s="137" t="s">
        <v>3191</v>
      </c>
    </row>
    <row r="235" spans="124:135" x14ac:dyDescent="0.3">
      <c r="DT235" s="446" t="s">
        <v>1434</v>
      </c>
      <c r="DU235" s="446" t="s">
        <v>1434</v>
      </c>
      <c r="DW235" s="137" t="s">
        <v>1007</v>
      </c>
      <c r="DX235" s="137" t="s">
        <v>1007</v>
      </c>
      <c r="ED235" s="137" t="s">
        <v>3255</v>
      </c>
      <c r="EE235" s="137" t="s">
        <v>3192</v>
      </c>
    </row>
    <row r="236" spans="124:135" x14ac:dyDescent="0.3">
      <c r="DT236" s="446" t="s">
        <v>1805</v>
      </c>
      <c r="DU236" s="446" t="s">
        <v>1723</v>
      </c>
      <c r="DW236" s="137" t="s">
        <v>1784</v>
      </c>
      <c r="DX236" s="137" t="s">
        <v>2581</v>
      </c>
      <c r="ED236" s="137" t="s">
        <v>3256</v>
      </c>
      <c r="EE236" s="137" t="s">
        <v>3193</v>
      </c>
    </row>
    <row r="237" spans="124:135" x14ac:dyDescent="0.3">
      <c r="DT237" s="446" t="s">
        <v>2787</v>
      </c>
      <c r="DU237" s="446" t="s">
        <v>723</v>
      </c>
      <c r="DW237" s="137" t="s">
        <v>3003</v>
      </c>
      <c r="DX237" s="137" t="s">
        <v>3001</v>
      </c>
      <c r="ED237" s="137" t="s">
        <v>3257</v>
      </c>
      <c r="EE237" s="137" t="s">
        <v>3194</v>
      </c>
    </row>
    <row r="238" spans="124:135" x14ac:dyDescent="0.3">
      <c r="DT238" s="446" t="s">
        <v>1806</v>
      </c>
      <c r="DU238" s="446" t="s">
        <v>1727</v>
      </c>
      <c r="DW238" s="137" t="s">
        <v>1420</v>
      </c>
      <c r="DX238" s="137" t="s">
        <v>1008</v>
      </c>
      <c r="ED238" s="137" t="s">
        <v>3258</v>
      </c>
      <c r="EE238" s="137" t="s">
        <v>3195</v>
      </c>
    </row>
    <row r="239" spans="124:135" x14ac:dyDescent="0.3">
      <c r="DT239" s="446" t="s">
        <v>1807</v>
      </c>
      <c r="DU239" s="446" t="s">
        <v>2592</v>
      </c>
      <c r="DW239" s="137" t="s">
        <v>1009</v>
      </c>
      <c r="DX239" s="137" t="s">
        <v>1009</v>
      </c>
      <c r="ED239" s="137" t="s">
        <v>3259</v>
      </c>
      <c r="EE239" s="137" t="s">
        <v>3196</v>
      </c>
    </row>
    <row r="240" spans="124:135" x14ac:dyDescent="0.3">
      <c r="DT240" s="446" t="s">
        <v>1808</v>
      </c>
      <c r="DU240" s="446" t="s">
        <v>734</v>
      </c>
      <c r="DW240" s="137" t="s">
        <v>2778</v>
      </c>
      <c r="DX240" s="137" t="s">
        <v>2582</v>
      </c>
      <c r="ED240" s="137" t="s">
        <v>3260</v>
      </c>
      <c r="EE240" s="137" t="s">
        <v>3197</v>
      </c>
    </row>
    <row r="241" spans="124:135" x14ac:dyDescent="0.3">
      <c r="DT241" s="446" t="s">
        <v>1809</v>
      </c>
      <c r="DU241" s="446" t="s">
        <v>726</v>
      </c>
      <c r="DW241" s="137" t="s">
        <v>1010</v>
      </c>
      <c r="DX241" s="137" t="s">
        <v>1010</v>
      </c>
      <c r="ED241" s="137" t="s">
        <v>3261</v>
      </c>
      <c r="EE241" s="137" t="s">
        <v>3198</v>
      </c>
    </row>
    <row r="242" spans="124:135" x14ac:dyDescent="0.3">
      <c r="DT242" s="446" t="s">
        <v>1810</v>
      </c>
      <c r="DU242" s="446" t="s">
        <v>1724</v>
      </c>
      <c r="DW242" s="137" t="s">
        <v>2947</v>
      </c>
      <c r="DX242" s="137" t="s">
        <v>2583</v>
      </c>
      <c r="ED242" s="137" t="s">
        <v>3262</v>
      </c>
      <c r="EE242" s="137" t="s">
        <v>3199</v>
      </c>
    </row>
    <row r="243" spans="124:135" x14ac:dyDescent="0.3">
      <c r="DT243" s="446" t="s">
        <v>2788</v>
      </c>
      <c r="DU243" s="446" t="s">
        <v>1691</v>
      </c>
      <c r="DW243" s="137" t="s">
        <v>1790</v>
      </c>
      <c r="DX243" s="137" t="s">
        <v>698</v>
      </c>
      <c r="ED243" s="137" t="s">
        <v>3263</v>
      </c>
      <c r="EE243" s="137" t="s">
        <v>3200</v>
      </c>
    </row>
    <row r="244" spans="124:135" x14ac:dyDescent="0.3">
      <c r="DT244" s="446" t="s">
        <v>1693</v>
      </c>
      <c r="DU244" s="446" t="s">
        <v>1693</v>
      </c>
      <c r="DW244" s="137" t="s">
        <v>1791</v>
      </c>
      <c r="DX244" s="137" t="s">
        <v>2584</v>
      </c>
      <c r="ED244" s="137" t="s">
        <v>3264</v>
      </c>
      <c r="EE244" s="137" t="s">
        <v>3201</v>
      </c>
    </row>
    <row r="245" spans="124:135" x14ac:dyDescent="0.3">
      <c r="DT245" s="446" t="s">
        <v>727</v>
      </c>
      <c r="DU245" s="446" t="s">
        <v>727</v>
      </c>
      <c r="DW245" s="137" t="s">
        <v>1792</v>
      </c>
      <c r="DX245" s="137" t="s">
        <v>1423</v>
      </c>
      <c r="ED245" s="137" t="s">
        <v>3265</v>
      </c>
      <c r="EE245" s="137" t="s">
        <v>3202</v>
      </c>
    </row>
    <row r="246" spans="124:135" x14ac:dyDescent="0.3">
      <c r="DT246" s="446" t="s">
        <v>2664</v>
      </c>
      <c r="DU246" s="446" t="s">
        <v>728</v>
      </c>
      <c r="DW246" s="137" t="s">
        <v>693</v>
      </c>
      <c r="DX246" s="137" t="s">
        <v>2585</v>
      </c>
      <c r="ED246" s="137" t="s">
        <v>3266</v>
      </c>
      <c r="EE246" s="137" t="s">
        <v>3203</v>
      </c>
    </row>
    <row r="247" spans="124:135" x14ac:dyDescent="0.3">
      <c r="DT247" s="446" t="s">
        <v>729</v>
      </c>
      <c r="DU247" s="446" t="s">
        <v>729</v>
      </c>
      <c r="DW247" s="137" t="s">
        <v>2948</v>
      </c>
      <c r="DX247" s="137" t="s">
        <v>2586</v>
      </c>
      <c r="ED247" s="137" t="s">
        <v>3267</v>
      </c>
      <c r="EE247" s="137" t="s">
        <v>3204</v>
      </c>
    </row>
    <row r="248" spans="124:135" x14ac:dyDescent="0.3">
      <c r="DT248" s="446" t="s">
        <v>1815</v>
      </c>
      <c r="DU248" s="446" t="s">
        <v>730</v>
      </c>
      <c r="DW248" s="137" t="s">
        <v>1794</v>
      </c>
      <c r="DX248" s="137" t="s">
        <v>2587</v>
      </c>
      <c r="ED248" s="137" t="s">
        <v>3268</v>
      </c>
      <c r="EE248" s="137" t="s">
        <v>3205</v>
      </c>
    </row>
    <row r="249" spans="124:135" x14ac:dyDescent="0.3">
      <c r="DT249" s="446" t="s">
        <v>732</v>
      </c>
      <c r="DU249" s="446" t="s">
        <v>732</v>
      </c>
      <c r="DW249" s="137" t="s">
        <v>2991</v>
      </c>
      <c r="DX249" s="137" t="s">
        <v>2989</v>
      </c>
      <c r="ED249" s="137" t="s">
        <v>3269</v>
      </c>
      <c r="EE249" s="137" t="s">
        <v>3206</v>
      </c>
    </row>
    <row r="250" spans="124:135" x14ac:dyDescent="0.3">
      <c r="DT250" s="446" t="s">
        <v>61</v>
      </c>
      <c r="DU250" s="446" t="s">
        <v>61</v>
      </c>
      <c r="DW250" s="137" t="s">
        <v>1011</v>
      </c>
      <c r="DX250" s="137" t="s">
        <v>1011</v>
      </c>
      <c r="ED250" s="137" t="s">
        <v>3270</v>
      </c>
      <c r="EE250" s="137" t="s">
        <v>3207</v>
      </c>
    </row>
    <row r="251" spans="124:135" x14ac:dyDescent="0.3">
      <c r="DT251" s="446" t="s">
        <v>62</v>
      </c>
      <c r="DU251" s="446" t="s">
        <v>62</v>
      </c>
      <c r="DW251" s="137" t="s">
        <v>1796</v>
      </c>
      <c r="DX251" s="137" t="s">
        <v>2588</v>
      </c>
      <c r="ED251" s="137" t="s">
        <v>3271</v>
      </c>
      <c r="EE251" s="137" t="s">
        <v>3208</v>
      </c>
    </row>
    <row r="252" spans="124:135" x14ac:dyDescent="0.3">
      <c r="DT252" s="446" t="s">
        <v>45</v>
      </c>
      <c r="DU252" s="446" t="s">
        <v>45</v>
      </c>
      <c r="DW252" s="137" t="s">
        <v>2779</v>
      </c>
      <c r="DX252" s="137" t="s">
        <v>2589</v>
      </c>
      <c r="ED252" s="137" t="s">
        <v>3272</v>
      </c>
      <c r="EE252" s="137" t="s">
        <v>3209</v>
      </c>
    </row>
    <row r="253" spans="124:135" x14ac:dyDescent="0.3">
      <c r="DT253" s="446" t="s">
        <v>51</v>
      </c>
      <c r="DU253" s="446" t="s">
        <v>51</v>
      </c>
      <c r="DW253" s="137" t="s">
        <v>1798</v>
      </c>
      <c r="DX253" s="137" t="s">
        <v>2590</v>
      </c>
      <c r="ED253" s="137" t="s">
        <v>3273</v>
      </c>
      <c r="EE253" s="137" t="s">
        <v>3210</v>
      </c>
    </row>
    <row r="254" spans="124:135" x14ac:dyDescent="0.3">
      <c r="DT254" s="446" t="s">
        <v>52</v>
      </c>
      <c r="DU254" s="446" t="s">
        <v>52</v>
      </c>
      <c r="DW254" s="137" t="s">
        <v>1799</v>
      </c>
      <c r="DX254" s="137" t="s">
        <v>2591</v>
      </c>
      <c r="ED254" s="599" t="s">
        <v>3274</v>
      </c>
      <c r="EE254" s="137" t="s">
        <v>3148</v>
      </c>
    </row>
    <row r="255" spans="124:135" x14ac:dyDescent="0.3">
      <c r="DT255" s="446" t="s">
        <v>53</v>
      </c>
      <c r="DU255" s="446" t="s">
        <v>53</v>
      </c>
      <c r="DW255" s="137" t="s">
        <v>2995</v>
      </c>
      <c r="DX255" s="137" t="s">
        <v>2993</v>
      </c>
      <c r="ED255" s="599" t="s">
        <v>3275</v>
      </c>
      <c r="EE255" s="137" t="s">
        <v>3149</v>
      </c>
    </row>
    <row r="256" spans="124:135" x14ac:dyDescent="0.3">
      <c r="DT256" s="446" t="s">
        <v>46</v>
      </c>
      <c r="DU256" s="446" t="s">
        <v>46</v>
      </c>
      <c r="DW256" s="137" t="s">
        <v>2655</v>
      </c>
      <c r="DX256" s="137" t="s">
        <v>2335</v>
      </c>
      <c r="ED256" s="599" t="s">
        <v>3276</v>
      </c>
      <c r="EE256" s="137" t="s">
        <v>3150</v>
      </c>
    </row>
    <row r="257" spans="124:135" x14ac:dyDescent="0.3">
      <c r="DT257" s="446" t="s">
        <v>56</v>
      </c>
      <c r="DU257" s="446" t="s">
        <v>56</v>
      </c>
      <c r="DW257" s="137" t="s">
        <v>2657</v>
      </c>
      <c r="DX257" s="137" t="s">
        <v>2482</v>
      </c>
      <c r="ED257" s="599" t="s">
        <v>3277</v>
      </c>
      <c r="EE257" s="137" t="s">
        <v>3151</v>
      </c>
    </row>
    <row r="258" spans="124:135" x14ac:dyDescent="0.3">
      <c r="DT258" s="446" t="s">
        <v>60</v>
      </c>
      <c r="DU258" s="446" t="s">
        <v>60</v>
      </c>
      <c r="DW258" s="137" t="s">
        <v>2659</v>
      </c>
      <c r="DX258" s="137" t="s">
        <v>2337</v>
      </c>
      <c r="ED258" s="599" t="s">
        <v>3278</v>
      </c>
      <c r="EE258" s="137" t="s">
        <v>3152</v>
      </c>
    </row>
    <row r="259" spans="124:135" x14ac:dyDescent="0.3">
      <c r="DT259" s="446" t="s">
        <v>63</v>
      </c>
      <c r="DU259" s="446" t="s">
        <v>63</v>
      </c>
      <c r="DW259" s="137" t="s">
        <v>2759</v>
      </c>
      <c r="DX259" s="137" t="s">
        <v>2757</v>
      </c>
      <c r="ED259" s="599" t="s">
        <v>3279</v>
      </c>
      <c r="EE259" s="137" t="s">
        <v>3153</v>
      </c>
    </row>
    <row r="260" spans="124:135" x14ac:dyDescent="0.3">
      <c r="DT260" s="446" t="s">
        <v>65</v>
      </c>
      <c r="DU260" s="446" t="s">
        <v>65</v>
      </c>
      <c r="DW260" s="137" t="s">
        <v>2661</v>
      </c>
      <c r="DX260" s="137" t="s">
        <v>2339</v>
      </c>
      <c r="ED260" s="599" t="s">
        <v>3280</v>
      </c>
      <c r="EE260" s="137" t="s">
        <v>3154</v>
      </c>
    </row>
    <row r="261" spans="124:135" x14ac:dyDescent="0.3">
      <c r="DT261" s="446" t="s">
        <v>64</v>
      </c>
      <c r="DU261" s="446" t="s">
        <v>64</v>
      </c>
      <c r="DW261" s="137" t="s">
        <v>2663</v>
      </c>
      <c r="DX261" s="137" t="s">
        <v>2499</v>
      </c>
      <c r="ED261" s="599" t="s">
        <v>3281</v>
      </c>
      <c r="EE261" s="137" t="s">
        <v>3155</v>
      </c>
    </row>
    <row r="262" spans="124:135" x14ac:dyDescent="0.3">
      <c r="DT262" s="446" t="s">
        <v>1013</v>
      </c>
      <c r="DU262" s="446" t="s">
        <v>1013</v>
      </c>
      <c r="ED262" s="599" t="s">
        <v>3282</v>
      </c>
      <c r="EE262" s="137" t="s">
        <v>3156</v>
      </c>
    </row>
    <row r="263" spans="124:135" x14ac:dyDescent="0.3">
      <c r="DT263" s="446" t="s">
        <v>47</v>
      </c>
      <c r="DU263" s="446" t="s">
        <v>47</v>
      </c>
      <c r="ED263" s="599" t="s">
        <v>3283</v>
      </c>
      <c r="EE263" s="137" t="s">
        <v>3157</v>
      </c>
    </row>
    <row r="264" spans="124:135" x14ac:dyDescent="0.3">
      <c r="DT264" s="446" t="s">
        <v>54</v>
      </c>
      <c r="DU264" s="446" t="s">
        <v>54</v>
      </c>
      <c r="ED264" s="599" t="s">
        <v>3284</v>
      </c>
      <c r="EE264" s="137" t="s">
        <v>3158</v>
      </c>
    </row>
    <row r="265" spans="124:135" x14ac:dyDescent="0.3">
      <c r="DT265" s="446" t="s">
        <v>66</v>
      </c>
      <c r="DU265" s="446" t="s">
        <v>66</v>
      </c>
      <c r="ED265" s="599" t="s">
        <v>3285</v>
      </c>
      <c r="EE265" s="137" t="s">
        <v>3159</v>
      </c>
    </row>
    <row r="266" spans="124:135" x14ac:dyDescent="0.3">
      <c r="DT266" s="446" t="s">
        <v>57</v>
      </c>
      <c r="DU266" s="446" t="s">
        <v>57</v>
      </c>
      <c r="ED266" s="599" t="s">
        <v>3286</v>
      </c>
      <c r="EE266" s="137" t="s">
        <v>3160</v>
      </c>
    </row>
    <row r="267" spans="124:135" x14ac:dyDescent="0.3">
      <c r="DT267" s="446" t="s">
        <v>58</v>
      </c>
      <c r="DU267" s="446" t="s">
        <v>58</v>
      </c>
      <c r="ED267" s="599" t="s">
        <v>3287</v>
      </c>
      <c r="EE267" s="137" t="s">
        <v>3161</v>
      </c>
    </row>
    <row r="268" spans="124:135" x14ac:dyDescent="0.3">
      <c r="DT268" s="446" t="s">
        <v>48</v>
      </c>
      <c r="DU268" s="446" t="s">
        <v>48</v>
      </c>
      <c r="ED268" s="599" t="s">
        <v>3288</v>
      </c>
      <c r="EE268" s="137" t="s">
        <v>3162</v>
      </c>
    </row>
    <row r="269" spans="124:135" x14ac:dyDescent="0.3">
      <c r="DT269" s="446" t="s">
        <v>49</v>
      </c>
      <c r="DU269" s="446" t="s">
        <v>49</v>
      </c>
      <c r="ED269" s="599" t="s">
        <v>3289</v>
      </c>
      <c r="EE269" s="137" t="s">
        <v>3163</v>
      </c>
    </row>
    <row r="270" spans="124:135" x14ac:dyDescent="0.3">
      <c r="DT270" s="446" t="s">
        <v>55</v>
      </c>
      <c r="DU270" s="446" t="s">
        <v>55</v>
      </c>
      <c r="ED270" s="599" t="s">
        <v>3290</v>
      </c>
      <c r="EE270" s="137" t="s">
        <v>3164</v>
      </c>
    </row>
    <row r="271" spans="124:135" x14ac:dyDescent="0.3">
      <c r="DT271" s="446" t="s">
        <v>50</v>
      </c>
      <c r="DU271" s="446" t="s">
        <v>50</v>
      </c>
      <c r="ED271" s="599" t="s">
        <v>3291</v>
      </c>
      <c r="EE271" s="137" t="s">
        <v>3165</v>
      </c>
    </row>
    <row r="272" spans="124:135" x14ac:dyDescent="0.3">
      <c r="DT272" s="446" t="s">
        <v>67</v>
      </c>
      <c r="DU272" s="446" t="s">
        <v>67</v>
      </c>
      <c r="ED272" s="599" t="s">
        <v>3292</v>
      </c>
      <c r="EE272" s="137" t="s">
        <v>3166</v>
      </c>
    </row>
    <row r="273" spans="124:135" x14ac:dyDescent="0.3">
      <c r="DT273" s="446" t="s">
        <v>44</v>
      </c>
      <c r="DU273" s="446" t="s">
        <v>44</v>
      </c>
      <c r="ED273" s="599" t="s">
        <v>3293</v>
      </c>
      <c r="EE273" s="137" t="s">
        <v>3167</v>
      </c>
    </row>
    <row r="274" spans="124:135" x14ac:dyDescent="0.3">
      <c r="DT274" s="446" t="s">
        <v>59</v>
      </c>
      <c r="DU274" s="446" t="s">
        <v>59</v>
      </c>
      <c r="ED274" s="599" t="s">
        <v>3294</v>
      </c>
      <c r="EE274" s="137" t="s">
        <v>3168</v>
      </c>
    </row>
    <row r="275" spans="124:135" x14ac:dyDescent="0.3">
      <c r="DT275" s="446" t="s">
        <v>74</v>
      </c>
      <c r="DU275" s="446" t="s">
        <v>74</v>
      </c>
      <c r="ED275" s="599" t="s">
        <v>3295</v>
      </c>
      <c r="EE275" s="137" t="s">
        <v>3169</v>
      </c>
    </row>
    <row r="276" spans="124:135" x14ac:dyDescent="0.3">
      <c r="DT276" s="446" t="s">
        <v>76</v>
      </c>
      <c r="DU276" s="446" t="s">
        <v>76</v>
      </c>
      <c r="ED276" s="599" t="s">
        <v>3296</v>
      </c>
      <c r="EE276" s="137" t="s">
        <v>3170</v>
      </c>
    </row>
    <row r="277" spans="124:135" x14ac:dyDescent="0.3">
      <c r="DT277" s="446" t="s">
        <v>72</v>
      </c>
      <c r="DU277" s="446" t="s">
        <v>72</v>
      </c>
      <c r="ED277" s="599" t="s">
        <v>3297</v>
      </c>
      <c r="EE277" s="137" t="s">
        <v>3171</v>
      </c>
    </row>
    <row r="278" spans="124:135" x14ac:dyDescent="0.3">
      <c r="DT278" s="446" t="s">
        <v>69</v>
      </c>
      <c r="DU278" s="446" t="s">
        <v>69</v>
      </c>
      <c r="ED278" s="599" t="s">
        <v>3298</v>
      </c>
      <c r="EE278" s="137" t="s">
        <v>3172</v>
      </c>
    </row>
    <row r="279" spans="124:135" x14ac:dyDescent="0.3">
      <c r="DT279" s="446" t="s">
        <v>73</v>
      </c>
      <c r="DU279" s="446" t="s">
        <v>73</v>
      </c>
      <c r="ED279" s="599" t="s">
        <v>3299</v>
      </c>
      <c r="EE279" s="137" t="s">
        <v>3173</v>
      </c>
    </row>
    <row r="280" spans="124:135" x14ac:dyDescent="0.3">
      <c r="DT280" s="446" t="s">
        <v>71</v>
      </c>
      <c r="DU280" s="446" t="s">
        <v>71</v>
      </c>
      <c r="ED280" s="599" t="s">
        <v>3300</v>
      </c>
      <c r="EE280" s="137" t="s">
        <v>3174</v>
      </c>
    </row>
    <row r="281" spans="124:135" x14ac:dyDescent="0.3">
      <c r="DT281" s="446" t="s">
        <v>70</v>
      </c>
      <c r="DU281" s="446" t="s">
        <v>70</v>
      </c>
      <c r="ED281" s="599" t="s">
        <v>3301</v>
      </c>
      <c r="EE281" s="137" t="s">
        <v>3175</v>
      </c>
    </row>
    <row r="282" spans="124:135" x14ac:dyDescent="0.3">
      <c r="DT282" s="446" t="s">
        <v>68</v>
      </c>
      <c r="DU282" s="446" t="s">
        <v>68</v>
      </c>
      <c r="ED282" s="599" t="s">
        <v>3302</v>
      </c>
      <c r="EE282" s="137" t="s">
        <v>3176</v>
      </c>
    </row>
    <row r="283" spans="124:135" x14ac:dyDescent="0.3">
      <c r="DT283" s="446" t="s">
        <v>75</v>
      </c>
      <c r="DU283" s="446" t="s">
        <v>75</v>
      </c>
      <c r="ED283" s="599" t="s">
        <v>3303</v>
      </c>
      <c r="EE283" s="137" t="s">
        <v>3177</v>
      </c>
    </row>
    <row r="284" spans="124:135" x14ac:dyDescent="0.3">
      <c r="DT284" s="446" t="s">
        <v>1818</v>
      </c>
      <c r="DU284" s="446" t="s">
        <v>546</v>
      </c>
      <c r="ED284" s="599" t="s">
        <v>3304</v>
      </c>
      <c r="EE284" s="137" t="s">
        <v>3178</v>
      </c>
    </row>
    <row r="285" spans="124:135" x14ac:dyDescent="0.3">
      <c r="DT285" s="446" t="s">
        <v>1819</v>
      </c>
      <c r="DU285" s="446" t="s">
        <v>548</v>
      </c>
      <c r="ED285" s="599" t="s">
        <v>3305</v>
      </c>
      <c r="EE285" s="137" t="s">
        <v>3179</v>
      </c>
    </row>
    <row r="286" spans="124:135" x14ac:dyDescent="0.3">
      <c r="DT286" s="446" t="s">
        <v>2665</v>
      </c>
      <c r="DU286" s="446" t="s">
        <v>1730</v>
      </c>
      <c r="ED286" s="599" t="s">
        <v>3306</v>
      </c>
      <c r="EE286" s="137" t="s">
        <v>3180</v>
      </c>
    </row>
    <row r="287" spans="124:135" x14ac:dyDescent="0.3">
      <c r="DT287" s="446" t="s">
        <v>3354</v>
      </c>
      <c r="DU287" s="446" t="s">
        <v>3354</v>
      </c>
      <c r="ED287" s="599" t="s">
        <v>3307</v>
      </c>
      <c r="EE287" s="137" t="s">
        <v>3181</v>
      </c>
    </row>
    <row r="288" spans="124:135" x14ac:dyDescent="0.3">
      <c r="ED288" s="599" t="s">
        <v>3308</v>
      </c>
      <c r="EE288" s="137" t="s">
        <v>3182</v>
      </c>
    </row>
    <row r="289" spans="134:135" x14ac:dyDescent="0.3">
      <c r="ED289" s="599" t="s">
        <v>3309</v>
      </c>
      <c r="EE289" s="137" t="s">
        <v>3183</v>
      </c>
    </row>
    <row r="290" spans="134:135" x14ac:dyDescent="0.3">
      <c r="ED290" s="599" t="s">
        <v>3310</v>
      </c>
      <c r="EE290" s="137" t="s">
        <v>3184</v>
      </c>
    </row>
    <row r="291" spans="134:135" x14ac:dyDescent="0.3">
      <c r="ED291" s="599" t="s">
        <v>3311</v>
      </c>
      <c r="EE291" s="137" t="s">
        <v>3185</v>
      </c>
    </row>
    <row r="292" spans="134:135" x14ac:dyDescent="0.3">
      <c r="ED292" s="599" t="s">
        <v>3312</v>
      </c>
      <c r="EE292" s="137" t="s">
        <v>3186</v>
      </c>
    </row>
    <row r="293" spans="134:135" x14ac:dyDescent="0.3">
      <c r="ED293" s="599" t="s">
        <v>3313</v>
      </c>
      <c r="EE293" s="137" t="s">
        <v>3187</v>
      </c>
    </row>
    <row r="294" spans="134:135" x14ac:dyDescent="0.3">
      <c r="ED294" s="599" t="s">
        <v>3314</v>
      </c>
      <c r="EE294" s="137" t="s">
        <v>3188</v>
      </c>
    </row>
    <row r="295" spans="134:135" x14ac:dyDescent="0.3">
      <c r="ED295" s="599" t="s">
        <v>3315</v>
      </c>
      <c r="EE295" s="137" t="s">
        <v>3189</v>
      </c>
    </row>
    <row r="296" spans="134:135" x14ac:dyDescent="0.3">
      <c r="ED296" s="599" t="s">
        <v>3316</v>
      </c>
      <c r="EE296" s="137" t="s">
        <v>3190</v>
      </c>
    </row>
    <row r="297" spans="134:135" x14ac:dyDescent="0.3">
      <c r="ED297" s="599" t="s">
        <v>3317</v>
      </c>
      <c r="EE297" s="137" t="s">
        <v>3191</v>
      </c>
    </row>
    <row r="298" spans="134:135" x14ac:dyDescent="0.3">
      <c r="ED298" s="599" t="s">
        <v>3318</v>
      </c>
      <c r="EE298" s="137" t="s">
        <v>3192</v>
      </c>
    </row>
    <row r="299" spans="134:135" x14ac:dyDescent="0.3">
      <c r="ED299" s="599" t="s">
        <v>3319</v>
      </c>
      <c r="EE299" s="137" t="s">
        <v>3193</v>
      </c>
    </row>
    <row r="300" spans="134:135" x14ac:dyDescent="0.3">
      <c r="ED300" s="599" t="s">
        <v>3320</v>
      </c>
      <c r="EE300" s="137" t="s">
        <v>3194</v>
      </c>
    </row>
    <row r="301" spans="134:135" x14ac:dyDescent="0.3">
      <c r="ED301" s="599" t="s">
        <v>3321</v>
      </c>
      <c r="EE301" s="137" t="s">
        <v>3195</v>
      </c>
    </row>
    <row r="302" spans="134:135" x14ac:dyDescent="0.3">
      <c r="ED302" s="599" t="s">
        <v>3322</v>
      </c>
      <c r="EE302" s="137" t="s">
        <v>3196</v>
      </c>
    </row>
    <row r="303" spans="134:135" x14ac:dyDescent="0.3">
      <c r="ED303" s="599" t="s">
        <v>3323</v>
      </c>
      <c r="EE303" s="137" t="s">
        <v>3197</v>
      </c>
    </row>
    <row r="304" spans="134:135" x14ac:dyDescent="0.3">
      <c r="ED304" s="599" t="s">
        <v>3324</v>
      </c>
      <c r="EE304" s="137" t="s">
        <v>3198</v>
      </c>
    </row>
    <row r="305" spans="134:135" x14ac:dyDescent="0.3">
      <c r="ED305" s="599" t="s">
        <v>3325</v>
      </c>
      <c r="EE305" s="137" t="s">
        <v>3199</v>
      </c>
    </row>
    <row r="306" spans="134:135" x14ac:dyDescent="0.3">
      <c r="ED306" s="599" t="s">
        <v>3326</v>
      </c>
      <c r="EE306" s="137" t="s">
        <v>3200</v>
      </c>
    </row>
    <row r="307" spans="134:135" x14ac:dyDescent="0.3">
      <c r="ED307" s="599" t="s">
        <v>3327</v>
      </c>
      <c r="EE307" s="137" t="s">
        <v>3201</v>
      </c>
    </row>
    <row r="308" spans="134:135" x14ac:dyDescent="0.3">
      <c r="ED308" s="599" t="s">
        <v>3328</v>
      </c>
      <c r="EE308" s="137" t="s">
        <v>3202</v>
      </c>
    </row>
    <row r="309" spans="134:135" x14ac:dyDescent="0.3">
      <c r="ED309" s="599" t="s">
        <v>3329</v>
      </c>
      <c r="EE309" s="137" t="s">
        <v>3203</v>
      </c>
    </row>
    <row r="310" spans="134:135" x14ac:dyDescent="0.3">
      <c r="ED310" s="599" t="s">
        <v>3330</v>
      </c>
      <c r="EE310" s="137" t="s">
        <v>3204</v>
      </c>
    </row>
    <row r="311" spans="134:135" x14ac:dyDescent="0.3">
      <c r="ED311" s="599" t="s">
        <v>3331</v>
      </c>
      <c r="EE311" s="137" t="s">
        <v>3205</v>
      </c>
    </row>
    <row r="312" spans="134:135" x14ac:dyDescent="0.3">
      <c r="ED312" s="599" t="s">
        <v>3332</v>
      </c>
      <c r="EE312" s="137" t="s">
        <v>3206</v>
      </c>
    </row>
    <row r="313" spans="134:135" x14ac:dyDescent="0.3">
      <c r="ED313" s="599" t="s">
        <v>3333</v>
      </c>
      <c r="EE313" s="137" t="s">
        <v>3207</v>
      </c>
    </row>
    <row r="314" spans="134:135" x14ac:dyDescent="0.3">
      <c r="ED314" s="599" t="s">
        <v>3334</v>
      </c>
      <c r="EE314" s="137" t="s">
        <v>3208</v>
      </c>
    </row>
    <row r="315" spans="134:135" x14ac:dyDescent="0.3">
      <c r="ED315" s="599" t="s">
        <v>3335</v>
      </c>
      <c r="EE315" s="137" t="s">
        <v>3209</v>
      </c>
    </row>
    <row r="316" spans="134:135" x14ac:dyDescent="0.3">
      <c r="ED316" s="599" t="s">
        <v>3336</v>
      </c>
      <c r="EE316" s="137" t="s">
        <v>3210</v>
      </c>
    </row>
  </sheetData>
  <phoneticPr fontId="13" type="noConversion"/>
  <conditionalFormatting sqref="AC4:AC9 AC15:AC23 AC29:AC34 AC40:AC41 AC43:AC45">
    <cfRule type="cellIs" dxfId="726" priority="61" operator="equal">
      <formula>1</formula>
    </cfRule>
  </conditionalFormatting>
  <conditionalFormatting sqref="R5">
    <cfRule type="duplicateValues" dxfId="725" priority="38"/>
  </conditionalFormatting>
  <conditionalFormatting sqref="S20:S48">
    <cfRule type="duplicateValues" dxfId="724" priority="57"/>
  </conditionalFormatting>
  <conditionalFormatting sqref="R49:R55">
    <cfRule type="duplicateValues" dxfId="723" priority="48"/>
  </conditionalFormatting>
  <conditionalFormatting sqref="R56:R57">
    <cfRule type="duplicateValues" dxfId="722" priority="49"/>
  </conditionalFormatting>
  <conditionalFormatting sqref="R2 R63:R1048576 R49:R61">
    <cfRule type="duplicateValues" dxfId="721" priority="190"/>
  </conditionalFormatting>
  <conditionalFormatting sqref="P63:P1048576 P2:P61">
    <cfRule type="duplicateValues" dxfId="720" priority="202"/>
  </conditionalFormatting>
  <conditionalFormatting sqref="R63 R58:R61">
    <cfRule type="duplicateValues" dxfId="719" priority="208"/>
  </conditionalFormatting>
  <conditionalFormatting sqref="R4">
    <cfRule type="duplicateValues" dxfId="718" priority="39"/>
  </conditionalFormatting>
  <conditionalFormatting sqref="R6:R8">
    <cfRule type="duplicateValues" dxfId="717" priority="37"/>
  </conditionalFormatting>
  <conditionalFormatting sqref="R9:R10">
    <cfRule type="duplicateValues" dxfId="716" priority="36"/>
  </conditionalFormatting>
  <conditionalFormatting sqref="R11">
    <cfRule type="duplicateValues" dxfId="715" priority="35"/>
  </conditionalFormatting>
  <conditionalFormatting sqref="R12:R36">
    <cfRule type="duplicateValues" dxfId="714" priority="34"/>
  </conditionalFormatting>
  <conditionalFormatting sqref="R37:R45">
    <cfRule type="duplicateValues" dxfId="713" priority="33"/>
  </conditionalFormatting>
  <conditionalFormatting sqref="R46:R48">
    <cfRule type="duplicateValues" dxfId="712" priority="32"/>
  </conditionalFormatting>
  <conditionalFormatting sqref="S4">
    <cfRule type="duplicateValues" dxfId="711" priority="31"/>
  </conditionalFormatting>
  <conditionalFormatting sqref="S6:S11">
    <cfRule type="duplicateValues" dxfId="710" priority="30"/>
  </conditionalFormatting>
  <conditionalFormatting sqref="S12:S13">
    <cfRule type="duplicateValues" dxfId="709" priority="29"/>
  </conditionalFormatting>
  <conditionalFormatting sqref="T4">
    <cfRule type="duplicateValues" dxfId="708" priority="27"/>
  </conditionalFormatting>
  <conditionalFormatting sqref="T5:T6">
    <cfRule type="duplicateValues" dxfId="707" priority="26"/>
  </conditionalFormatting>
  <conditionalFormatting sqref="T7">
    <cfRule type="duplicateValues" dxfId="706" priority="25"/>
  </conditionalFormatting>
  <conditionalFormatting sqref="U4:U6">
    <cfRule type="duplicateValues" dxfId="705" priority="24"/>
  </conditionalFormatting>
  <conditionalFormatting sqref="U7:U31">
    <cfRule type="duplicateValues" dxfId="704" priority="23"/>
  </conditionalFormatting>
  <conditionalFormatting sqref="U32:U40">
    <cfRule type="duplicateValues" dxfId="703" priority="22"/>
  </conditionalFormatting>
  <conditionalFormatting sqref="U41:U43">
    <cfRule type="duplicateValues" dxfId="702" priority="21"/>
  </conditionalFormatting>
  <conditionalFormatting sqref="V4:V6">
    <cfRule type="duplicateValues" dxfId="701" priority="20"/>
  </conditionalFormatting>
  <conditionalFormatting sqref="V7:V31">
    <cfRule type="duplicateValues" dxfId="700" priority="19"/>
  </conditionalFormatting>
  <conditionalFormatting sqref="V32:V40">
    <cfRule type="duplicateValues" dxfId="699" priority="18"/>
  </conditionalFormatting>
  <conditionalFormatting sqref="V41:V43">
    <cfRule type="duplicateValues" dxfId="698" priority="17"/>
  </conditionalFormatting>
  <conditionalFormatting sqref="S14:S19">
    <cfRule type="duplicateValues" dxfId="697" priority="291"/>
  </conditionalFormatting>
  <conditionalFormatting sqref="F14:F19">
    <cfRule type="duplicateValues" dxfId="696" priority="15"/>
  </conditionalFormatting>
  <conditionalFormatting sqref="BQ2:BR2">
    <cfRule type="duplicateValues" dxfId="695" priority="14"/>
  </conditionalFormatting>
  <conditionalFormatting sqref="BQ9:BQ10">
    <cfRule type="duplicateValues" dxfId="694" priority="13"/>
  </conditionalFormatting>
  <conditionalFormatting sqref="A31 A49:A56 A58:A59">
    <cfRule type="duplicateValues" dxfId="693" priority="343"/>
  </conditionalFormatting>
  <conditionalFormatting sqref="DT2:DT58">
    <cfRule type="duplicateValues" dxfId="692" priority="11"/>
  </conditionalFormatting>
  <conditionalFormatting sqref="DT59:DT115">
    <cfRule type="duplicateValues" dxfId="691" priority="10"/>
  </conditionalFormatting>
  <conditionalFormatting sqref="DT116:DT172">
    <cfRule type="duplicateValues" dxfId="690" priority="9"/>
  </conditionalFormatting>
  <conditionalFormatting sqref="DT173:DT229">
    <cfRule type="duplicateValues" dxfId="689" priority="8"/>
  </conditionalFormatting>
  <conditionalFormatting sqref="DT230:DT287">
    <cfRule type="duplicateValues" dxfId="688" priority="7"/>
  </conditionalFormatting>
  <conditionalFormatting sqref="DU2:DU58">
    <cfRule type="duplicateValues" dxfId="687" priority="6"/>
  </conditionalFormatting>
  <conditionalFormatting sqref="DU59:DU115">
    <cfRule type="duplicateValues" dxfId="686" priority="5"/>
  </conditionalFormatting>
  <conditionalFormatting sqref="DU116:DU172">
    <cfRule type="duplicateValues" dxfId="685" priority="4"/>
  </conditionalFormatting>
  <conditionalFormatting sqref="DU173:DU229">
    <cfRule type="duplicateValues" dxfId="684" priority="3"/>
  </conditionalFormatting>
  <conditionalFormatting sqref="DU230:DU286">
    <cfRule type="duplicateValues" dxfId="683" priority="2"/>
  </conditionalFormatting>
  <conditionalFormatting sqref="Q2 Q63:Q1048576 Q4 Q6:Q61">
    <cfRule type="duplicateValues" dxfId="682" priority="358"/>
  </conditionalFormatting>
  <conditionalFormatting sqref="A3:A28 A30:A37 A39:A99">
    <cfRule type="duplicateValues" dxfId="681" priority="367"/>
  </conditionalFormatting>
  <conditionalFormatting sqref="DU287">
    <cfRule type="duplicateValues" dxfId="680" priority="1"/>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4A015-C0F6-4910-B288-7E266A6EAC12}">
  <sheetPr codeName="List25"/>
  <dimension ref="A1:AF66"/>
  <sheetViews>
    <sheetView workbookViewId="0">
      <selection activeCell="F3" sqref="F3"/>
    </sheetView>
  </sheetViews>
  <sheetFormatPr defaultRowHeight="14.4" x14ac:dyDescent="0.3"/>
  <cols>
    <col min="1" max="1" width="30" style="137" customWidth="1"/>
    <col min="2" max="2" width="25.5546875" style="137" customWidth="1"/>
    <col min="3" max="3" width="26.6640625" style="137" bestFit="1" customWidth="1"/>
    <col min="4" max="11" width="24.77734375" style="137" customWidth="1"/>
    <col min="12" max="12" width="20.44140625" style="137" customWidth="1"/>
    <col min="13" max="13" width="23" style="137" customWidth="1"/>
    <col min="14" max="14" width="19.109375" style="137" bestFit="1" customWidth="1"/>
    <col min="15" max="15" width="23.5546875" style="137" bestFit="1" customWidth="1"/>
    <col min="16" max="16" width="20.109375" style="137" bestFit="1" customWidth="1"/>
    <col min="17" max="17" width="19.109375" style="137" bestFit="1" customWidth="1"/>
    <col min="18" max="18" width="14.88671875" style="137" customWidth="1"/>
    <col min="19" max="19" width="8.88671875" style="137"/>
    <col min="20" max="20" width="18.77734375" style="137" bestFit="1" customWidth="1"/>
    <col min="21" max="21" width="9.88671875" style="137" customWidth="1"/>
    <col min="22" max="22" width="19.6640625" style="137" customWidth="1"/>
    <col min="23" max="23" width="19.44140625" style="137" bestFit="1" customWidth="1"/>
    <col min="24" max="24" width="8.88671875" style="137"/>
    <col min="25" max="31" width="13.44140625" style="137" customWidth="1"/>
    <col min="32" max="16384" width="8.88671875" style="137"/>
  </cols>
  <sheetData>
    <row r="1" spans="1:32" x14ac:dyDescent="0.3">
      <c r="A1" s="405" t="s">
        <v>2067</v>
      </c>
      <c r="B1" s="405"/>
      <c r="C1" s="405"/>
      <c r="D1" s="405"/>
      <c r="E1" s="405"/>
      <c r="F1" s="405"/>
      <c r="G1" s="405"/>
      <c r="H1" s="405"/>
      <c r="I1" s="405"/>
      <c r="J1" s="405"/>
      <c r="K1" s="405"/>
      <c r="L1" s="405"/>
      <c r="M1" s="405"/>
      <c r="N1" s="405"/>
      <c r="O1" s="405"/>
      <c r="P1" s="405"/>
      <c r="Q1" s="405"/>
      <c r="R1" s="405"/>
      <c r="S1" s="406"/>
      <c r="T1" s="405" t="s">
        <v>735</v>
      </c>
      <c r="U1" s="405"/>
      <c r="V1" s="405"/>
      <c r="W1" s="405"/>
      <c r="X1" s="406"/>
      <c r="Y1" s="405" t="s">
        <v>22</v>
      </c>
      <c r="Z1" s="405"/>
      <c r="AA1" s="405"/>
      <c r="AB1" s="405"/>
      <c r="AC1" s="405"/>
      <c r="AD1" s="405"/>
      <c r="AE1" s="405"/>
      <c r="AF1" s="406"/>
    </row>
    <row r="2" spans="1:32" x14ac:dyDescent="0.3">
      <c r="A2" s="408" t="s">
        <v>2079</v>
      </c>
      <c r="B2" s="408" t="s">
        <v>1030</v>
      </c>
      <c r="C2" s="408"/>
      <c r="D2" s="137">
        <v>1</v>
      </c>
      <c r="E2" s="137">
        <v>2</v>
      </c>
      <c r="F2" s="137">
        <v>3</v>
      </c>
      <c r="G2" s="137">
        <v>4</v>
      </c>
      <c r="H2" s="137">
        <v>5</v>
      </c>
      <c r="I2" s="137">
        <v>6</v>
      </c>
      <c r="J2" s="137">
        <v>7</v>
      </c>
      <c r="K2" s="137">
        <v>8</v>
      </c>
      <c r="L2" s="137">
        <v>9</v>
      </c>
      <c r="M2" s="137">
        <v>10</v>
      </c>
      <c r="N2" s="137">
        <v>11</v>
      </c>
      <c r="O2" s="137">
        <v>12</v>
      </c>
      <c r="P2" s="137">
        <v>13</v>
      </c>
      <c r="Q2" s="137">
        <v>14</v>
      </c>
      <c r="R2" s="137">
        <v>15</v>
      </c>
      <c r="S2" s="406"/>
      <c r="T2" s="407" t="s">
        <v>2069</v>
      </c>
      <c r="U2" s="407" t="s">
        <v>1441</v>
      </c>
      <c r="V2" s="407" t="s">
        <v>2080</v>
      </c>
      <c r="W2" s="407" t="s">
        <v>2081</v>
      </c>
      <c r="X2" s="406"/>
      <c r="Y2" s="409">
        <v>1</v>
      </c>
      <c r="Z2" s="409">
        <v>2</v>
      </c>
      <c r="AA2" s="409">
        <v>3</v>
      </c>
      <c r="AB2" s="409">
        <v>4</v>
      </c>
      <c r="AC2" s="409">
        <v>5</v>
      </c>
      <c r="AD2" s="409">
        <v>6</v>
      </c>
      <c r="AE2" s="409">
        <v>7</v>
      </c>
      <c r="AF2" s="406"/>
    </row>
    <row r="3" spans="1:32" x14ac:dyDescent="0.3">
      <c r="A3" s="407" t="s">
        <v>245</v>
      </c>
      <c r="B3" s="407" t="s">
        <v>1032</v>
      </c>
      <c r="C3" s="407" t="str">
        <f>CONCATENATE("_",A3,"_",B3)</f>
        <v>_Úzký ALU rámeček_Aventos HF</v>
      </c>
      <c r="D3" s="137" t="s">
        <v>2177</v>
      </c>
      <c r="E3" s="137" t="s">
        <v>2178</v>
      </c>
      <c r="F3" s="137" t="s">
        <v>2179</v>
      </c>
      <c r="G3" s="137" t="s">
        <v>2180</v>
      </c>
      <c r="H3" s="137" t="s">
        <v>2181</v>
      </c>
      <c r="I3" s="137" t="s">
        <v>2182</v>
      </c>
      <c r="S3" s="406"/>
      <c r="T3" s="137">
        <v>1</v>
      </c>
      <c r="U3" s="137" t="s">
        <v>14</v>
      </c>
      <c r="V3" s="137" t="s">
        <v>2183</v>
      </c>
      <c r="W3" s="137" t="s">
        <v>2184</v>
      </c>
      <c r="X3" s="406"/>
      <c r="AF3" s="406"/>
    </row>
    <row r="4" spans="1:32" x14ac:dyDescent="0.3">
      <c r="A4" s="407" t="s">
        <v>246</v>
      </c>
      <c r="B4" s="407" t="s">
        <v>1032</v>
      </c>
      <c r="C4" s="407" t="str">
        <f>CONCATENATE("_",A4,"_",B4)</f>
        <v>_Široký ALU rámeček_Aventos HF</v>
      </c>
      <c r="D4" s="137" t="s">
        <v>2185</v>
      </c>
      <c r="E4" s="137" t="s">
        <v>2178</v>
      </c>
      <c r="F4" s="137" t="s">
        <v>2186</v>
      </c>
      <c r="G4" s="137" t="s">
        <v>2187</v>
      </c>
      <c r="H4" s="137" t="s">
        <v>2188</v>
      </c>
      <c r="I4" s="137" t="s">
        <v>2189</v>
      </c>
      <c r="S4" s="406"/>
      <c r="V4" s="137" t="s">
        <v>2190</v>
      </c>
      <c r="W4" s="137" t="s">
        <v>2191</v>
      </c>
      <c r="X4" s="406"/>
      <c r="AF4" s="406"/>
    </row>
    <row r="5" spans="1:32" x14ac:dyDescent="0.3">
      <c r="A5" s="410" t="s">
        <v>245</v>
      </c>
      <c r="B5" s="410" t="s">
        <v>2093</v>
      </c>
      <c r="C5" s="410" t="str">
        <f t="shared" ref="C5:C34" si="0">CONCATENATE("_",A5,"_",B5)</f>
        <v>_Úzký ALU rámeček_Aventos HK-XS</v>
      </c>
      <c r="D5" s="137" t="s">
        <v>2192</v>
      </c>
      <c r="E5" s="137" t="s">
        <v>2178</v>
      </c>
      <c r="F5" s="137" t="s">
        <v>2193</v>
      </c>
      <c r="G5" s="137" t="s">
        <v>2194</v>
      </c>
      <c r="S5" s="406"/>
      <c r="V5" s="137" t="s">
        <v>2195</v>
      </c>
      <c r="W5" s="137" t="s">
        <v>2196</v>
      </c>
      <c r="X5" s="406"/>
      <c r="AF5" s="406"/>
    </row>
    <row r="6" spans="1:32" x14ac:dyDescent="0.3">
      <c r="A6" s="410" t="s">
        <v>246</v>
      </c>
      <c r="B6" s="410" t="s">
        <v>2093</v>
      </c>
      <c r="C6" s="410" t="str">
        <f t="shared" si="0"/>
        <v>_Široký ALU rámeček_Aventos HK-XS</v>
      </c>
      <c r="D6" s="137" t="s">
        <v>2197</v>
      </c>
      <c r="E6" s="137" t="s">
        <v>2178</v>
      </c>
      <c r="F6" s="137" t="s">
        <v>2198</v>
      </c>
      <c r="G6" s="137" t="s">
        <v>2189</v>
      </c>
      <c r="H6" s="137" t="s">
        <v>2194</v>
      </c>
      <c r="S6" s="406"/>
      <c r="V6" s="137" t="s">
        <v>2196</v>
      </c>
      <c r="W6" s="137" t="s">
        <v>2199</v>
      </c>
      <c r="X6" s="406"/>
      <c r="AF6" s="406"/>
    </row>
    <row r="7" spans="1:32" x14ac:dyDescent="0.3">
      <c r="A7" s="407" t="s">
        <v>245</v>
      </c>
      <c r="B7" s="407" t="s">
        <v>2097</v>
      </c>
      <c r="C7" s="407" t="str">
        <f t="shared" si="0"/>
        <v>_Úzký ALU rámeček_FREElight</v>
      </c>
      <c r="D7" s="137" t="s">
        <v>2200</v>
      </c>
      <c r="E7" s="137" t="s">
        <v>2640</v>
      </c>
      <c r="F7" s="137" t="s">
        <v>2202</v>
      </c>
      <c r="G7" s="137" t="s">
        <v>2641</v>
      </c>
      <c r="H7" s="137" t="s">
        <v>2642</v>
      </c>
      <c r="I7" s="137" t="s">
        <v>2205</v>
      </c>
      <c r="J7" s="137" t="s">
        <v>2643</v>
      </c>
      <c r="K7" s="137" t="s">
        <v>2644</v>
      </c>
      <c r="S7" s="406"/>
      <c r="V7" s="137" t="s">
        <v>2208</v>
      </c>
      <c r="W7" s="137" t="s">
        <v>2209</v>
      </c>
      <c r="X7" s="406"/>
      <c r="AF7" s="406"/>
    </row>
    <row r="8" spans="1:32" x14ac:dyDescent="0.3">
      <c r="A8" s="407" t="s">
        <v>246</v>
      </c>
      <c r="B8" s="407" t="s">
        <v>2097</v>
      </c>
      <c r="C8" s="407" t="str">
        <f t="shared" si="0"/>
        <v>_Široký ALU rámeček_FREElight</v>
      </c>
      <c r="D8" s="137" t="s">
        <v>2210</v>
      </c>
      <c r="E8" s="137" t="s">
        <v>2645</v>
      </c>
      <c r="F8" s="137" t="s">
        <v>2212</v>
      </c>
      <c r="G8" s="137" t="s">
        <v>2646</v>
      </c>
      <c r="H8" s="137" t="s">
        <v>2214</v>
      </c>
      <c r="I8" s="137" t="s">
        <v>2647</v>
      </c>
      <c r="S8" s="406"/>
      <c r="V8" s="137" t="s">
        <v>2216</v>
      </c>
      <c r="W8" s="137" t="s">
        <v>2217</v>
      </c>
      <c r="X8" s="406"/>
      <c r="AF8" s="406"/>
    </row>
    <row r="9" spans="1:32" x14ac:dyDescent="0.3">
      <c r="A9" s="410" t="s">
        <v>245</v>
      </c>
      <c r="B9" s="410" t="s">
        <v>2100</v>
      </c>
      <c r="C9" s="410" t="str">
        <f t="shared" si="0"/>
        <v>_Úzký ALU rámeček_FREEfold</v>
      </c>
      <c r="D9" s="137" t="s">
        <v>2200</v>
      </c>
      <c r="E9" s="137" t="s">
        <v>2640</v>
      </c>
      <c r="F9" s="137" t="s">
        <v>2202</v>
      </c>
      <c r="G9" s="137" t="s">
        <v>2641</v>
      </c>
      <c r="H9" s="137" t="s">
        <v>2642</v>
      </c>
      <c r="I9" s="137" t="s">
        <v>2205</v>
      </c>
      <c r="J9" s="137" t="s">
        <v>2643</v>
      </c>
      <c r="K9" s="137" t="s">
        <v>2644</v>
      </c>
      <c r="S9" s="406"/>
      <c r="V9" s="137" t="s">
        <v>2218</v>
      </c>
      <c r="W9" s="137" t="s">
        <v>2196</v>
      </c>
      <c r="X9" s="406"/>
      <c r="AF9" s="406"/>
    </row>
    <row r="10" spans="1:32" x14ac:dyDescent="0.3">
      <c r="A10" s="410" t="s">
        <v>246</v>
      </c>
      <c r="B10" s="410" t="s">
        <v>2100</v>
      </c>
      <c r="C10" s="410" t="str">
        <f t="shared" si="0"/>
        <v>_Široký ALU rámeček_FREEfold</v>
      </c>
      <c r="D10" s="137" t="s">
        <v>2210</v>
      </c>
      <c r="E10" s="137" t="s">
        <v>2645</v>
      </c>
      <c r="F10" s="137" t="s">
        <v>2212</v>
      </c>
      <c r="G10" s="137" t="s">
        <v>2646</v>
      </c>
      <c r="H10" s="137" t="s">
        <v>2214</v>
      </c>
      <c r="I10" s="137" t="s">
        <v>2647</v>
      </c>
      <c r="S10" s="406"/>
      <c r="W10" s="137" t="s">
        <v>2219</v>
      </c>
      <c r="X10" s="406"/>
      <c r="AF10" s="406"/>
    </row>
    <row r="11" spans="1:32" x14ac:dyDescent="0.3">
      <c r="A11" s="407" t="s">
        <v>245</v>
      </c>
      <c r="B11" s="407" t="s">
        <v>2107</v>
      </c>
      <c r="C11" s="407" t="str">
        <f t="shared" si="0"/>
        <v>_Úzký ALU rámeček_Maxi</v>
      </c>
      <c r="D11" s="137" t="s">
        <v>2200</v>
      </c>
      <c r="E11" s="137" t="s">
        <v>2640</v>
      </c>
      <c r="F11" s="137" t="s">
        <v>2202</v>
      </c>
      <c r="G11" s="137" t="s">
        <v>2641</v>
      </c>
      <c r="H11" s="137" t="s">
        <v>2642</v>
      </c>
      <c r="I11" s="137" t="s">
        <v>2205</v>
      </c>
      <c r="J11" s="137" t="s">
        <v>2643</v>
      </c>
      <c r="K11" s="137" t="s">
        <v>2644</v>
      </c>
      <c r="S11" s="406"/>
      <c r="W11" s="137" t="s">
        <v>2220</v>
      </c>
      <c r="X11" s="406"/>
      <c r="AF11" s="406"/>
    </row>
    <row r="12" spans="1:32" x14ac:dyDescent="0.3">
      <c r="A12" s="407" t="s">
        <v>246</v>
      </c>
      <c r="B12" s="407" t="s">
        <v>2107</v>
      </c>
      <c r="C12" s="407" t="str">
        <f t="shared" si="0"/>
        <v>_Široký ALU rámeček_Maxi</v>
      </c>
      <c r="D12" s="137" t="s">
        <v>2210</v>
      </c>
      <c r="E12" s="137" t="s">
        <v>2645</v>
      </c>
      <c r="F12" s="137" t="s">
        <v>2212</v>
      </c>
      <c r="G12" s="137" t="s">
        <v>2646</v>
      </c>
      <c r="H12" s="137" t="s">
        <v>2214</v>
      </c>
      <c r="I12" s="137" t="s">
        <v>2647</v>
      </c>
      <c r="S12" s="406"/>
      <c r="T12" s="137">
        <v>2</v>
      </c>
      <c r="U12" s="137" t="s">
        <v>14</v>
      </c>
      <c r="V12" s="137" t="s">
        <v>2183</v>
      </c>
      <c r="W12" s="137" t="s">
        <v>2184</v>
      </c>
      <c r="X12" s="406"/>
      <c r="AF12" s="406"/>
    </row>
    <row r="13" spans="1:32" x14ac:dyDescent="0.3">
      <c r="A13" s="410" t="s">
        <v>245</v>
      </c>
      <c r="B13" s="410" t="s">
        <v>2105</v>
      </c>
      <c r="C13" s="410" t="str">
        <f t="shared" si="0"/>
        <v>_Úzký ALU rámeček_Duo Forte</v>
      </c>
      <c r="D13" s="137" t="s">
        <v>2221</v>
      </c>
      <c r="E13" s="137" t="s">
        <v>2222</v>
      </c>
      <c r="F13" s="137" t="s">
        <v>2223</v>
      </c>
      <c r="G13" s="137" t="s">
        <v>2224</v>
      </c>
      <c r="H13" s="137" t="s">
        <v>2225</v>
      </c>
      <c r="I13" s="137" t="s">
        <v>2226</v>
      </c>
      <c r="J13" s="137" t="s">
        <v>2227</v>
      </c>
      <c r="K13" s="137" t="s">
        <v>2228</v>
      </c>
      <c r="S13" s="406"/>
      <c r="V13" s="137" t="s">
        <v>2190</v>
      </c>
      <c r="W13" s="137" t="s">
        <v>2191</v>
      </c>
      <c r="X13" s="406"/>
      <c r="AF13" s="406"/>
    </row>
    <row r="14" spans="1:32" x14ac:dyDescent="0.3">
      <c r="A14" s="410" t="s">
        <v>246</v>
      </c>
      <c r="B14" s="410" t="s">
        <v>2105</v>
      </c>
      <c r="C14" s="410" t="str">
        <f t="shared" si="0"/>
        <v>_Široký ALU rámeček_Duo Forte</v>
      </c>
      <c r="D14" s="137" t="s">
        <v>2229</v>
      </c>
      <c r="E14" s="137" t="s">
        <v>2230</v>
      </c>
      <c r="F14" s="137" t="s">
        <v>2231</v>
      </c>
      <c r="G14" s="137" t="s">
        <v>2232</v>
      </c>
      <c r="H14" s="137" t="s">
        <v>2233</v>
      </c>
      <c r="I14" s="137" t="s">
        <v>2234</v>
      </c>
      <c r="S14" s="406"/>
      <c r="V14" s="137" t="s">
        <v>2195</v>
      </c>
      <c r="W14" s="137" t="s">
        <v>2196</v>
      </c>
      <c r="X14" s="406"/>
      <c r="AF14" s="406"/>
    </row>
    <row r="15" spans="1:32" x14ac:dyDescent="0.3">
      <c r="A15" s="407" t="s">
        <v>245</v>
      </c>
      <c r="B15" s="407" t="s">
        <v>2102</v>
      </c>
      <c r="C15" s="407" t="str">
        <f t="shared" si="0"/>
        <v>_Úzký ALU rámeček_Duo</v>
      </c>
      <c r="D15" s="137" t="s">
        <v>2221</v>
      </c>
      <c r="E15" s="137" t="s">
        <v>2222</v>
      </c>
      <c r="F15" s="137" t="s">
        <v>2223</v>
      </c>
      <c r="G15" s="137" t="s">
        <v>2224</v>
      </c>
      <c r="H15" s="137" t="s">
        <v>2225</v>
      </c>
      <c r="I15" s="137" t="s">
        <v>2226</v>
      </c>
      <c r="J15" s="137" t="s">
        <v>2227</v>
      </c>
      <c r="K15" s="137" t="s">
        <v>2228</v>
      </c>
      <c r="S15" s="406"/>
      <c r="V15" s="137" t="s">
        <v>2196</v>
      </c>
      <c r="W15" s="137" t="s">
        <v>2199</v>
      </c>
      <c r="X15" s="406"/>
      <c r="AF15" s="406"/>
    </row>
    <row r="16" spans="1:32" x14ac:dyDescent="0.3">
      <c r="A16" s="407" t="s">
        <v>246</v>
      </c>
      <c r="B16" s="407" t="s">
        <v>2102</v>
      </c>
      <c r="C16" s="407" t="str">
        <f t="shared" si="0"/>
        <v>_Široký ALU rámeček_Duo</v>
      </c>
      <c r="D16" s="137" t="s">
        <v>2229</v>
      </c>
      <c r="E16" s="137" t="s">
        <v>2230</v>
      </c>
      <c r="F16" s="137" t="s">
        <v>2231</v>
      </c>
      <c r="G16" s="137" t="s">
        <v>2232</v>
      </c>
      <c r="H16" s="137" t="s">
        <v>2233</v>
      </c>
      <c r="I16" s="137" t="s">
        <v>2234</v>
      </c>
      <c r="S16" s="406"/>
      <c r="V16" s="137" t="s">
        <v>2208</v>
      </c>
      <c r="W16" s="137" t="s">
        <v>2209</v>
      </c>
      <c r="X16" s="406"/>
      <c r="AF16" s="406"/>
    </row>
    <row r="17" spans="1:32" x14ac:dyDescent="0.3">
      <c r="A17" s="410" t="s">
        <v>245</v>
      </c>
      <c r="B17" s="410" t="s">
        <v>2108</v>
      </c>
      <c r="C17" s="410" t="str">
        <f t="shared" si="0"/>
        <v>_Úzký ALU rámeček_K12</v>
      </c>
      <c r="D17" s="137" t="s">
        <v>2200</v>
      </c>
      <c r="E17" s="137" t="s">
        <v>2640</v>
      </c>
      <c r="F17" s="137" t="s">
        <v>2202</v>
      </c>
      <c r="G17" s="137" t="s">
        <v>2641</v>
      </c>
      <c r="H17" s="137" t="s">
        <v>2642</v>
      </c>
      <c r="I17" s="137" t="s">
        <v>2205</v>
      </c>
      <c r="J17" s="137" t="s">
        <v>2643</v>
      </c>
      <c r="K17" s="137" t="s">
        <v>2644</v>
      </c>
      <c r="S17" s="406"/>
      <c r="V17" s="137" t="s">
        <v>2216</v>
      </c>
      <c r="W17" s="137" t="s">
        <v>2217</v>
      </c>
      <c r="X17" s="406"/>
      <c r="AF17" s="406"/>
    </row>
    <row r="18" spans="1:32" x14ac:dyDescent="0.3">
      <c r="A18" s="410" t="s">
        <v>246</v>
      </c>
      <c r="B18" s="410" t="s">
        <v>2108</v>
      </c>
      <c r="C18" s="410" t="str">
        <f t="shared" si="0"/>
        <v>_Široký ALU rámeček_K12</v>
      </c>
      <c r="D18" s="137" t="s">
        <v>2210</v>
      </c>
      <c r="E18" s="137" t="s">
        <v>2645</v>
      </c>
      <c r="F18" s="137" t="s">
        <v>2212</v>
      </c>
      <c r="G18" s="137" t="s">
        <v>2646</v>
      </c>
      <c r="H18" s="137" t="s">
        <v>2214</v>
      </c>
      <c r="I18" s="137" t="s">
        <v>2647</v>
      </c>
      <c r="S18" s="406"/>
      <c r="V18" s="137" t="s">
        <v>2218</v>
      </c>
      <c r="W18" s="137" t="s">
        <v>2196</v>
      </c>
      <c r="X18" s="406"/>
      <c r="AF18" s="406"/>
    </row>
    <row r="19" spans="1:32" x14ac:dyDescent="0.3">
      <c r="A19" s="407" t="s">
        <v>245</v>
      </c>
      <c r="B19" s="407" t="s">
        <v>2110</v>
      </c>
      <c r="C19" s="407" t="str">
        <f t="shared" si="0"/>
        <v>_Úzký ALU rámeček_Spodní K12</v>
      </c>
      <c r="D19" s="137" t="s">
        <v>2221</v>
      </c>
      <c r="E19" s="137" t="s">
        <v>2223</v>
      </c>
      <c r="F19" s="137" t="s">
        <v>2226</v>
      </c>
      <c r="S19" s="406"/>
      <c r="W19" s="137" t="s">
        <v>2219</v>
      </c>
      <c r="X19" s="406"/>
      <c r="AF19" s="406"/>
    </row>
    <row r="20" spans="1:32" x14ac:dyDescent="0.3">
      <c r="A20" s="407" t="s">
        <v>246</v>
      </c>
      <c r="B20" s="407" t="s">
        <v>2110</v>
      </c>
      <c r="C20" s="407" t="str">
        <f t="shared" si="0"/>
        <v>_Široký ALU rámeček_Spodní K12</v>
      </c>
      <c r="D20" s="137" t="s">
        <v>2235</v>
      </c>
      <c r="E20" s="137" t="s">
        <v>2229</v>
      </c>
      <c r="F20" s="137" t="s">
        <v>2231</v>
      </c>
      <c r="G20" s="137" t="s">
        <v>2233</v>
      </c>
      <c r="S20" s="406"/>
      <c r="W20" s="137" t="s">
        <v>2220</v>
      </c>
      <c r="X20" s="406"/>
      <c r="AF20" s="406"/>
    </row>
    <row r="21" spans="1:32" x14ac:dyDescent="0.3">
      <c r="A21" s="410" t="s">
        <v>245</v>
      </c>
      <c r="B21" s="410" t="s">
        <v>2111</v>
      </c>
      <c r="C21" s="410" t="str">
        <f t="shared" si="0"/>
        <v>_Úzký ALU rámeček_Kraby</v>
      </c>
      <c r="D21" s="137" t="s">
        <v>2200</v>
      </c>
      <c r="E21" s="137" t="s">
        <v>2640</v>
      </c>
      <c r="F21" s="137" t="s">
        <v>2202</v>
      </c>
      <c r="G21" s="137" t="s">
        <v>2641</v>
      </c>
      <c r="H21" s="137" t="s">
        <v>2642</v>
      </c>
      <c r="I21" s="137" t="s">
        <v>2205</v>
      </c>
      <c r="J21" s="137" t="s">
        <v>2643</v>
      </c>
      <c r="K21" s="137" t="s">
        <v>2644</v>
      </c>
      <c r="S21" s="406"/>
      <c r="T21" s="137">
        <v>1</v>
      </c>
      <c r="U21" s="137" t="s">
        <v>1033</v>
      </c>
      <c r="V21" s="137" t="s">
        <v>2183</v>
      </c>
      <c r="W21" s="137" t="s">
        <v>2184</v>
      </c>
      <c r="X21" s="406"/>
      <c r="AF21" s="406"/>
    </row>
    <row r="22" spans="1:32" x14ac:dyDescent="0.3">
      <c r="A22" s="410" t="s">
        <v>246</v>
      </c>
      <c r="B22" s="410" t="s">
        <v>2111</v>
      </c>
      <c r="C22" s="410" t="str">
        <f t="shared" si="0"/>
        <v>_Široký ALU rámeček_Kraby</v>
      </c>
      <c r="D22" s="137" t="s">
        <v>2210</v>
      </c>
      <c r="E22" s="137" t="s">
        <v>2645</v>
      </c>
      <c r="F22" s="137" t="s">
        <v>2212</v>
      </c>
      <c r="G22" s="137" t="s">
        <v>2646</v>
      </c>
      <c r="H22" s="137" t="s">
        <v>2214</v>
      </c>
      <c r="I22" s="137" t="s">
        <v>2647</v>
      </c>
      <c r="S22" s="406"/>
      <c r="V22" s="137" t="s">
        <v>2190</v>
      </c>
      <c r="W22" s="137" t="s">
        <v>2191</v>
      </c>
      <c r="X22" s="406"/>
      <c r="AF22" s="406"/>
    </row>
    <row r="23" spans="1:32" x14ac:dyDescent="0.3">
      <c r="A23" s="407" t="s">
        <v>245</v>
      </c>
      <c r="B23" s="407" t="s">
        <v>2112</v>
      </c>
      <c r="C23" s="407" t="str">
        <f t="shared" si="0"/>
        <v>_Úzký ALU rámeček_Spodní Kraby</v>
      </c>
      <c r="D23" s="137" t="s">
        <v>2221</v>
      </c>
      <c r="E23" s="137" t="s">
        <v>2223</v>
      </c>
      <c r="F23" s="137" t="s">
        <v>2226</v>
      </c>
      <c r="S23" s="406"/>
      <c r="V23" s="137" t="s">
        <v>2195</v>
      </c>
      <c r="W23" s="137" t="s">
        <v>2196</v>
      </c>
      <c r="X23" s="406"/>
      <c r="AF23" s="406"/>
    </row>
    <row r="24" spans="1:32" x14ac:dyDescent="0.3">
      <c r="A24" s="407" t="s">
        <v>246</v>
      </c>
      <c r="B24" s="407" t="s">
        <v>2112</v>
      </c>
      <c r="C24" s="407" t="str">
        <f t="shared" si="0"/>
        <v>_Široký ALU rámeček_Spodní Kraby</v>
      </c>
      <c r="D24" s="137" t="s">
        <v>2235</v>
      </c>
      <c r="E24" s="137" t="s">
        <v>2229</v>
      </c>
      <c r="F24" s="137" t="s">
        <v>2231</v>
      </c>
      <c r="G24" s="137" t="s">
        <v>2233</v>
      </c>
      <c r="S24" s="406"/>
      <c r="V24" s="137" t="s">
        <v>2196</v>
      </c>
      <c r="W24" s="137" t="s">
        <v>2199</v>
      </c>
      <c r="X24" s="406"/>
      <c r="AF24" s="406"/>
    </row>
    <row r="25" spans="1:32" x14ac:dyDescent="0.3">
      <c r="A25" s="410" t="s">
        <v>245</v>
      </c>
      <c r="B25" s="410" t="s">
        <v>2113</v>
      </c>
      <c r="C25" s="410" t="str">
        <f t="shared" si="0"/>
        <v>_Úzký ALU rámeček_Kiaro</v>
      </c>
      <c r="D25" s="137" t="s">
        <v>2221</v>
      </c>
      <c r="E25" s="137" t="s">
        <v>2223</v>
      </c>
      <c r="F25" s="137" t="s">
        <v>2226</v>
      </c>
      <c r="S25" s="406"/>
      <c r="V25" s="137" t="s">
        <v>2208</v>
      </c>
      <c r="W25" s="137" t="s">
        <v>2209</v>
      </c>
      <c r="X25" s="406"/>
      <c r="AF25" s="406"/>
    </row>
    <row r="26" spans="1:32" x14ac:dyDescent="0.3">
      <c r="A26" s="410" t="s">
        <v>246</v>
      </c>
      <c r="B26" s="410" t="s">
        <v>2113</v>
      </c>
      <c r="C26" s="410" t="str">
        <f t="shared" si="0"/>
        <v>_Široký ALU rámeček_Kiaro</v>
      </c>
      <c r="D26" s="137" t="s">
        <v>2235</v>
      </c>
      <c r="E26" s="137" t="s">
        <v>2229</v>
      </c>
      <c r="F26" s="137" t="s">
        <v>2231</v>
      </c>
      <c r="G26" s="137" t="s">
        <v>2233</v>
      </c>
      <c r="S26" s="406"/>
      <c r="V26" s="137" t="s">
        <v>2216</v>
      </c>
      <c r="W26" s="137" t="s">
        <v>2217</v>
      </c>
      <c r="X26" s="406"/>
      <c r="AF26" s="406"/>
    </row>
    <row r="27" spans="1:32" x14ac:dyDescent="0.3">
      <c r="A27" s="407" t="s">
        <v>245</v>
      </c>
      <c r="B27" s="407" t="s">
        <v>2114</v>
      </c>
      <c r="C27" s="407" t="str">
        <f t="shared" si="0"/>
        <v>_Úzký ALU rámeček_Link</v>
      </c>
      <c r="D27" s="137" t="s">
        <v>2221</v>
      </c>
      <c r="E27" s="137" t="s">
        <v>2223</v>
      </c>
      <c r="F27" s="137" t="s">
        <v>2226</v>
      </c>
      <c r="S27" s="406"/>
      <c r="V27" s="137" t="s">
        <v>2218</v>
      </c>
      <c r="W27" s="137" t="s">
        <v>2196</v>
      </c>
      <c r="X27" s="406"/>
      <c r="AF27" s="406"/>
    </row>
    <row r="28" spans="1:32" x14ac:dyDescent="0.3">
      <c r="A28" s="407" t="s">
        <v>246</v>
      </c>
      <c r="B28" s="407" t="s">
        <v>2114</v>
      </c>
      <c r="C28" s="407" t="str">
        <f t="shared" si="0"/>
        <v>_Široký ALU rámeček_Link</v>
      </c>
      <c r="D28" s="137" t="s">
        <v>2235</v>
      </c>
      <c r="E28" s="137" t="s">
        <v>2229</v>
      </c>
      <c r="F28" s="137" t="s">
        <v>2231</v>
      </c>
      <c r="G28" s="137" t="s">
        <v>2233</v>
      </c>
      <c r="S28" s="406"/>
      <c r="W28" s="137" t="s">
        <v>2219</v>
      </c>
      <c r="X28" s="406"/>
      <c r="AF28" s="406"/>
    </row>
    <row r="29" spans="1:32" x14ac:dyDescent="0.3">
      <c r="A29" s="410" t="s">
        <v>245</v>
      </c>
      <c r="B29" s="410" t="s">
        <v>2115</v>
      </c>
      <c r="C29" s="410" t="str">
        <f t="shared" si="0"/>
        <v>_Úzký ALU rámeček_Automatická vzpěra</v>
      </c>
      <c r="D29" s="137" t="s">
        <v>2200</v>
      </c>
      <c r="E29" s="137" t="s">
        <v>2640</v>
      </c>
      <c r="F29" s="137" t="s">
        <v>2202</v>
      </c>
      <c r="G29" s="137" t="s">
        <v>2641</v>
      </c>
      <c r="H29" s="137" t="s">
        <v>2642</v>
      </c>
      <c r="I29" s="137" t="s">
        <v>2205</v>
      </c>
      <c r="J29" s="137" t="s">
        <v>2643</v>
      </c>
      <c r="K29" s="137" t="s">
        <v>2644</v>
      </c>
      <c r="S29" s="406"/>
      <c r="W29" s="137" t="s">
        <v>2220</v>
      </c>
      <c r="X29" s="406"/>
      <c r="AF29" s="406"/>
    </row>
    <row r="30" spans="1:32" x14ac:dyDescent="0.3">
      <c r="A30" s="410" t="s">
        <v>246</v>
      </c>
      <c r="B30" s="410" t="s">
        <v>2115</v>
      </c>
      <c r="C30" s="410" t="str">
        <f t="shared" si="0"/>
        <v>_Široký ALU rámeček_Automatická vzpěra</v>
      </c>
      <c r="D30" s="137" t="s">
        <v>2210</v>
      </c>
      <c r="E30" s="137" t="s">
        <v>2645</v>
      </c>
      <c r="F30" s="137" t="s">
        <v>2212</v>
      </c>
      <c r="G30" s="137" t="s">
        <v>2646</v>
      </c>
      <c r="H30" s="137" t="s">
        <v>2214</v>
      </c>
      <c r="I30" s="137" t="s">
        <v>2647</v>
      </c>
      <c r="S30" s="406"/>
      <c r="T30" s="137">
        <v>2</v>
      </c>
      <c r="U30" s="137" t="s">
        <v>1033</v>
      </c>
      <c r="V30" s="137" t="s">
        <v>2183</v>
      </c>
      <c r="W30" s="137" t="s">
        <v>2184</v>
      </c>
      <c r="X30" s="406"/>
      <c r="AF30" s="406"/>
    </row>
    <row r="31" spans="1:32" x14ac:dyDescent="0.3">
      <c r="A31" s="407" t="s">
        <v>245</v>
      </c>
      <c r="B31" s="407" t="s">
        <v>2116</v>
      </c>
      <c r="C31" s="407" t="str">
        <f t="shared" si="0"/>
        <v>_Úzký ALU rámeček_Polohovací vzpěra</v>
      </c>
      <c r="D31" s="137" t="s">
        <v>2200</v>
      </c>
      <c r="E31" s="137" t="s">
        <v>2640</v>
      </c>
      <c r="F31" s="137" t="s">
        <v>2202</v>
      </c>
      <c r="G31" s="137" t="s">
        <v>2641</v>
      </c>
      <c r="H31" s="137" t="s">
        <v>2642</v>
      </c>
      <c r="I31" s="137" t="s">
        <v>2205</v>
      </c>
      <c r="J31" s="137" t="s">
        <v>2643</v>
      </c>
      <c r="K31" s="137" t="s">
        <v>2644</v>
      </c>
      <c r="S31" s="406"/>
      <c r="V31" s="137" t="s">
        <v>2190</v>
      </c>
      <c r="W31" s="137" t="s">
        <v>2191</v>
      </c>
      <c r="X31" s="406"/>
      <c r="AF31" s="406"/>
    </row>
    <row r="32" spans="1:32" x14ac:dyDescent="0.3">
      <c r="A32" s="407" t="s">
        <v>246</v>
      </c>
      <c r="B32" s="407" t="s">
        <v>2116</v>
      </c>
      <c r="C32" s="407" t="str">
        <f t="shared" si="0"/>
        <v>_Široký ALU rámeček_Polohovací vzpěra</v>
      </c>
      <c r="D32" s="137" t="s">
        <v>2210</v>
      </c>
      <c r="E32" s="137" t="s">
        <v>2645</v>
      </c>
      <c r="F32" s="137" t="s">
        <v>2212</v>
      </c>
      <c r="G32" s="137" t="s">
        <v>2646</v>
      </c>
      <c r="H32" s="137" t="s">
        <v>2214</v>
      </c>
      <c r="I32" s="137" t="s">
        <v>2647</v>
      </c>
      <c r="S32" s="406"/>
      <c r="V32" s="137" t="s">
        <v>2195</v>
      </c>
      <c r="W32" s="137" t="s">
        <v>2196</v>
      </c>
      <c r="X32" s="406"/>
      <c r="AF32" s="406"/>
    </row>
    <row r="33" spans="1:32" x14ac:dyDescent="0.3">
      <c r="A33" s="410" t="s">
        <v>245</v>
      </c>
      <c r="B33" s="410" t="s">
        <v>2119</v>
      </c>
      <c r="C33" s="410" t="str">
        <f t="shared" si="0"/>
        <v>_Úzký ALU rámeček_LiftMini</v>
      </c>
      <c r="D33" s="137" t="s">
        <v>2221</v>
      </c>
      <c r="E33" s="137" t="s">
        <v>2223</v>
      </c>
      <c r="F33" s="137" t="s">
        <v>2226</v>
      </c>
      <c r="S33" s="406"/>
      <c r="V33" s="137" t="s">
        <v>2196</v>
      </c>
      <c r="W33" s="137" t="s">
        <v>2199</v>
      </c>
      <c r="X33" s="406"/>
      <c r="AF33" s="406"/>
    </row>
    <row r="34" spans="1:32" x14ac:dyDescent="0.3">
      <c r="A34" s="410" t="s">
        <v>246</v>
      </c>
      <c r="B34" s="410" t="s">
        <v>2119</v>
      </c>
      <c r="C34" s="410" t="str">
        <f t="shared" si="0"/>
        <v>_Široký ALU rámeček_LiftMini</v>
      </c>
      <c r="D34" s="137" t="s">
        <v>2235</v>
      </c>
      <c r="E34" s="137" t="s">
        <v>2229</v>
      </c>
      <c r="F34" s="137" t="s">
        <v>2231</v>
      </c>
      <c r="G34" s="137" t="s">
        <v>2233</v>
      </c>
      <c r="S34" s="406"/>
      <c r="V34" s="137" t="s">
        <v>2208</v>
      </c>
      <c r="W34" s="137" t="s">
        <v>2209</v>
      </c>
      <c r="X34" s="406"/>
      <c r="AF34" s="406"/>
    </row>
    <row r="35" spans="1:32" x14ac:dyDescent="0.3">
      <c r="V35" s="137" t="s">
        <v>2216</v>
      </c>
      <c r="W35" s="137" t="s">
        <v>2217</v>
      </c>
    </row>
    <row r="36" spans="1:32" x14ac:dyDescent="0.3">
      <c r="A36" s="137" t="s">
        <v>2236</v>
      </c>
      <c r="V36" s="137" t="s">
        <v>2218</v>
      </c>
      <c r="W36" s="137" t="s">
        <v>2196</v>
      </c>
    </row>
    <row r="37" spans="1:32" x14ac:dyDescent="0.3">
      <c r="A37" s="137" t="s">
        <v>2237</v>
      </c>
      <c r="W37" s="137" t="s">
        <v>2219</v>
      </c>
    </row>
    <row r="38" spans="1:32" x14ac:dyDescent="0.3">
      <c r="W38" s="137" t="s">
        <v>2220</v>
      </c>
    </row>
    <row r="39" spans="1:32" x14ac:dyDescent="0.3">
      <c r="T39" s="137">
        <v>1</v>
      </c>
      <c r="U39" s="137" t="s">
        <v>2238</v>
      </c>
      <c r="V39" s="137" t="s">
        <v>2183</v>
      </c>
      <c r="W39" s="137" t="s">
        <v>2184</v>
      </c>
    </row>
    <row r="40" spans="1:32" x14ac:dyDescent="0.3">
      <c r="V40" s="137" t="s">
        <v>2190</v>
      </c>
      <c r="W40" s="137" t="s">
        <v>2191</v>
      </c>
    </row>
    <row r="41" spans="1:32" x14ac:dyDescent="0.3">
      <c r="V41" s="137" t="s">
        <v>2195</v>
      </c>
      <c r="W41" s="137" t="s">
        <v>2196</v>
      </c>
    </row>
    <row r="42" spans="1:32" x14ac:dyDescent="0.3">
      <c r="V42" s="137" t="s">
        <v>2196</v>
      </c>
      <c r="W42" s="137" t="s">
        <v>2199</v>
      </c>
    </row>
    <row r="43" spans="1:32" x14ac:dyDescent="0.3">
      <c r="V43" s="137" t="s">
        <v>2208</v>
      </c>
      <c r="W43" s="137" t="s">
        <v>2209</v>
      </c>
    </row>
    <row r="44" spans="1:32" x14ac:dyDescent="0.3">
      <c r="V44" s="137" t="s">
        <v>2216</v>
      </c>
      <c r="W44" s="137" t="s">
        <v>2217</v>
      </c>
    </row>
    <row r="45" spans="1:32" x14ac:dyDescent="0.3">
      <c r="V45" s="137" t="s">
        <v>2218</v>
      </c>
      <c r="W45" s="137" t="s">
        <v>2196</v>
      </c>
    </row>
    <row r="46" spans="1:32" x14ac:dyDescent="0.3">
      <c r="W46" s="137" t="s">
        <v>2219</v>
      </c>
    </row>
    <row r="47" spans="1:32" x14ac:dyDescent="0.3">
      <c r="W47" s="137" t="s">
        <v>2220</v>
      </c>
    </row>
    <row r="48" spans="1:32" x14ac:dyDescent="0.3">
      <c r="T48" s="137">
        <v>2</v>
      </c>
      <c r="U48" s="137" t="s">
        <v>2238</v>
      </c>
      <c r="V48" s="137" t="s">
        <v>2183</v>
      </c>
      <c r="W48" s="137" t="s">
        <v>2184</v>
      </c>
    </row>
    <row r="49" spans="1:32" x14ac:dyDescent="0.3">
      <c r="V49" s="137" t="s">
        <v>2190</v>
      </c>
      <c r="W49" s="137" t="s">
        <v>2191</v>
      </c>
    </row>
    <row r="50" spans="1:32" x14ac:dyDescent="0.3">
      <c r="V50" s="137" t="s">
        <v>2195</v>
      </c>
      <c r="W50" s="137" t="s">
        <v>2196</v>
      </c>
    </row>
    <row r="51" spans="1:32" x14ac:dyDescent="0.3">
      <c r="V51" s="137" t="s">
        <v>2196</v>
      </c>
      <c r="W51" s="137" t="s">
        <v>2199</v>
      </c>
    </row>
    <row r="52" spans="1:32" x14ac:dyDescent="0.3">
      <c r="V52" s="137" t="s">
        <v>2208</v>
      </c>
      <c r="W52" s="137" t="s">
        <v>2209</v>
      </c>
    </row>
    <row r="53" spans="1:32" x14ac:dyDescent="0.3">
      <c r="V53" s="137" t="s">
        <v>2216</v>
      </c>
      <c r="W53" s="137" t="s">
        <v>2217</v>
      </c>
    </row>
    <row r="54" spans="1:32" x14ac:dyDescent="0.3">
      <c r="V54" s="137" t="s">
        <v>2218</v>
      </c>
      <c r="W54" s="137" t="s">
        <v>2196</v>
      </c>
    </row>
    <row r="55" spans="1:32" x14ac:dyDescent="0.3">
      <c r="W55" s="137" t="s">
        <v>2219</v>
      </c>
    </row>
    <row r="56" spans="1:32" x14ac:dyDescent="0.3">
      <c r="W56" s="137" t="s">
        <v>2220</v>
      </c>
    </row>
    <row r="57" spans="1:32" x14ac:dyDescent="0.3">
      <c r="A57" s="407" t="s">
        <v>845</v>
      </c>
      <c r="B57" s="407" t="s">
        <v>2264</v>
      </c>
      <c r="C57" s="410" t="s">
        <v>845</v>
      </c>
      <c r="D57" s="410" t="s">
        <v>2264</v>
      </c>
      <c r="E57" s="407" t="s">
        <v>845</v>
      </c>
      <c r="F57" s="407" t="s">
        <v>2264</v>
      </c>
      <c r="G57" s="410" t="s">
        <v>845</v>
      </c>
      <c r="H57" s="410" t="s">
        <v>2264</v>
      </c>
      <c r="I57" s="407" t="s">
        <v>845</v>
      </c>
      <c r="J57" s="407" t="s">
        <v>2264</v>
      </c>
      <c r="K57" s="410" t="s">
        <v>845</v>
      </c>
      <c r="L57" s="410" t="s">
        <v>2264</v>
      </c>
      <c r="M57" s="407" t="s">
        <v>845</v>
      </c>
      <c r="N57" s="407" t="s">
        <v>2264</v>
      </c>
      <c r="O57" s="410" t="s">
        <v>845</v>
      </c>
      <c r="P57" s="410" t="s">
        <v>2264</v>
      </c>
      <c r="Q57" s="407" t="s">
        <v>845</v>
      </c>
      <c r="R57" s="407" t="s">
        <v>2264</v>
      </c>
      <c r="S57" s="410" t="s">
        <v>845</v>
      </c>
      <c r="T57" s="410" t="s">
        <v>2264</v>
      </c>
      <c r="U57" s="407" t="s">
        <v>845</v>
      </c>
      <c r="V57" s="407" t="s">
        <v>2264</v>
      </c>
      <c r="W57" s="410" t="s">
        <v>845</v>
      </c>
      <c r="X57" s="410" t="s">
        <v>2264</v>
      </c>
      <c r="Y57" s="407" t="s">
        <v>845</v>
      </c>
      <c r="Z57" s="407" t="s">
        <v>2264</v>
      </c>
      <c r="AA57" s="410" t="s">
        <v>845</v>
      </c>
      <c r="AB57" s="410" t="s">
        <v>2264</v>
      </c>
      <c r="AC57" s="407" t="s">
        <v>845</v>
      </c>
      <c r="AD57" s="407" t="s">
        <v>2264</v>
      </c>
      <c r="AE57" s="410" t="s">
        <v>845</v>
      </c>
      <c r="AF57" s="410" t="s">
        <v>2264</v>
      </c>
    </row>
    <row r="58" spans="1:32" x14ac:dyDescent="0.3">
      <c r="A58" s="407" t="s">
        <v>1032</v>
      </c>
      <c r="B58" s="407" t="s">
        <v>1032</v>
      </c>
      <c r="C58" s="410" t="s">
        <v>2093</v>
      </c>
      <c r="D58" s="410" t="s">
        <v>2093</v>
      </c>
      <c r="E58" s="407" t="s">
        <v>2097</v>
      </c>
      <c r="F58" s="407" t="s">
        <v>2097</v>
      </c>
      <c r="G58" s="410" t="s">
        <v>2100</v>
      </c>
      <c r="H58" s="410" t="s">
        <v>2100</v>
      </c>
      <c r="I58" s="407" t="s">
        <v>2107</v>
      </c>
      <c r="J58" s="407" t="s">
        <v>2107</v>
      </c>
      <c r="K58" s="410" t="s">
        <v>2105</v>
      </c>
      <c r="L58" s="410" t="s">
        <v>2105</v>
      </c>
      <c r="M58" s="407" t="s">
        <v>2102</v>
      </c>
      <c r="N58" s="407" t="s">
        <v>2102</v>
      </c>
      <c r="O58" s="410" t="s">
        <v>2108</v>
      </c>
      <c r="P58" s="410" t="s">
        <v>2108</v>
      </c>
      <c r="Q58" s="407" t="s">
        <v>2110</v>
      </c>
      <c r="R58" s="407" t="s">
        <v>2110</v>
      </c>
      <c r="S58" s="410" t="s">
        <v>2111</v>
      </c>
      <c r="T58" s="410" t="s">
        <v>2111</v>
      </c>
      <c r="U58" s="407" t="s">
        <v>2112</v>
      </c>
      <c r="V58" s="407" t="s">
        <v>2112</v>
      </c>
      <c r="W58" s="410" t="s">
        <v>2113</v>
      </c>
      <c r="X58" s="410" t="s">
        <v>2113</v>
      </c>
      <c r="Y58" s="407" t="s">
        <v>2114</v>
      </c>
      <c r="Z58" s="407" t="s">
        <v>2114</v>
      </c>
      <c r="AA58" s="410" t="s">
        <v>2115</v>
      </c>
      <c r="AB58" s="410" t="s">
        <v>2115</v>
      </c>
      <c r="AC58" s="407" t="s">
        <v>2116</v>
      </c>
      <c r="AD58" s="407" t="s">
        <v>2116</v>
      </c>
      <c r="AE58" s="410" t="s">
        <v>2119</v>
      </c>
      <c r="AF58" s="410" t="s">
        <v>2119</v>
      </c>
    </row>
    <row r="59" spans="1:32" x14ac:dyDescent="0.3">
      <c r="A59" s="414" t="s">
        <v>2177</v>
      </c>
      <c r="B59" s="414" t="s">
        <v>2185</v>
      </c>
      <c r="C59" s="414" t="s">
        <v>2192</v>
      </c>
      <c r="D59" s="414" t="s">
        <v>2197</v>
      </c>
      <c r="E59" s="414" t="s">
        <v>2200</v>
      </c>
      <c r="F59" s="414" t="s">
        <v>2210</v>
      </c>
      <c r="G59" s="414" t="s">
        <v>2200</v>
      </c>
      <c r="H59" s="414" t="s">
        <v>2210</v>
      </c>
      <c r="I59" s="414" t="s">
        <v>2200</v>
      </c>
      <c r="J59" s="414" t="s">
        <v>2210</v>
      </c>
      <c r="K59" s="414" t="s">
        <v>2221</v>
      </c>
      <c r="L59" s="414" t="s">
        <v>2229</v>
      </c>
      <c r="M59" s="414" t="s">
        <v>2221</v>
      </c>
      <c r="N59" s="414" t="s">
        <v>2229</v>
      </c>
      <c r="O59" s="414" t="s">
        <v>2200</v>
      </c>
      <c r="P59" s="414" t="s">
        <v>2210</v>
      </c>
      <c r="Q59" s="137" t="s">
        <v>2221</v>
      </c>
      <c r="R59" s="137" t="s">
        <v>2235</v>
      </c>
      <c r="S59" s="137" t="s">
        <v>2200</v>
      </c>
      <c r="T59" s="137" t="s">
        <v>2210</v>
      </c>
      <c r="U59" s="137" t="s">
        <v>2221</v>
      </c>
      <c r="V59" s="137" t="s">
        <v>2235</v>
      </c>
      <c r="W59" s="137" t="s">
        <v>2221</v>
      </c>
      <c r="X59" s="137" t="s">
        <v>2235</v>
      </c>
      <c r="Y59" s="137" t="s">
        <v>2221</v>
      </c>
      <c r="Z59" s="137" t="s">
        <v>2235</v>
      </c>
      <c r="AA59" s="137" t="s">
        <v>2200</v>
      </c>
      <c r="AB59" s="137" t="s">
        <v>2210</v>
      </c>
      <c r="AC59" s="137" t="s">
        <v>2200</v>
      </c>
      <c r="AD59" s="137" t="s">
        <v>2210</v>
      </c>
      <c r="AE59" s="137" t="s">
        <v>2221</v>
      </c>
      <c r="AF59" s="137" t="s">
        <v>2235</v>
      </c>
    </row>
    <row r="60" spans="1:32" x14ac:dyDescent="0.3">
      <c r="A60" s="137" t="s">
        <v>2178</v>
      </c>
      <c r="B60" s="137" t="s">
        <v>2178</v>
      </c>
      <c r="C60" s="137" t="s">
        <v>2178</v>
      </c>
      <c r="D60" s="137" t="s">
        <v>2178</v>
      </c>
      <c r="E60" s="414" t="s">
        <v>2640</v>
      </c>
      <c r="F60" s="414" t="s">
        <v>2645</v>
      </c>
      <c r="G60" s="414" t="s">
        <v>2640</v>
      </c>
      <c r="H60" s="414" t="s">
        <v>2645</v>
      </c>
      <c r="I60" s="414" t="s">
        <v>2640</v>
      </c>
      <c r="J60" s="414" t="s">
        <v>2645</v>
      </c>
      <c r="K60" s="414" t="s">
        <v>2222</v>
      </c>
      <c r="L60" s="414" t="s">
        <v>2230</v>
      </c>
      <c r="M60" s="414" t="s">
        <v>2222</v>
      </c>
      <c r="N60" s="414" t="s">
        <v>2230</v>
      </c>
      <c r="O60" s="414" t="s">
        <v>2201</v>
      </c>
      <c r="P60" s="414" t="s">
        <v>2211</v>
      </c>
      <c r="Q60" s="137" t="s">
        <v>2223</v>
      </c>
      <c r="R60" s="137" t="s">
        <v>2229</v>
      </c>
      <c r="S60" s="137" t="s">
        <v>2201</v>
      </c>
      <c r="T60" s="137" t="s">
        <v>2211</v>
      </c>
      <c r="U60" s="137" t="s">
        <v>2223</v>
      </c>
      <c r="V60" s="137" t="s">
        <v>2229</v>
      </c>
      <c r="W60" s="137" t="s">
        <v>2223</v>
      </c>
      <c r="X60" s="137" t="s">
        <v>2229</v>
      </c>
      <c r="Y60" s="137" t="s">
        <v>2223</v>
      </c>
      <c r="Z60" s="137" t="s">
        <v>2229</v>
      </c>
      <c r="AA60" s="137" t="s">
        <v>2201</v>
      </c>
      <c r="AB60" s="137" t="s">
        <v>2211</v>
      </c>
      <c r="AC60" s="137" t="s">
        <v>2201</v>
      </c>
      <c r="AD60" s="137" t="s">
        <v>2211</v>
      </c>
      <c r="AE60" s="137" t="s">
        <v>2223</v>
      </c>
      <c r="AF60" s="137" t="s">
        <v>2229</v>
      </c>
    </row>
    <row r="61" spans="1:32" x14ac:dyDescent="0.3">
      <c r="A61" s="137" t="s">
        <v>2179</v>
      </c>
      <c r="B61" s="137" t="s">
        <v>2186</v>
      </c>
      <c r="C61" s="137" t="s">
        <v>2193</v>
      </c>
      <c r="D61" s="137" t="s">
        <v>2198</v>
      </c>
      <c r="E61" s="414" t="s">
        <v>2202</v>
      </c>
      <c r="F61" s="414" t="s">
        <v>2212</v>
      </c>
      <c r="G61" s="414" t="s">
        <v>2202</v>
      </c>
      <c r="H61" s="414" t="s">
        <v>2212</v>
      </c>
      <c r="I61" s="414" t="s">
        <v>2202</v>
      </c>
      <c r="J61" s="414" t="s">
        <v>2212</v>
      </c>
      <c r="K61" s="414" t="s">
        <v>2223</v>
      </c>
      <c r="L61" s="414" t="s">
        <v>2231</v>
      </c>
      <c r="M61" s="414" t="s">
        <v>2223</v>
      </c>
      <c r="N61" s="414" t="s">
        <v>2231</v>
      </c>
      <c r="O61" s="414" t="s">
        <v>2202</v>
      </c>
      <c r="P61" s="414" t="s">
        <v>2212</v>
      </c>
      <c r="Q61" s="137" t="s">
        <v>2226</v>
      </c>
      <c r="R61" s="137" t="s">
        <v>2231</v>
      </c>
      <c r="S61" s="137" t="s">
        <v>2202</v>
      </c>
      <c r="T61" s="137" t="s">
        <v>2212</v>
      </c>
      <c r="U61" s="137" t="s">
        <v>2226</v>
      </c>
      <c r="V61" s="137" t="s">
        <v>2231</v>
      </c>
      <c r="W61" s="137" t="s">
        <v>2226</v>
      </c>
      <c r="X61" s="137" t="s">
        <v>2231</v>
      </c>
      <c r="Y61" s="137" t="s">
        <v>2226</v>
      </c>
      <c r="Z61" s="137" t="s">
        <v>2231</v>
      </c>
      <c r="AA61" s="137" t="s">
        <v>2202</v>
      </c>
      <c r="AB61" s="137" t="s">
        <v>2212</v>
      </c>
      <c r="AC61" s="137" t="s">
        <v>2202</v>
      </c>
      <c r="AD61" s="137" t="s">
        <v>2212</v>
      </c>
      <c r="AE61" s="137" t="s">
        <v>2226</v>
      </c>
      <c r="AF61" s="137" t="s">
        <v>2231</v>
      </c>
    </row>
    <row r="62" spans="1:32" x14ac:dyDescent="0.3">
      <c r="A62" s="137" t="s">
        <v>2180</v>
      </c>
      <c r="B62" s="137" t="s">
        <v>2187</v>
      </c>
      <c r="C62" s="137" t="s">
        <v>2194</v>
      </c>
      <c r="D62" s="137" t="s">
        <v>2189</v>
      </c>
      <c r="E62" s="414" t="s">
        <v>2641</v>
      </c>
      <c r="F62" s="414" t="s">
        <v>2646</v>
      </c>
      <c r="G62" s="414" t="s">
        <v>2641</v>
      </c>
      <c r="H62" s="414" t="s">
        <v>2646</v>
      </c>
      <c r="I62" s="414" t="s">
        <v>2641</v>
      </c>
      <c r="J62" s="414" t="s">
        <v>2646</v>
      </c>
      <c r="K62" s="414" t="s">
        <v>2224</v>
      </c>
      <c r="L62" s="414" t="s">
        <v>2232</v>
      </c>
      <c r="M62" s="414" t="s">
        <v>2224</v>
      </c>
      <c r="N62" s="414" t="s">
        <v>2232</v>
      </c>
      <c r="O62" s="414" t="s">
        <v>2203</v>
      </c>
      <c r="P62" s="414" t="s">
        <v>2213</v>
      </c>
      <c r="R62" s="137" t="s">
        <v>2233</v>
      </c>
      <c r="S62" s="137" t="s">
        <v>2203</v>
      </c>
      <c r="T62" s="137" t="s">
        <v>2213</v>
      </c>
      <c r="V62" s="137" t="s">
        <v>2233</v>
      </c>
      <c r="X62" s="137" t="s">
        <v>2233</v>
      </c>
      <c r="Z62" s="137" t="s">
        <v>2233</v>
      </c>
      <c r="AA62" s="137" t="s">
        <v>2203</v>
      </c>
      <c r="AB62" s="137" t="s">
        <v>2213</v>
      </c>
      <c r="AC62" s="137" t="s">
        <v>2203</v>
      </c>
      <c r="AD62" s="137" t="s">
        <v>2213</v>
      </c>
      <c r="AF62" s="137" t="s">
        <v>2233</v>
      </c>
    </row>
    <row r="63" spans="1:32" x14ac:dyDescent="0.3">
      <c r="A63" s="137" t="s">
        <v>2181</v>
      </c>
      <c r="B63" s="137" t="s">
        <v>2188</v>
      </c>
      <c r="D63" s="137" t="s">
        <v>2194</v>
      </c>
      <c r="E63" s="414" t="s">
        <v>2642</v>
      </c>
      <c r="F63" s="414" t="s">
        <v>2214</v>
      </c>
      <c r="G63" s="414" t="s">
        <v>2642</v>
      </c>
      <c r="H63" s="414" t="s">
        <v>2214</v>
      </c>
      <c r="I63" s="414" t="s">
        <v>2642</v>
      </c>
      <c r="J63" s="414" t="s">
        <v>2214</v>
      </c>
      <c r="K63" s="414" t="s">
        <v>2225</v>
      </c>
      <c r="L63" s="414" t="s">
        <v>2233</v>
      </c>
      <c r="M63" s="414" t="s">
        <v>2225</v>
      </c>
      <c r="N63" s="414" t="s">
        <v>2233</v>
      </c>
      <c r="O63" s="414" t="s">
        <v>2204</v>
      </c>
      <c r="P63" s="414" t="s">
        <v>2214</v>
      </c>
      <c r="S63" s="137" t="s">
        <v>2204</v>
      </c>
      <c r="T63" s="137" t="s">
        <v>2214</v>
      </c>
      <c r="AA63" s="137" t="s">
        <v>2204</v>
      </c>
      <c r="AB63" s="137" t="s">
        <v>2214</v>
      </c>
      <c r="AC63" s="137" t="s">
        <v>2204</v>
      </c>
      <c r="AD63" s="137" t="s">
        <v>2214</v>
      </c>
    </row>
    <row r="64" spans="1:32" x14ac:dyDescent="0.3">
      <c r="A64" s="137" t="s">
        <v>2182</v>
      </c>
      <c r="B64" s="137" t="s">
        <v>2189</v>
      </c>
      <c r="E64" s="414" t="s">
        <v>2205</v>
      </c>
      <c r="F64" s="414" t="s">
        <v>2647</v>
      </c>
      <c r="G64" s="414" t="s">
        <v>2205</v>
      </c>
      <c r="H64" s="414" t="s">
        <v>2647</v>
      </c>
      <c r="I64" s="414" t="s">
        <v>2205</v>
      </c>
      <c r="J64" s="414" t="s">
        <v>2647</v>
      </c>
      <c r="K64" s="414" t="s">
        <v>2226</v>
      </c>
      <c r="L64" s="414" t="s">
        <v>2234</v>
      </c>
      <c r="M64" s="414" t="s">
        <v>2226</v>
      </c>
      <c r="N64" s="414" t="s">
        <v>2234</v>
      </c>
      <c r="O64" s="414" t="s">
        <v>2205</v>
      </c>
      <c r="P64" s="414" t="s">
        <v>2215</v>
      </c>
      <c r="S64" s="137" t="s">
        <v>2205</v>
      </c>
      <c r="T64" s="137" t="s">
        <v>2215</v>
      </c>
      <c r="AA64" s="137" t="s">
        <v>2205</v>
      </c>
      <c r="AB64" s="137" t="s">
        <v>2215</v>
      </c>
      <c r="AC64" s="137" t="s">
        <v>2205</v>
      </c>
      <c r="AD64" s="137" t="s">
        <v>2215</v>
      </c>
    </row>
    <row r="65" spans="5:29" x14ac:dyDescent="0.3">
      <c r="E65" s="414" t="s">
        <v>2643</v>
      </c>
      <c r="G65" s="414" t="s">
        <v>2643</v>
      </c>
      <c r="I65" s="414" t="s">
        <v>2643</v>
      </c>
      <c r="K65" s="414" t="s">
        <v>2227</v>
      </c>
      <c r="M65" s="414" t="s">
        <v>2227</v>
      </c>
      <c r="O65" s="414" t="s">
        <v>2206</v>
      </c>
      <c r="S65" s="137" t="s">
        <v>2206</v>
      </c>
      <c r="AA65" s="137" t="s">
        <v>2206</v>
      </c>
      <c r="AC65" s="137" t="s">
        <v>2206</v>
      </c>
    </row>
    <row r="66" spans="5:29" x14ac:dyDescent="0.3">
      <c r="E66" s="414" t="s">
        <v>2644</v>
      </c>
      <c r="G66" s="414" t="s">
        <v>2644</v>
      </c>
      <c r="I66" s="414" t="s">
        <v>2644</v>
      </c>
      <c r="K66" s="414" t="s">
        <v>2228</v>
      </c>
      <c r="M66" s="414" t="s">
        <v>2228</v>
      </c>
      <c r="O66" s="414" t="s">
        <v>2207</v>
      </c>
      <c r="S66" s="137" t="s">
        <v>2207</v>
      </c>
      <c r="AA66" s="137" t="s">
        <v>2207</v>
      </c>
      <c r="AC66" s="137" t="s">
        <v>2207</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7B56E-86BD-4C04-9A7C-F6CF9FA8E40D}">
  <sheetPr codeName="List5">
    <tabColor rgb="FF00B0F0"/>
    <pageSetUpPr fitToPage="1"/>
  </sheetPr>
  <dimension ref="A1:BM138"/>
  <sheetViews>
    <sheetView showGridLines="0" showRowColHeaders="0" zoomScale="80" zoomScaleNormal="80" workbookViewId="0">
      <selection activeCell="AT17" sqref="AT1:XFD1048576"/>
    </sheetView>
  </sheetViews>
  <sheetFormatPr defaultColWidth="0" defaultRowHeight="14.4" customHeight="1" zeroHeight="1" x14ac:dyDescent="0.3"/>
  <cols>
    <col min="1" max="1" width="3.33203125" style="1244" customWidth="1"/>
    <col min="2" max="2" width="5.33203125" style="1245" customWidth="1"/>
    <col min="3" max="3" width="5.33203125" style="1252" customWidth="1"/>
    <col min="4" max="7" width="5.5546875" style="1250" customWidth="1"/>
    <col min="8" max="13" width="5.33203125" style="1250" customWidth="1"/>
    <col min="14" max="17" width="4.44140625" style="1250" customWidth="1"/>
    <col min="18" max="18" width="5.33203125" style="1250" customWidth="1"/>
    <col min="19" max="19" width="4.21875" style="1250" customWidth="1"/>
    <col min="20" max="21" width="5.33203125" style="1250" customWidth="1"/>
    <col min="22" max="22" width="3.33203125" style="1250" customWidth="1"/>
    <col min="23" max="25" width="5.33203125" style="1250" customWidth="1"/>
    <col min="26" max="26" width="5.33203125" style="1252" customWidth="1"/>
    <col min="27" max="27" width="3.88671875" style="1252" customWidth="1"/>
    <col min="28" max="28" width="5.33203125" style="1252" customWidth="1"/>
    <col min="29" max="29" width="3.5546875" style="1252" customWidth="1"/>
    <col min="30" max="30" width="5.33203125" style="1256" customWidth="1"/>
    <col min="31" max="31" width="5.33203125" style="1245" customWidth="1"/>
    <col min="32" max="33" width="5.33203125" style="1252" customWidth="1"/>
    <col min="34" max="34" width="4.21875" style="1252" customWidth="1"/>
    <col min="35" max="36" width="5.33203125" style="1252" customWidth="1"/>
    <col min="37" max="37" width="3.33203125" style="1252" customWidth="1"/>
    <col min="38" max="38" width="5.33203125" style="1252" customWidth="1"/>
    <col min="39" max="39" width="3.5546875" style="1252" customWidth="1"/>
    <col min="40" max="40" width="5.33203125" style="1252" customWidth="1"/>
    <col min="41" max="41" width="2.88671875" style="1252" customWidth="1"/>
    <col min="42" max="42" width="3.88671875" style="1252" customWidth="1"/>
    <col min="43" max="43" width="5.44140625" style="1252" customWidth="1"/>
    <col min="44" max="44" width="4.44140625" style="1252" customWidth="1"/>
    <col min="45" max="45" width="8.88671875" style="1252" customWidth="1"/>
    <col min="46" max="46" width="8.88671875" style="1252" hidden="1"/>
    <col min="47" max="48" width="8.88671875" style="1226" hidden="1"/>
    <col min="49" max="55" width="8.88671875" style="1250" hidden="1"/>
    <col min="56" max="16384" width="8.88671875" style="1251" hidden="1"/>
  </cols>
  <sheetData>
    <row r="1" spans="1:65" s="1228" customFormat="1" ht="8.4" customHeight="1" x14ac:dyDescent="0.3">
      <c r="A1" s="557"/>
      <c r="B1" s="557"/>
      <c r="C1" s="506"/>
      <c r="D1" s="506"/>
      <c r="E1" s="506"/>
      <c r="F1" s="506"/>
      <c r="G1" s="506"/>
      <c r="H1" s="506"/>
      <c r="I1" s="506"/>
      <c r="J1" s="506"/>
      <c r="K1" s="506"/>
      <c r="L1" s="506"/>
      <c r="M1" s="506"/>
      <c r="N1" s="506"/>
      <c r="O1" s="506"/>
      <c r="P1" s="506"/>
      <c r="Q1" s="506"/>
      <c r="R1" s="506"/>
      <c r="S1" s="506"/>
      <c r="T1" s="506"/>
      <c r="U1" s="506"/>
      <c r="V1" s="507"/>
      <c r="W1" s="507"/>
      <c r="X1" s="507"/>
      <c r="Y1" s="507"/>
      <c r="Z1" s="400"/>
      <c r="AA1" s="400"/>
      <c r="AB1" s="400"/>
      <c r="AC1" s="400"/>
      <c r="AD1" s="508"/>
      <c r="AE1" s="509"/>
      <c r="AF1" s="400"/>
      <c r="AG1" s="400"/>
      <c r="AH1" s="400"/>
      <c r="AI1" s="400"/>
      <c r="AJ1" s="400"/>
      <c r="AK1" s="400"/>
      <c r="AL1" s="400"/>
      <c r="AM1" s="400"/>
      <c r="AN1" s="400"/>
      <c r="AO1" s="400"/>
      <c r="AP1" s="400"/>
      <c r="AQ1" s="400"/>
      <c r="AR1" s="400"/>
      <c r="AS1" s="400"/>
      <c r="AT1" s="1225"/>
      <c r="AU1" s="1226"/>
      <c r="AV1" s="1226"/>
      <c r="AW1" s="1227"/>
      <c r="AX1" s="1227"/>
      <c r="AY1" s="1227"/>
      <c r="AZ1" s="1227"/>
      <c r="BA1" s="1227"/>
      <c r="BB1" s="1227"/>
      <c r="BC1" s="1227"/>
    </row>
    <row r="2" spans="1:65" s="1228" customFormat="1" ht="11.4" customHeight="1" x14ac:dyDescent="0.3">
      <c r="A2" s="860" t="str">
        <f>'Translate &amp; Prices'!$B$149&amp;" "&amp;" "&amp;2</f>
        <v>Rámeček  2</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560"/>
      <c r="AL2" s="560"/>
      <c r="AM2" s="560"/>
      <c r="AN2" s="560"/>
      <c r="AO2" s="511"/>
      <c r="AP2" s="745" t="str">
        <f>'Translate &amp; Prices'!$B$520</f>
        <v>Úvod</v>
      </c>
      <c r="AQ2" s="746"/>
      <c r="AR2" s="746"/>
      <c r="AS2" s="746"/>
      <c r="AT2" s="1225"/>
      <c r="AU2" s="1226"/>
      <c r="AV2" s="1226"/>
      <c r="AW2" s="1227"/>
      <c r="AX2" s="1229" t="e">
        <f>VLOOKUP(VLOOKUP(H8,'Translate &amp; Prices'!B60:D69,3,0),'Translate &amp; Prices'!B6:D57,2,0)</f>
        <v>#N/A</v>
      </c>
      <c r="AY2" s="1230" t="e">
        <f>((AR14/1000)*2)*AT8</f>
        <v>#N/A</v>
      </c>
      <c r="AZ2" s="1231" t="e">
        <f>((AI30/1000)*2)*AX2</f>
        <v>#N/A</v>
      </c>
      <c r="BA2" s="1231" t="e">
        <f>AY2+AZ2</f>
        <v>#N/A</v>
      </c>
      <c r="BB2" s="1229"/>
      <c r="BC2" s="1229"/>
      <c r="BD2" s="1232"/>
      <c r="BE2" s="1232"/>
      <c r="BF2" s="1232"/>
      <c r="BG2" s="1232"/>
      <c r="BH2" s="1233"/>
      <c r="BI2" s="1233"/>
      <c r="BJ2" s="1233"/>
      <c r="BK2" s="1233"/>
      <c r="BL2" s="1233"/>
      <c r="BM2" s="1233"/>
    </row>
    <row r="3" spans="1:65" s="1228" customFormat="1" ht="11.4" customHeight="1" x14ac:dyDescent="0.3">
      <c r="A3" s="860"/>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560"/>
      <c r="AL3" s="560"/>
      <c r="AM3" s="560"/>
      <c r="AN3" s="560"/>
      <c r="AO3" s="511"/>
      <c r="AP3" s="745"/>
      <c r="AQ3" s="746"/>
      <c r="AR3" s="746"/>
      <c r="AS3" s="746"/>
      <c r="AT3" s="1225"/>
      <c r="AU3" s="1226"/>
      <c r="AV3" s="1226"/>
      <c r="AW3" s="1227"/>
      <c r="AX3" s="1229" t="e">
        <f>VLOOKUP(VLOOKUP(H8,'Translate &amp; Prices'!B60:D69,3,0),'Translate &amp; Prices'!B:D,3,0)</f>
        <v>#N/A</v>
      </c>
      <c r="AY3" s="1234" t="e">
        <f>AT9+AX3</f>
        <v>#N/A</v>
      </c>
      <c r="AZ3" s="1231"/>
      <c r="BA3" s="1230"/>
      <c r="BB3" s="1229"/>
      <c r="BC3" s="1229"/>
      <c r="BD3" s="1235">
        <f>(AI30/1000)*H11</f>
        <v>0</v>
      </c>
      <c r="BE3" s="1235"/>
      <c r="BF3" s="1235"/>
      <c r="BG3" s="1235"/>
      <c r="BH3" s="1235"/>
      <c r="BI3" s="1235">
        <f>(AR14/1000)*M11</f>
        <v>0</v>
      </c>
      <c r="BJ3" s="1235"/>
      <c r="BK3" s="1235"/>
      <c r="BL3" s="1235"/>
      <c r="BM3" s="1235"/>
    </row>
    <row r="4" spans="1:65" s="1239" customFormat="1" ht="6.6" customHeight="1" x14ac:dyDescent="0.3">
      <c r="A4" s="552"/>
      <c r="B4" s="552"/>
      <c r="C4" s="553"/>
      <c r="D4" s="553"/>
      <c r="E4" s="553"/>
      <c r="F4" s="553"/>
      <c r="G4" s="553"/>
      <c r="H4" s="553"/>
      <c r="I4" s="553"/>
      <c r="J4" s="554"/>
      <c r="K4" s="554"/>
      <c r="L4" s="554"/>
      <c r="M4" s="554"/>
      <c r="N4" s="554"/>
      <c r="O4" s="554"/>
      <c r="P4" s="555"/>
      <c r="Q4" s="555"/>
      <c r="R4" s="555"/>
      <c r="S4" s="555"/>
      <c r="T4" s="555"/>
      <c r="U4" s="555"/>
      <c r="V4" s="555"/>
      <c r="W4" s="555"/>
      <c r="X4" s="555"/>
      <c r="Y4" s="555"/>
      <c r="Z4" s="555"/>
      <c r="AA4" s="555"/>
      <c r="AB4" s="555"/>
      <c r="AC4" s="555"/>
      <c r="AD4" s="508"/>
      <c r="AE4" s="509"/>
      <c r="AF4" s="529"/>
      <c r="AG4" s="529"/>
      <c r="AH4" s="529"/>
      <c r="AI4" s="529"/>
      <c r="AJ4" s="529"/>
      <c r="AK4" s="529"/>
      <c r="AL4" s="529"/>
      <c r="AM4" s="529"/>
      <c r="AN4" s="529"/>
      <c r="AO4" s="529"/>
      <c r="AP4" s="529"/>
      <c r="AQ4" s="529"/>
      <c r="AR4" s="529"/>
      <c r="AS4" s="558"/>
      <c r="AT4" s="1236"/>
      <c r="AU4" s="1237"/>
      <c r="AV4" s="1237"/>
      <c r="AW4" s="1238"/>
      <c r="AX4" s="1238"/>
      <c r="AY4" s="1238"/>
      <c r="AZ4" s="1238"/>
      <c r="BA4" s="1238"/>
      <c r="BB4" s="1238"/>
      <c r="BC4" s="1238"/>
    </row>
    <row r="5" spans="1:65" s="1228" customFormat="1" ht="14.4" customHeight="1" thickBot="1" x14ac:dyDescent="0.35">
      <c r="A5" s="510"/>
      <c r="B5" s="845" t="str">
        <f>'Translate &amp; Prices'!$B$149&amp;" "&amp;" "&amp;1</f>
        <v>Rámeček  1</v>
      </c>
      <c r="C5" s="845"/>
      <c r="D5" s="845"/>
      <c r="E5" s="561"/>
      <c r="F5" s="845" t="str">
        <f>'Translate &amp; Prices'!$B$149&amp;" "&amp;" "&amp;2</f>
        <v>Rámeček  2</v>
      </c>
      <c r="G5" s="845"/>
      <c r="H5" s="845"/>
      <c r="I5" s="512"/>
      <c r="J5" s="845" t="str">
        <f>'Translate &amp; Prices'!$B$149&amp;" "&amp;" "&amp;3</f>
        <v>Rámeček  3</v>
      </c>
      <c r="K5" s="845"/>
      <c r="L5" s="845"/>
      <c r="M5" s="512"/>
      <c r="N5" s="845" t="str">
        <f>'Translate &amp; Prices'!$B$149&amp;" "&amp;" "&amp;4</f>
        <v>Rámeček  4</v>
      </c>
      <c r="O5" s="845"/>
      <c r="P5" s="845"/>
      <c r="Q5" s="512"/>
      <c r="R5" s="845" t="str">
        <f>'Translate &amp; Prices'!$B$149&amp;" "&amp;" "&amp;5</f>
        <v>Rámeček  5</v>
      </c>
      <c r="S5" s="845"/>
      <c r="T5" s="845"/>
      <c r="U5" s="512"/>
      <c r="V5" s="845" t="str">
        <f>'Translate &amp; Prices'!$B$149&amp;" "&amp;" "&amp;6</f>
        <v>Rámeček  6</v>
      </c>
      <c r="W5" s="845"/>
      <c r="X5" s="845"/>
      <c r="Y5" s="510"/>
      <c r="Z5" s="510"/>
      <c r="AA5" s="400"/>
      <c r="AB5" s="400"/>
      <c r="AC5" s="400"/>
      <c r="AD5" s="508"/>
      <c r="AE5" s="509"/>
      <c r="AF5" s="400"/>
      <c r="AG5" s="400"/>
      <c r="AH5" s="400"/>
      <c r="AI5" s="400"/>
      <c r="AJ5" s="400"/>
      <c r="AK5" s="400"/>
      <c r="AL5" s="400"/>
      <c r="AM5" s="400"/>
      <c r="AN5" s="400"/>
      <c r="AO5" s="400"/>
      <c r="AP5" s="400"/>
      <c r="AQ5" s="400"/>
      <c r="AR5" s="400"/>
      <c r="AS5" s="557"/>
      <c r="AT5" s="1229"/>
      <c r="AU5" s="1226"/>
      <c r="AV5" s="1226"/>
      <c r="AW5" s="1227"/>
      <c r="AX5" s="1227"/>
      <c r="AY5" s="1227"/>
      <c r="AZ5" s="1227"/>
      <c r="BA5" s="1227"/>
      <c r="BB5" s="1227"/>
      <c r="BC5" s="1227"/>
    </row>
    <row r="6" spans="1:65" s="1228" customFormat="1" ht="16.8" customHeight="1" thickTop="1" thickBot="1" x14ac:dyDescent="0.35">
      <c r="A6" s="510"/>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3"/>
      <c r="AB6" s="514"/>
      <c r="AC6" s="515"/>
      <c r="AD6" s="515"/>
      <c r="AE6" s="514"/>
      <c r="AF6" s="514"/>
      <c r="AG6" s="514"/>
      <c r="AH6" s="514"/>
      <c r="AI6" s="516"/>
      <c r="AJ6" s="517"/>
      <c r="AK6" s="514"/>
      <c r="AL6" s="514"/>
      <c r="AM6" s="515"/>
      <c r="AN6" s="515"/>
      <c r="AO6" s="514"/>
      <c r="AP6" s="518"/>
      <c r="AQ6" s="400"/>
      <c r="AR6" s="400"/>
      <c r="AS6" s="400"/>
      <c r="AT6" s="1240"/>
      <c r="AU6" s="1226"/>
      <c r="AV6" s="1226"/>
      <c r="AW6" s="1227"/>
      <c r="AX6" s="1227"/>
      <c r="AY6" s="1227"/>
      <c r="AZ6" s="1227"/>
      <c r="BA6" s="1227"/>
      <c r="BB6" s="1227"/>
      <c r="BC6" s="1227"/>
    </row>
    <row r="7" spans="1:65" s="1228" customFormat="1" ht="14.4" customHeight="1" thickBot="1" x14ac:dyDescent="0.35">
      <c r="A7" s="510"/>
      <c r="B7" s="849" t="str">
        <f>'Translate &amp; Prices'!$B$522</f>
        <v>Kombinace 2 profilů</v>
      </c>
      <c r="C7" s="850"/>
      <c r="D7" s="850"/>
      <c r="E7" s="850"/>
      <c r="F7" s="850"/>
      <c r="G7" s="855">
        <f>IF(H8='Translate &amp; Prices'!B18,'Translate &amp; Prices'!B567,IF(H8='Translate &amp; Prices'!B19,'Translate &amp; Prices'!B567,IF(H8='Translate &amp; Prices'!B20,'Translate &amp; Prices'!B567,0)))</f>
        <v>0</v>
      </c>
      <c r="H7" s="855"/>
      <c r="I7" s="855"/>
      <c r="J7" s="855"/>
      <c r="K7" s="855"/>
      <c r="L7" s="855"/>
      <c r="M7" s="855"/>
      <c r="N7" s="855"/>
      <c r="O7" s="855"/>
      <c r="P7" s="855"/>
      <c r="Q7" s="855"/>
      <c r="R7" s="856"/>
      <c r="S7" s="798" t="str">
        <f>'Translate &amp; Prices'!$B$552</f>
        <v>Upozornění</v>
      </c>
      <c r="T7" s="798"/>
      <c r="U7" s="798"/>
      <c r="V7" s="400"/>
      <c r="W7" s="510"/>
      <c r="X7" s="400"/>
      <c r="Y7" s="400"/>
      <c r="Z7" s="400"/>
      <c r="AA7" s="519"/>
      <c r="AB7" s="520"/>
      <c r="AC7" s="521"/>
      <c r="AD7" s="521"/>
      <c r="AE7" s="521"/>
      <c r="AF7" s="521"/>
      <c r="AG7" s="522"/>
      <c r="AH7" s="522"/>
      <c r="AI7" s="523"/>
      <c r="AJ7" s="800">
        <v>0</v>
      </c>
      <c r="AK7" s="521"/>
      <c r="AL7" s="521"/>
      <c r="AM7" s="521"/>
      <c r="AN7" s="521"/>
      <c r="AO7" s="524"/>
      <c r="AP7" s="525"/>
      <c r="AQ7" s="858">
        <f>IFERROR(IF($AU$17&gt;2,'Translate &amp; Prices'!$B$557,0),0)</f>
        <v>0</v>
      </c>
      <c r="AR7" s="400"/>
      <c r="AS7" s="400"/>
      <c r="AT7" s="1229"/>
      <c r="AU7" s="1241" t="e">
        <f>VLOOKUP(H8,kombinace_2!$A:$B,2,0)</f>
        <v>#N/A</v>
      </c>
      <c r="AV7" s="1230" t="e">
        <f>IF(AU7=2,"Široký","Úzký")</f>
        <v>#N/A</v>
      </c>
      <c r="AW7" s="1227"/>
      <c r="AX7" s="1227"/>
      <c r="AY7" s="1227"/>
      <c r="AZ7" s="1227"/>
      <c r="BA7" s="1227"/>
      <c r="BB7" s="1227"/>
      <c r="BC7" s="1227"/>
    </row>
    <row r="8" spans="1:65" s="1228" customFormat="1" ht="30" customHeight="1" x14ac:dyDescent="0.3">
      <c r="A8" s="559"/>
      <c r="B8" s="823" t="str">
        <f>'Translate &amp; Prices'!$B$152</f>
        <v>Typ profilu</v>
      </c>
      <c r="C8" s="824"/>
      <c r="D8" s="824"/>
      <c r="E8" s="824"/>
      <c r="F8" s="824"/>
      <c r="G8" s="550"/>
      <c r="H8" s="852"/>
      <c r="I8" s="852"/>
      <c r="J8" s="852"/>
      <c r="K8" s="852"/>
      <c r="L8" s="852"/>
      <c r="M8" s="852"/>
      <c r="N8" s="852"/>
      <c r="O8" s="852"/>
      <c r="P8" s="852"/>
      <c r="Q8" s="853"/>
      <c r="R8" s="598"/>
      <c r="S8" s="868">
        <f>IF(AU10&gt;0,'Translate &amp; Prices'!B283,IF(H8=kombinace_1!A51,'Translate &amp; Prices'!B558,IF(H8=kombinace_1!A53,'Translate &amp; Prices'!B559,IF(H8=kombinace_1!A55,'Translate &amp; Prices'!B560,0))))</f>
        <v>0</v>
      </c>
      <c r="T8" s="869"/>
      <c r="U8" s="869"/>
      <c r="V8" s="869"/>
      <c r="W8" s="869"/>
      <c r="X8" s="869"/>
      <c r="Y8" s="870"/>
      <c r="Z8" s="400"/>
      <c r="AA8" s="527"/>
      <c r="AB8" s="507"/>
      <c r="AC8" s="806" t="str">
        <f>'Translate &amp; Prices'!$B$222</f>
        <v>Vzdálenost od kraje</v>
      </c>
      <c r="AD8" s="806"/>
      <c r="AE8" s="806"/>
      <c r="AF8" s="806"/>
      <c r="AG8" s="806"/>
      <c r="AH8" s="400"/>
      <c r="AI8" s="508"/>
      <c r="AJ8" s="800"/>
      <c r="AK8" s="400"/>
      <c r="AL8" s="400"/>
      <c r="AM8" s="400"/>
      <c r="AN8" s="400"/>
      <c r="AO8" s="400"/>
      <c r="AP8" s="527"/>
      <c r="AQ8" s="858"/>
      <c r="AR8" s="400"/>
      <c r="AS8" s="400"/>
      <c r="AT8" s="1232" t="e">
        <f>VLOOKUP(VLOOKUP(H8,'Translate &amp; Prices'!B60:C69,2,0),'Translate &amp; Prices'!B6:C570,2,0)</f>
        <v>#N/A</v>
      </c>
      <c r="AU8" s="1230"/>
      <c r="AV8" s="1230"/>
      <c r="AW8" s="1227"/>
    </row>
    <row r="9" spans="1:65" s="1228" customFormat="1" ht="15.6" x14ac:dyDescent="0.3">
      <c r="A9" s="559"/>
      <c r="B9" s="823">
        <f>IFERROR(IF(VLOOKUP(H8,kombinace_2!$A:$D,4,0)=1,'Translate &amp; Prices'!$B$523,0),0)</f>
        <v>0</v>
      </c>
      <c r="C9" s="824"/>
      <c r="D9" s="824"/>
      <c r="E9" s="824"/>
      <c r="F9" s="824"/>
      <c r="G9" s="550"/>
      <c r="H9" s="756"/>
      <c r="I9" s="756"/>
      <c r="J9" s="756"/>
      <c r="K9" s="756"/>
      <c r="L9" s="756"/>
      <c r="M9" s="756"/>
      <c r="N9" s="756"/>
      <c r="O9" s="756"/>
      <c r="P9" s="756"/>
      <c r="Q9" s="825"/>
      <c r="R9" s="510"/>
      <c r="S9" s="846"/>
      <c r="T9" s="847"/>
      <c r="U9" s="847"/>
      <c r="V9" s="847"/>
      <c r="W9" s="847"/>
      <c r="X9" s="847"/>
      <c r="Y9" s="848"/>
      <c r="Z9" s="510"/>
      <c r="AA9" s="528"/>
      <c r="AB9" s="507"/>
      <c r="AC9" s="821">
        <v>0</v>
      </c>
      <c r="AD9" s="821"/>
      <c r="AE9" s="526"/>
      <c r="AF9" s="830" t="str">
        <f>('Translate &amp; Prices'!$B$528)&amp;" "&amp;H26&amp;" "&amp;"mm"</f>
        <v>Rozteč  mm</v>
      </c>
      <c r="AG9" s="830"/>
      <c r="AH9" s="830"/>
      <c r="AI9" s="830"/>
      <c r="AJ9" s="830"/>
      <c r="AK9" s="830"/>
      <c r="AL9" s="400"/>
      <c r="AM9" s="400"/>
      <c r="AN9" s="400"/>
      <c r="AO9" s="400"/>
      <c r="AP9" s="528"/>
      <c r="AQ9" s="858"/>
      <c r="AR9" s="400"/>
      <c r="AS9" s="400"/>
      <c r="AT9" s="1229">
        <f>VLOOKUP(VLOOKUP(H8,'Translate &amp; Prices'!B60:C651,2,0),'Translate &amp; Prices'!B3:D567,3,0)</f>
        <v>0</v>
      </c>
      <c r="AU9" s="1241" t="e">
        <f>VLOOKUP(H12,kombinace_2!$DP:$DQ,2,0)</f>
        <v>#N/A</v>
      </c>
      <c r="AV9" s="1230"/>
      <c r="AW9" s="1227"/>
    </row>
    <row r="10" spans="1:65" s="1228" customFormat="1" ht="18" customHeight="1" x14ac:dyDescent="0.3">
      <c r="A10" s="559"/>
      <c r="B10" s="562"/>
      <c r="C10" s="551"/>
      <c r="D10" s="551"/>
      <c r="E10" s="551"/>
      <c r="F10" s="551"/>
      <c r="G10" s="551"/>
      <c r="H10" s="871" t="str">
        <f>'Translate &amp; Prices'!$B$538</f>
        <v>Horizontálně</v>
      </c>
      <c r="I10" s="871"/>
      <c r="J10" s="871"/>
      <c r="K10" s="871"/>
      <c r="L10" s="873"/>
      <c r="M10" s="871" t="str">
        <f>'Translate &amp; Prices'!$B$539</f>
        <v>Vertikálně</v>
      </c>
      <c r="N10" s="871"/>
      <c r="O10" s="871"/>
      <c r="P10" s="871"/>
      <c r="Q10" s="872"/>
      <c r="R10" s="559"/>
      <c r="S10" s="846">
        <f>IF(AU10&gt;0,'Translate &amp; Prices'!B551,0)</f>
        <v>0</v>
      </c>
      <c r="T10" s="847"/>
      <c r="U10" s="847"/>
      <c r="V10" s="847"/>
      <c r="W10" s="847"/>
      <c r="X10" s="847"/>
      <c r="Y10" s="848"/>
      <c r="Z10" s="510"/>
      <c r="AA10" s="528"/>
      <c r="AB10" s="507"/>
      <c r="AC10" s="507"/>
      <c r="AD10" s="802">
        <v>0</v>
      </c>
      <c r="AE10" s="804" t="str">
        <f>'Translate &amp; Prices'!$B$222</f>
        <v>Vzdálenost od kraje</v>
      </c>
      <c r="AF10" s="400"/>
      <c r="AG10" s="400"/>
      <c r="AH10" s="400"/>
      <c r="AI10" s="508"/>
      <c r="AJ10" s="509"/>
      <c r="AK10" s="400"/>
      <c r="AL10" s="400"/>
      <c r="AM10" s="400"/>
      <c r="AN10" s="400"/>
      <c r="AO10" s="400"/>
      <c r="AP10" s="528"/>
      <c r="AQ10" s="858"/>
      <c r="AR10" s="400"/>
      <c r="AS10" s="400"/>
      <c r="AT10" s="1232" t="s">
        <v>2429</v>
      </c>
      <c r="AU10" s="1230">
        <f>IFERROR(VLOOKUP(H9,kombinace_2!$BY$13:$BZ$16,2,0),0)</f>
        <v>0</v>
      </c>
      <c r="AV10" s="1230"/>
      <c r="AW10" s="1227"/>
    </row>
    <row r="11" spans="1:65" s="1228" customFormat="1" ht="18" customHeight="1" x14ac:dyDescent="0.3">
      <c r="A11" s="559"/>
      <c r="B11" s="823" t="str">
        <f>('Translate &amp; Prices'!$B$523)&amp;" "&amp;"("&amp;'Translate &amp; Prices'!$B$154&amp;")"</f>
        <v>Dělící lišty (Počet kusů)</v>
      </c>
      <c r="C11" s="824"/>
      <c r="D11" s="824"/>
      <c r="E11" s="824"/>
      <c r="F11" s="824"/>
      <c r="G11" s="550"/>
      <c r="H11" s="756"/>
      <c r="I11" s="756"/>
      <c r="J11" s="756"/>
      <c r="K11" s="756"/>
      <c r="L11" s="863"/>
      <c r="M11" s="756"/>
      <c r="N11" s="756"/>
      <c r="O11" s="756"/>
      <c r="P11" s="756"/>
      <c r="Q11" s="825"/>
      <c r="R11" s="559"/>
      <c r="S11" s="846"/>
      <c r="T11" s="847"/>
      <c r="U11" s="847"/>
      <c r="V11" s="847"/>
      <c r="W11" s="847"/>
      <c r="X11" s="847"/>
      <c r="Y11" s="848"/>
      <c r="Z11" s="510"/>
      <c r="AA11" s="530"/>
      <c r="AB11" s="531"/>
      <c r="AC11" s="400"/>
      <c r="AD11" s="802"/>
      <c r="AE11" s="804"/>
      <c r="AF11" s="400"/>
      <c r="AG11" s="400"/>
      <c r="AH11" s="400"/>
      <c r="AI11" s="508"/>
      <c r="AJ11" s="509"/>
      <c r="AK11" s="400"/>
      <c r="AL11" s="400"/>
      <c r="AM11" s="400"/>
      <c r="AN11" s="400"/>
      <c r="AO11" s="532"/>
      <c r="AP11" s="525"/>
      <c r="AQ11" s="858"/>
      <c r="AR11" s="400"/>
      <c r="AS11" s="400"/>
      <c r="AT11" s="1242">
        <f>IFERROR(IF(kombinace_2!$H$1=TRUE,BA2+AY3,0),0)</f>
        <v>0</v>
      </c>
      <c r="AU11" s="1241"/>
      <c r="AV11" s="1230"/>
      <c r="AW11" s="1227"/>
    </row>
    <row r="12" spans="1:65" s="1228" customFormat="1" ht="18" customHeight="1" x14ac:dyDescent="0.3">
      <c r="A12" s="559"/>
      <c r="B12" s="823" t="str">
        <f>'Translate &amp; Prices'!$B$238</f>
        <v>Typ kování</v>
      </c>
      <c r="C12" s="824"/>
      <c r="D12" s="824"/>
      <c r="E12" s="824"/>
      <c r="F12" s="824"/>
      <c r="G12" s="550"/>
      <c r="H12" s="756"/>
      <c r="I12" s="756"/>
      <c r="J12" s="756"/>
      <c r="K12" s="756"/>
      <c r="L12" s="756"/>
      <c r="M12" s="756"/>
      <c r="N12" s="756"/>
      <c r="O12" s="756"/>
      <c r="P12" s="756"/>
      <c r="Q12" s="825"/>
      <c r="R12" s="559"/>
      <c r="S12" s="846"/>
      <c r="T12" s="847"/>
      <c r="U12" s="847"/>
      <c r="V12" s="847"/>
      <c r="W12" s="847"/>
      <c r="X12" s="847"/>
      <c r="Y12" s="848"/>
      <c r="Z12" s="510"/>
      <c r="AA12" s="530"/>
      <c r="AB12" s="531"/>
      <c r="AC12" s="400"/>
      <c r="AD12" s="802"/>
      <c r="AE12" s="804"/>
      <c r="AF12" s="400"/>
      <c r="AG12" s="400"/>
      <c r="AH12" s="400"/>
      <c r="AI12" s="508"/>
      <c r="AJ12" s="509"/>
      <c r="AK12" s="400"/>
      <c r="AL12" s="400"/>
      <c r="AM12" s="400"/>
      <c r="AN12" s="400"/>
      <c r="AO12" s="532"/>
      <c r="AP12" s="525"/>
      <c r="AQ12" s="858"/>
      <c r="AR12" s="400"/>
      <c r="AS12" s="400"/>
      <c r="AT12" s="1233"/>
      <c r="AU12" s="1230"/>
      <c r="AV12" s="1230"/>
      <c r="AW12" s="1227"/>
    </row>
    <row r="13" spans="1:65" s="1228" customFormat="1" ht="18" customHeight="1" x14ac:dyDescent="0.3">
      <c r="A13" s="559"/>
      <c r="B13" s="823" t="str">
        <f>'Translate &amp; Prices'!$B$524</f>
        <v>Značka kování</v>
      </c>
      <c r="C13" s="824"/>
      <c r="D13" s="824"/>
      <c r="E13" s="824"/>
      <c r="F13" s="824"/>
      <c r="G13" s="550"/>
      <c r="H13" s="756"/>
      <c r="I13" s="756"/>
      <c r="J13" s="756"/>
      <c r="K13" s="756"/>
      <c r="L13" s="756"/>
      <c r="M13" s="756"/>
      <c r="N13" s="756"/>
      <c r="O13" s="756"/>
      <c r="P13" s="756"/>
      <c r="Q13" s="825"/>
      <c r="R13" s="559"/>
      <c r="S13" s="846">
        <f>IF(H19&gt;=2,'Translate &amp; Prices'!B555,0)</f>
        <v>0</v>
      </c>
      <c r="T13" s="847"/>
      <c r="U13" s="847"/>
      <c r="V13" s="847"/>
      <c r="W13" s="847"/>
      <c r="X13" s="847"/>
      <c r="Y13" s="848"/>
      <c r="Z13" s="510"/>
      <c r="AA13" s="530"/>
      <c r="AB13" s="531"/>
      <c r="AC13" s="507"/>
      <c r="AD13" s="526"/>
      <c r="AE13" s="804"/>
      <c r="AF13" s="400"/>
      <c r="AG13" s="400"/>
      <c r="AH13" s="400"/>
      <c r="AI13" s="508"/>
      <c r="AJ13" s="509"/>
      <c r="AK13" s="400"/>
      <c r="AL13" s="400"/>
      <c r="AM13" s="400"/>
      <c r="AN13" s="400"/>
      <c r="AO13" s="532"/>
      <c r="AP13" s="525"/>
      <c r="AQ13" s="858"/>
      <c r="AR13" s="529"/>
      <c r="AS13" s="400"/>
      <c r="AT13" s="1243">
        <f>IFERROR((((AI30/1000)+(AR14/1000))*2)*(VLOOKUP(H8,'Translate &amp; Prices'!B6:C67,2,0))+(VLOOKUP(H8,'Translate &amp; Prices'!B6:D67,3,0)),0)</f>
        <v>0</v>
      </c>
      <c r="AU13" s="1241"/>
      <c r="AV13" s="1230"/>
      <c r="AW13" s="1227"/>
    </row>
    <row r="14" spans="1:65" s="1228" customFormat="1" ht="18" customHeight="1" x14ac:dyDescent="0.3">
      <c r="A14" s="559"/>
      <c r="B14" s="823">
        <f>IFERROR(IF(H12='Translate &amp; Prices'!B531,'Translate &amp; Prices'!$B$526,0),0)</f>
        <v>0</v>
      </c>
      <c r="C14" s="824"/>
      <c r="D14" s="824"/>
      <c r="E14" s="824"/>
      <c r="F14" s="824"/>
      <c r="G14" s="550"/>
      <c r="H14" s="756"/>
      <c r="I14" s="756"/>
      <c r="J14" s="756"/>
      <c r="K14" s="756"/>
      <c r="L14" s="756"/>
      <c r="M14" s="756"/>
      <c r="N14" s="756"/>
      <c r="O14" s="756"/>
      <c r="P14" s="756"/>
      <c r="Q14" s="825"/>
      <c r="R14" s="559"/>
      <c r="S14" s="846"/>
      <c r="T14" s="847"/>
      <c r="U14" s="847"/>
      <c r="V14" s="847"/>
      <c r="W14" s="847"/>
      <c r="X14" s="847"/>
      <c r="Y14" s="848"/>
      <c r="Z14" s="510"/>
      <c r="AA14" s="530"/>
      <c r="AB14" s="531"/>
      <c r="AC14" s="507"/>
      <c r="AD14" s="851" t="str">
        <f>('Translate &amp; Prices'!$B$528)&amp;" "&amp;H26&amp;" "&amp;"mm"</f>
        <v>Rozteč  mm</v>
      </c>
      <c r="AE14" s="804"/>
      <c r="AF14" s="400"/>
      <c r="AG14" s="400"/>
      <c r="AH14" s="400"/>
      <c r="AI14" s="508"/>
      <c r="AJ14" s="509"/>
      <c r="AK14" s="400"/>
      <c r="AL14" s="400"/>
      <c r="AM14" s="799" t="str">
        <f>('Translate &amp; Prices'!$B$528)&amp;" "&amp;H26&amp;" "&amp;"mm"</f>
        <v>Rozteč  mm</v>
      </c>
      <c r="AN14" s="400"/>
      <c r="AO14" s="533"/>
      <c r="AP14" s="525"/>
      <c r="AQ14" s="858"/>
      <c r="AR14" s="859"/>
      <c r="AS14" s="400"/>
      <c r="AT14" s="1242"/>
      <c r="AU14" s="1244"/>
      <c r="AV14" s="1230"/>
      <c r="AW14" s="1227"/>
    </row>
    <row r="15" spans="1:65" s="1228" customFormat="1" ht="18" customHeight="1" x14ac:dyDescent="0.3">
      <c r="A15" s="559"/>
      <c r="B15" s="823" t="str">
        <f>'Translate &amp; Prices'!$B$525</f>
        <v>Varianta kování</v>
      </c>
      <c r="C15" s="824"/>
      <c r="D15" s="824"/>
      <c r="E15" s="824"/>
      <c r="F15" s="824"/>
      <c r="G15" s="550"/>
      <c r="H15" s="837"/>
      <c r="I15" s="837"/>
      <c r="J15" s="837"/>
      <c r="K15" s="837"/>
      <c r="L15" s="837"/>
      <c r="M15" s="837"/>
      <c r="N15" s="837"/>
      <c r="O15" s="837"/>
      <c r="P15" s="837"/>
      <c r="Q15" s="838"/>
      <c r="R15" s="559"/>
      <c r="S15" s="846"/>
      <c r="T15" s="847"/>
      <c r="U15" s="847"/>
      <c r="V15" s="847"/>
      <c r="W15" s="847"/>
      <c r="X15" s="847"/>
      <c r="Y15" s="848"/>
      <c r="Z15" s="510"/>
      <c r="AA15" s="530"/>
      <c r="AB15" s="534"/>
      <c r="AC15" s="400"/>
      <c r="AD15" s="851"/>
      <c r="AE15" s="804"/>
      <c r="AF15" s="400"/>
      <c r="AG15" s="400"/>
      <c r="AH15" s="400"/>
      <c r="AI15" s="508"/>
      <c r="AJ15" s="509"/>
      <c r="AK15" s="400"/>
      <c r="AL15" s="400"/>
      <c r="AM15" s="799"/>
      <c r="AN15" s="400"/>
      <c r="AO15" s="533"/>
      <c r="AP15" s="525"/>
      <c r="AQ15" s="858"/>
      <c r="AR15" s="859"/>
      <c r="AS15" s="400"/>
      <c r="AT15" s="1242">
        <f>((BD3+BI3)*2)*'Translate &amp; Prices'!C80</f>
        <v>0</v>
      </c>
      <c r="AU15" s="1244"/>
      <c r="AV15" s="1230"/>
      <c r="AW15" s="1227"/>
    </row>
    <row r="16" spans="1:65" s="1228" customFormat="1" ht="18" customHeight="1" x14ac:dyDescent="0.3">
      <c r="A16" s="559"/>
      <c r="B16" s="843" t="str">
        <f>IF(H15=kombinace_1!AB40,'Translate &amp; Prices'!$B$204,IF(H15=kombinace_1!AB41,'Translate &amp; Prices'!$B$204,'Translate &amp; Prices'!$B$198))</f>
        <v>Výběr pozice rámečku</v>
      </c>
      <c r="C16" s="835"/>
      <c r="D16" s="835"/>
      <c r="E16" s="835"/>
      <c r="F16" s="854"/>
      <c r="G16" s="854"/>
      <c r="H16" s="854"/>
      <c r="I16" s="854"/>
      <c r="J16" s="835" t="str">
        <f>IF(H15=kombinace_1!AB40,'Translate &amp; Prices'!$B$206,IF(H15=kombinace_1!AB41,'Translate &amp; Prices'!$B$206,'Translate &amp; Prices'!$B$212))</f>
        <v>Provedení druhého dvířka</v>
      </c>
      <c r="K16" s="835"/>
      <c r="L16" s="835"/>
      <c r="M16" s="835"/>
      <c r="N16" s="833"/>
      <c r="O16" s="833"/>
      <c r="P16" s="833"/>
      <c r="Q16" s="834"/>
      <c r="R16" s="559"/>
      <c r="S16" s="846"/>
      <c r="T16" s="847"/>
      <c r="U16" s="847"/>
      <c r="V16" s="847"/>
      <c r="W16" s="847"/>
      <c r="X16" s="847"/>
      <c r="Y16" s="848"/>
      <c r="Z16" s="510"/>
      <c r="AA16" s="530"/>
      <c r="AB16" s="534"/>
      <c r="AC16" s="507"/>
      <c r="AD16" s="851"/>
      <c r="AE16" s="804"/>
      <c r="AF16" s="400"/>
      <c r="AG16" s="400"/>
      <c r="AH16" s="400"/>
      <c r="AI16" s="508"/>
      <c r="AJ16" s="509"/>
      <c r="AK16" s="400"/>
      <c r="AL16" s="400"/>
      <c r="AM16" s="799"/>
      <c r="AN16" s="400"/>
      <c r="AO16" s="533"/>
      <c r="AP16" s="525"/>
      <c r="AQ16" s="858"/>
      <c r="AR16" s="859"/>
      <c r="AS16" s="400"/>
      <c r="AT16" s="1242"/>
      <c r="AU16" s="1244"/>
      <c r="AV16" s="1230"/>
      <c r="AW16" s="1227"/>
    </row>
    <row r="17" spans="1:49" s="1228" customFormat="1" ht="18" customHeight="1" x14ac:dyDescent="0.3">
      <c r="A17" s="559"/>
      <c r="B17" s="823">
        <f>IF(H12='Translate &amp; Prices'!B531,"Umístění závěsů",IF(H15=kombinace_1!AB8,'Translate &amp; Prices'!B264,0))</f>
        <v>0</v>
      </c>
      <c r="C17" s="824"/>
      <c r="D17" s="824"/>
      <c r="E17" s="824"/>
      <c r="F17" s="824"/>
      <c r="G17" s="550"/>
      <c r="H17" s="756"/>
      <c r="I17" s="756"/>
      <c r="J17" s="756"/>
      <c r="K17" s="756"/>
      <c r="L17" s="756"/>
      <c r="M17" s="756"/>
      <c r="N17" s="756"/>
      <c r="O17" s="756"/>
      <c r="P17" s="756"/>
      <c r="Q17" s="825"/>
      <c r="R17" s="559"/>
      <c r="S17" s="846"/>
      <c r="T17" s="847"/>
      <c r="U17" s="847"/>
      <c r="V17" s="847"/>
      <c r="W17" s="847"/>
      <c r="X17" s="847"/>
      <c r="Y17" s="848"/>
      <c r="Z17" s="510"/>
      <c r="AA17" s="530"/>
      <c r="AB17" s="534"/>
      <c r="AC17" s="507"/>
      <c r="AD17" s="851"/>
      <c r="AE17" s="400"/>
      <c r="AF17" s="400"/>
      <c r="AG17" s="400"/>
      <c r="AH17" s="400"/>
      <c r="AI17" s="508"/>
      <c r="AJ17" s="509"/>
      <c r="AK17" s="400"/>
      <c r="AL17" s="400"/>
      <c r="AM17" s="799"/>
      <c r="AN17" s="400"/>
      <c r="AO17" s="533"/>
      <c r="AP17" s="525"/>
      <c r="AQ17" s="858"/>
      <c r="AR17" s="859"/>
      <c r="AS17" s="400"/>
      <c r="AT17" s="1242">
        <f>IF(AU10=1,BD3*'Translate &amp; Prices'!C53,IF(AU10=2,BI3*'Translate &amp; Prices'!C53,IF(AU10=3,(BD3+BI3)*'Translate &amp; Prices'!C53,IF(AU10=0,0))))</f>
        <v>0</v>
      </c>
      <c r="AU17" s="1245" t="e">
        <f>VLOOKUP(H17,kombinace_2!$BY:$BZ,2,0)</f>
        <v>#N/A</v>
      </c>
      <c r="AV17" s="1230"/>
      <c r="AW17" s="1227"/>
    </row>
    <row r="18" spans="1:49" s="1228" customFormat="1" ht="18" customHeight="1" x14ac:dyDescent="0.3">
      <c r="A18" s="559"/>
      <c r="B18" s="823">
        <f>IFERROR(IF(VLOOKUP(H15,kombinace_2!CD:CE,2,0)=1,'Translate &amp; Prices'!$B$527,0),0)</f>
        <v>0</v>
      </c>
      <c r="C18" s="824"/>
      <c r="D18" s="824"/>
      <c r="E18" s="824"/>
      <c r="F18" s="824"/>
      <c r="G18" s="550"/>
      <c r="H18" s="756"/>
      <c r="I18" s="756"/>
      <c r="J18" s="756"/>
      <c r="K18" s="756"/>
      <c r="L18" s="756"/>
      <c r="M18" s="756"/>
      <c r="N18" s="756"/>
      <c r="O18" s="756"/>
      <c r="P18" s="756"/>
      <c r="Q18" s="825"/>
      <c r="R18" s="559"/>
      <c r="S18" s="846">
        <f>IF(H27&gt;"",'Translate &amp; Prices'!B556,0)</f>
        <v>0</v>
      </c>
      <c r="T18" s="847"/>
      <c r="U18" s="847"/>
      <c r="V18" s="847"/>
      <c r="W18" s="847"/>
      <c r="X18" s="847"/>
      <c r="Y18" s="848"/>
      <c r="Z18" s="510"/>
      <c r="AA18" s="530"/>
      <c r="AB18" s="534"/>
      <c r="AC18" s="507"/>
      <c r="AD18" s="851"/>
      <c r="AE18" s="400"/>
      <c r="AF18" s="400"/>
      <c r="AG18" s="400"/>
      <c r="AH18" s="400"/>
      <c r="AI18" s="508"/>
      <c r="AJ18" s="509"/>
      <c r="AK18" s="400"/>
      <c r="AL18" s="400"/>
      <c r="AM18" s="799"/>
      <c r="AN18" s="400"/>
      <c r="AO18" s="533"/>
      <c r="AP18" s="525"/>
      <c r="AQ18" s="858"/>
      <c r="AR18" s="859"/>
      <c r="AS18" s="400"/>
      <c r="AT18" s="1242"/>
      <c r="AU18" s="1244"/>
      <c r="AV18" s="1230"/>
      <c r="AW18" s="1227"/>
    </row>
    <row r="19" spans="1:49" s="1228" customFormat="1" ht="18" customHeight="1" x14ac:dyDescent="0.3">
      <c r="A19" s="559"/>
      <c r="B19" s="823">
        <f>IFERROR(IF(H12='Translate &amp; Prices'!B531,'Translate &amp; Prices'!$B$203,IF(VLOOKUP(H15,kombinace_2!CD:CE,2,0)=1,'Translate &amp; Prices'!$B$203,)),0)</f>
        <v>0</v>
      </c>
      <c r="C19" s="824"/>
      <c r="D19" s="824"/>
      <c r="E19" s="824"/>
      <c r="F19" s="824"/>
      <c r="G19" s="550"/>
      <c r="H19" s="756"/>
      <c r="I19" s="756"/>
      <c r="J19" s="756"/>
      <c r="K19" s="756"/>
      <c r="L19" s="756"/>
      <c r="M19" s="756"/>
      <c r="N19" s="756"/>
      <c r="O19" s="756"/>
      <c r="P19" s="756"/>
      <c r="Q19" s="825"/>
      <c r="R19" s="559"/>
      <c r="S19" s="846"/>
      <c r="T19" s="847"/>
      <c r="U19" s="847"/>
      <c r="V19" s="847"/>
      <c r="W19" s="847"/>
      <c r="X19" s="847"/>
      <c r="Y19" s="848"/>
      <c r="Z19" s="510"/>
      <c r="AA19" s="528"/>
      <c r="AB19" s="803">
        <v>0</v>
      </c>
      <c r="AC19" s="803"/>
      <c r="AD19" s="851"/>
      <c r="AE19" s="400"/>
      <c r="AF19" s="400"/>
      <c r="AG19" s="400"/>
      <c r="AH19" s="400"/>
      <c r="AI19" s="508"/>
      <c r="AJ19" s="509"/>
      <c r="AK19" s="400"/>
      <c r="AL19" s="807" t="str">
        <f>'Translate &amp; Prices'!$B$222</f>
        <v>Vzdálenost od kraje</v>
      </c>
      <c r="AM19" s="799"/>
      <c r="AN19" s="803">
        <v>0</v>
      </c>
      <c r="AO19" s="803"/>
      <c r="AP19" s="527"/>
      <c r="AQ19" s="858"/>
      <c r="AR19" s="805" t="str">
        <f>'Translate &amp; Prices'!$B$156</f>
        <v>Výška</v>
      </c>
      <c r="AS19" s="400"/>
      <c r="AT19" s="1242"/>
      <c r="AU19" s="1244">
        <f>IFERROR(VLOOKUP(H15,kombinace_2!$CD:$CF,3,0),0)</f>
        <v>0</v>
      </c>
      <c r="AV19" s="1230"/>
      <c r="AW19" s="1227"/>
    </row>
    <row r="20" spans="1:49" s="1228" customFormat="1" ht="18" customHeight="1" x14ac:dyDescent="0.3">
      <c r="A20" s="559"/>
      <c r="B20" s="827">
        <f>IFERROR('Translate &amp; Prices'!$B$222&amp;" "&amp;(VLOOKUP(H17,kombinace_1!$BY$32:$CA$35,2,0)),0)</f>
        <v>0</v>
      </c>
      <c r="C20" s="828"/>
      <c r="D20" s="828"/>
      <c r="E20" s="828"/>
      <c r="F20" s="829">
        <v>100</v>
      </c>
      <c r="G20" s="829"/>
      <c r="H20" s="829"/>
      <c r="I20" s="829"/>
      <c r="J20" s="828">
        <f>IFERROR('Translate &amp; Prices'!$B$222&amp;" "&amp;(VLOOKUP(H17,kombinace_1!$BY$32:$CA$35,3,0)),0)</f>
        <v>0</v>
      </c>
      <c r="K20" s="828"/>
      <c r="L20" s="828"/>
      <c r="M20" s="828"/>
      <c r="N20" s="829">
        <v>100</v>
      </c>
      <c r="O20" s="829"/>
      <c r="P20" s="829"/>
      <c r="Q20" s="839"/>
      <c r="R20" s="559"/>
      <c r="S20" s="846"/>
      <c r="T20" s="847"/>
      <c r="U20" s="847"/>
      <c r="V20" s="847"/>
      <c r="W20" s="847"/>
      <c r="X20" s="847"/>
      <c r="Y20" s="848"/>
      <c r="Z20" s="510"/>
      <c r="AA20" s="530"/>
      <c r="AB20" s="531"/>
      <c r="AC20" s="507"/>
      <c r="AD20" s="851"/>
      <c r="AE20" s="400"/>
      <c r="AF20" s="400"/>
      <c r="AG20" s="400"/>
      <c r="AH20" s="400"/>
      <c r="AI20" s="508"/>
      <c r="AJ20" s="509"/>
      <c r="AK20" s="400"/>
      <c r="AL20" s="807"/>
      <c r="AM20" s="799"/>
      <c r="AN20" s="400"/>
      <c r="AO20" s="533"/>
      <c r="AP20" s="525"/>
      <c r="AQ20" s="858"/>
      <c r="AR20" s="805"/>
      <c r="AS20" s="400"/>
      <c r="AT20" s="1242"/>
      <c r="AU20" s="1244"/>
      <c r="AV20" s="1230"/>
      <c r="AW20" s="1227"/>
    </row>
    <row r="21" spans="1:49" s="1228" customFormat="1" ht="18" customHeight="1" x14ac:dyDescent="0.3">
      <c r="A21" s="559"/>
      <c r="B21" s="823" t="str">
        <f>'Translate &amp; Prices'!$B$153</f>
        <v>Typ skla</v>
      </c>
      <c r="C21" s="824"/>
      <c r="D21" s="824"/>
      <c r="E21" s="824"/>
      <c r="F21" s="824"/>
      <c r="G21" s="550"/>
      <c r="H21" s="775" t="str">
        <f>'Translate &amp; Prices'!$B$85</f>
        <v>Bez úprav</v>
      </c>
      <c r="I21" s="776"/>
      <c r="J21" s="776"/>
      <c r="K21" s="770" t="str">
        <f>'Translate &amp; Prices'!$B$83</f>
        <v>Kalené</v>
      </c>
      <c r="L21" s="770"/>
      <c r="M21" s="770"/>
      <c r="N21" s="770" t="str">
        <f>'Translate &amp; Prices'!$B$84</f>
        <v>Folie</v>
      </c>
      <c r="O21" s="770"/>
      <c r="P21" s="770"/>
      <c r="Q21" s="840"/>
      <c r="R21" s="559"/>
      <c r="S21" s="846"/>
      <c r="T21" s="847"/>
      <c r="U21" s="847"/>
      <c r="V21" s="847"/>
      <c r="W21" s="847"/>
      <c r="X21" s="847"/>
      <c r="Y21" s="848"/>
      <c r="Z21" s="510"/>
      <c r="AA21" s="530"/>
      <c r="AB21" s="531"/>
      <c r="AC21" s="400"/>
      <c r="AD21" s="851"/>
      <c r="AE21" s="400"/>
      <c r="AF21" s="400"/>
      <c r="AG21" s="400"/>
      <c r="AH21" s="400"/>
      <c r="AI21" s="508"/>
      <c r="AJ21" s="509"/>
      <c r="AK21" s="400"/>
      <c r="AL21" s="807"/>
      <c r="AM21" s="799"/>
      <c r="AN21" s="400"/>
      <c r="AO21" s="532"/>
      <c r="AP21" s="525"/>
      <c r="AQ21" s="858"/>
      <c r="AR21" s="805"/>
      <c r="AS21" s="400"/>
      <c r="AT21" s="1242"/>
      <c r="AU21" s="1244"/>
      <c r="AV21" s="1230"/>
      <c r="AW21" s="1227"/>
    </row>
    <row r="22" spans="1:49" s="1228" customFormat="1" ht="18" customHeight="1" x14ac:dyDescent="0.3">
      <c r="A22" s="559"/>
      <c r="B22" s="562"/>
      <c r="C22" s="551"/>
      <c r="D22" s="551"/>
      <c r="E22" s="551"/>
      <c r="F22" s="551"/>
      <c r="G22" s="551"/>
      <c r="H22" s="775"/>
      <c r="I22" s="776"/>
      <c r="J22" s="776"/>
      <c r="K22" s="770"/>
      <c r="L22" s="770"/>
      <c r="M22" s="770"/>
      <c r="N22" s="770"/>
      <c r="O22" s="770"/>
      <c r="P22" s="770"/>
      <c r="Q22" s="840"/>
      <c r="R22" s="559"/>
      <c r="S22" s="846"/>
      <c r="T22" s="847"/>
      <c r="U22" s="847"/>
      <c r="V22" s="847"/>
      <c r="W22" s="847"/>
      <c r="X22" s="847"/>
      <c r="Y22" s="848"/>
      <c r="Z22" s="510"/>
      <c r="AA22" s="530"/>
      <c r="AB22" s="531"/>
      <c r="AC22" s="400"/>
      <c r="AD22" s="400"/>
      <c r="AE22" s="400"/>
      <c r="AF22" s="400"/>
      <c r="AG22" s="400"/>
      <c r="AH22" s="400"/>
      <c r="AI22" s="508"/>
      <c r="AJ22" s="509"/>
      <c r="AK22" s="400"/>
      <c r="AL22" s="807"/>
      <c r="AM22" s="526"/>
      <c r="AN22" s="400"/>
      <c r="AO22" s="532"/>
      <c r="AP22" s="525"/>
      <c r="AQ22" s="858"/>
      <c r="AR22" s="805"/>
      <c r="AS22" s="400"/>
      <c r="AT22" s="1242"/>
      <c r="AU22" s="1244"/>
      <c r="AV22" s="1230"/>
      <c r="AW22" s="1227"/>
    </row>
    <row r="23" spans="1:49" s="1228" customFormat="1" ht="18" customHeight="1" x14ac:dyDescent="0.3">
      <c r="A23" s="559"/>
      <c r="B23" s="562"/>
      <c r="C23" s="551"/>
      <c r="D23" s="551"/>
      <c r="E23" s="551"/>
      <c r="F23" s="551"/>
      <c r="G23" s="551"/>
      <c r="H23" s="771" t="str">
        <f>"↥↥"&amp;"   "&amp;'Translate &amp; Prices'!$B$553&amp;" "&amp;B25&amp;"   "&amp;"↥↥"</f>
        <v>↥↥   Již neměnit po tom co vyberete Typ skla   ↥↥</v>
      </c>
      <c r="I23" s="771"/>
      <c r="J23" s="771"/>
      <c r="K23" s="771"/>
      <c r="L23" s="771"/>
      <c r="M23" s="771"/>
      <c r="N23" s="771"/>
      <c r="O23" s="771"/>
      <c r="P23" s="771"/>
      <c r="Q23" s="844"/>
      <c r="R23" s="559"/>
      <c r="S23" s="865"/>
      <c r="T23" s="866"/>
      <c r="U23" s="866"/>
      <c r="V23" s="866"/>
      <c r="W23" s="866"/>
      <c r="X23" s="866"/>
      <c r="Y23" s="867"/>
      <c r="Z23" s="510"/>
      <c r="AA23" s="530"/>
      <c r="AB23" s="531"/>
      <c r="AC23" s="507"/>
      <c r="AD23" s="400"/>
      <c r="AE23" s="400"/>
      <c r="AF23" s="400"/>
      <c r="AG23" s="400"/>
      <c r="AH23" s="400"/>
      <c r="AI23" s="508"/>
      <c r="AJ23" s="509"/>
      <c r="AK23" s="400"/>
      <c r="AL23" s="807"/>
      <c r="AM23" s="800">
        <v>0</v>
      </c>
      <c r="AN23" s="400"/>
      <c r="AO23" s="532"/>
      <c r="AP23" s="525"/>
      <c r="AQ23" s="858"/>
      <c r="AR23" s="805"/>
      <c r="AS23" s="400"/>
      <c r="AT23" s="1242"/>
      <c r="AU23" s="1244" t="e">
        <f>VLOOKUP(H17,kombinace_2!$BY:$BZ,2,0)</f>
        <v>#N/A</v>
      </c>
      <c r="AV23" s="1230"/>
      <c r="AW23" s="1227"/>
    </row>
    <row r="24" spans="1:49" s="1228" customFormat="1" ht="18" customHeight="1" x14ac:dyDescent="0.3">
      <c r="A24" s="559"/>
      <c r="B24" s="823" t="str">
        <f>'Translate &amp; Prices'!$B$542</f>
        <v>Typ folie</v>
      </c>
      <c r="C24" s="824"/>
      <c r="D24" s="824"/>
      <c r="E24" s="824"/>
      <c r="F24" s="824"/>
      <c r="G24" s="550"/>
      <c r="H24" s="756"/>
      <c r="I24" s="756"/>
      <c r="J24" s="756"/>
      <c r="K24" s="756"/>
      <c r="L24" s="756"/>
      <c r="M24" s="756"/>
      <c r="N24" s="756"/>
      <c r="O24" s="756"/>
      <c r="P24" s="756"/>
      <c r="Q24" s="825"/>
      <c r="R24" s="559"/>
      <c r="S24" s="798" t="str">
        <f>'Translate &amp; Prices'!$B$157</f>
        <v>Poznámky</v>
      </c>
      <c r="T24" s="798"/>
      <c r="U24" s="798"/>
      <c r="V24" s="570"/>
      <c r="W24" s="570"/>
      <c r="X24" s="570"/>
      <c r="Y24" s="570"/>
      <c r="Z24" s="510"/>
      <c r="AA24" s="530"/>
      <c r="AB24" s="531"/>
      <c r="AC24" s="822" t="str">
        <f>'Translate &amp; Prices'!$B$222</f>
        <v>Vzdálenost od kraje</v>
      </c>
      <c r="AD24" s="822"/>
      <c r="AE24" s="822"/>
      <c r="AF24" s="822"/>
      <c r="AG24" s="822"/>
      <c r="AH24" s="400"/>
      <c r="AI24" s="508"/>
      <c r="AJ24" s="509"/>
      <c r="AK24" s="400"/>
      <c r="AL24" s="807"/>
      <c r="AM24" s="800"/>
      <c r="AN24" s="400"/>
      <c r="AO24" s="532"/>
      <c r="AP24" s="535"/>
      <c r="AQ24" s="858"/>
      <c r="AR24" s="529"/>
      <c r="AS24" s="400"/>
      <c r="AT24" s="1242"/>
      <c r="AU24" s="1244" t="e">
        <f>CONCATENATE(AU23,"_",H19)</f>
        <v>#N/A</v>
      </c>
      <c r="AV24" s="1230"/>
      <c r="AW24" s="1227"/>
    </row>
    <row r="25" spans="1:49" s="1228" customFormat="1" ht="18" customHeight="1" x14ac:dyDescent="0.3">
      <c r="A25" s="559"/>
      <c r="B25" s="823" t="str">
        <f>'Translate &amp; Prices'!$B$153</f>
        <v>Typ skla</v>
      </c>
      <c r="C25" s="824"/>
      <c r="D25" s="824"/>
      <c r="E25" s="824"/>
      <c r="F25" s="824"/>
      <c r="G25" s="550"/>
      <c r="H25" s="756"/>
      <c r="I25" s="756"/>
      <c r="J25" s="756"/>
      <c r="K25" s="756"/>
      <c r="L25" s="756"/>
      <c r="M25" s="756"/>
      <c r="N25" s="756"/>
      <c r="O25" s="756"/>
      <c r="P25" s="756"/>
      <c r="Q25" s="825"/>
      <c r="R25" s="559"/>
      <c r="S25" s="808"/>
      <c r="T25" s="809"/>
      <c r="U25" s="809"/>
      <c r="V25" s="809"/>
      <c r="W25" s="809"/>
      <c r="X25" s="809"/>
      <c r="Y25" s="810"/>
      <c r="Z25" s="510"/>
      <c r="AA25" s="530"/>
      <c r="AB25" s="531"/>
      <c r="AC25" s="803">
        <v>0</v>
      </c>
      <c r="AD25" s="803"/>
      <c r="AE25" s="526"/>
      <c r="AF25" s="830" t="str">
        <f>('Translate &amp; Prices'!$B$528)&amp;" "&amp;H26&amp;" "&amp;"mm"</f>
        <v>Rozteč  mm</v>
      </c>
      <c r="AG25" s="830"/>
      <c r="AH25" s="830"/>
      <c r="AI25" s="830"/>
      <c r="AJ25" s="830"/>
      <c r="AK25" s="830"/>
      <c r="AL25" s="807"/>
      <c r="AM25" s="800"/>
      <c r="AN25" s="400"/>
      <c r="AO25" s="532"/>
      <c r="AP25" s="535"/>
      <c r="AQ25" s="858"/>
      <c r="AR25" s="400"/>
      <c r="AS25" s="400"/>
      <c r="AT25" s="1242"/>
      <c r="AU25" s="1245" t="e">
        <f>VLOOKUP(H27,kombinace_2!$BY:$BZ,2,0)</f>
        <v>#N/A</v>
      </c>
      <c r="AV25" s="1230"/>
      <c r="AW25" s="1227"/>
    </row>
    <row r="26" spans="1:49" s="1228" customFormat="1" ht="18" customHeight="1" x14ac:dyDescent="0.3">
      <c r="A26" s="559"/>
      <c r="B26" s="823" t="str">
        <f>'Translate &amp; Prices'!$B$529</f>
        <v>Rozteč úchytky (mm)</v>
      </c>
      <c r="C26" s="824"/>
      <c r="D26" s="824"/>
      <c r="E26" s="824"/>
      <c r="F26" s="824"/>
      <c r="G26" s="550"/>
      <c r="H26" s="773"/>
      <c r="I26" s="773"/>
      <c r="J26" s="773"/>
      <c r="K26" s="773"/>
      <c r="L26" s="773"/>
      <c r="M26" s="773"/>
      <c r="N26" s="773"/>
      <c r="O26" s="773"/>
      <c r="P26" s="773"/>
      <c r="Q26" s="836"/>
      <c r="R26" s="559"/>
      <c r="S26" s="811"/>
      <c r="T26" s="812"/>
      <c r="U26" s="812"/>
      <c r="V26" s="812"/>
      <c r="W26" s="812"/>
      <c r="X26" s="812"/>
      <c r="Y26" s="813"/>
      <c r="Z26" s="510"/>
      <c r="AA26" s="530"/>
      <c r="AB26" s="531"/>
      <c r="AC26" s="400"/>
      <c r="AD26" s="400"/>
      <c r="AE26" s="400"/>
      <c r="AF26" s="400"/>
      <c r="AG26" s="400"/>
      <c r="AH26" s="400"/>
      <c r="AI26" s="508"/>
      <c r="AJ26" s="802">
        <v>0</v>
      </c>
      <c r="AK26" s="400"/>
      <c r="AL26" s="400"/>
      <c r="AM26" s="400"/>
      <c r="AN26" s="400"/>
      <c r="AO26" s="532"/>
      <c r="AP26" s="525"/>
      <c r="AQ26" s="858"/>
      <c r="AR26" s="400"/>
      <c r="AS26" s="400"/>
      <c r="AT26" s="1242"/>
      <c r="AU26" s="1226"/>
      <c r="AV26" s="1226"/>
      <c r="AW26" s="1227"/>
    </row>
    <row r="27" spans="1:49" s="1228" customFormat="1" ht="18" customHeight="1" x14ac:dyDescent="0.3">
      <c r="A27" s="559"/>
      <c r="B27" s="823" t="str">
        <f>'Translate &amp; Prices'!$B$530</f>
        <v>Umístění úchytky</v>
      </c>
      <c r="C27" s="824"/>
      <c r="D27" s="824"/>
      <c r="E27" s="824"/>
      <c r="F27" s="824"/>
      <c r="G27" s="550"/>
      <c r="H27" s="756"/>
      <c r="I27" s="756"/>
      <c r="J27" s="756"/>
      <c r="K27" s="756"/>
      <c r="L27" s="756"/>
      <c r="M27" s="756"/>
      <c r="N27" s="756"/>
      <c r="O27" s="756"/>
      <c r="P27" s="756"/>
      <c r="Q27" s="825"/>
      <c r="R27" s="559"/>
      <c r="S27" s="811"/>
      <c r="T27" s="812"/>
      <c r="U27" s="812"/>
      <c r="V27" s="812"/>
      <c r="W27" s="812"/>
      <c r="X27" s="812"/>
      <c r="Y27" s="813"/>
      <c r="Z27" s="510"/>
      <c r="AA27" s="519"/>
      <c r="AB27" s="536"/>
      <c r="AC27" s="537"/>
      <c r="AD27" s="537"/>
      <c r="AE27" s="537"/>
      <c r="AF27" s="537"/>
      <c r="AG27" s="537"/>
      <c r="AH27" s="538"/>
      <c r="AI27" s="539"/>
      <c r="AJ27" s="802"/>
      <c r="AK27" s="537"/>
      <c r="AL27" s="537"/>
      <c r="AM27" s="537"/>
      <c r="AN27" s="537"/>
      <c r="AO27" s="540"/>
      <c r="AP27" s="525"/>
      <c r="AQ27" s="858"/>
      <c r="AR27" s="400"/>
      <c r="AS27" s="400"/>
      <c r="AT27" s="1242"/>
      <c r="AU27" s="1226"/>
      <c r="AV27" s="1226"/>
      <c r="AW27" s="1227"/>
    </row>
    <row r="28" spans="1:49" s="1228" customFormat="1" ht="18" customHeight="1" x14ac:dyDescent="0.3">
      <c r="A28" s="559"/>
      <c r="B28" s="823" t="str">
        <f>('Translate &amp; Prices'!$B$154)&amp;" "&amp;"-"&amp;" "&amp;('Translate &amp; Prices'!$B$149)&amp;" "&amp;" "&amp;2</f>
        <v>Počet kusů - Rámeček  2</v>
      </c>
      <c r="C28" s="824"/>
      <c r="D28" s="824"/>
      <c r="E28" s="824"/>
      <c r="F28" s="824"/>
      <c r="G28" s="550"/>
      <c r="H28" s="756"/>
      <c r="I28" s="756"/>
      <c r="J28" s="756"/>
      <c r="K28" s="756"/>
      <c r="L28" s="756"/>
      <c r="M28" s="756"/>
      <c r="N28" s="756"/>
      <c r="O28" s="756"/>
      <c r="P28" s="756"/>
      <c r="Q28" s="825"/>
      <c r="R28" s="559"/>
      <c r="S28" s="811"/>
      <c r="T28" s="812"/>
      <c r="U28" s="812"/>
      <c r="V28" s="812"/>
      <c r="W28" s="812"/>
      <c r="X28" s="812"/>
      <c r="Y28" s="813"/>
      <c r="Z28" s="510"/>
      <c r="AA28" s="541"/>
      <c r="AB28" s="542"/>
      <c r="AC28" s="543"/>
      <c r="AD28" s="543"/>
      <c r="AE28" s="542"/>
      <c r="AF28" s="542"/>
      <c r="AG28" s="542"/>
      <c r="AH28" s="542"/>
      <c r="AI28" s="544"/>
      <c r="AJ28" s="517"/>
      <c r="AK28" s="542"/>
      <c r="AL28" s="542"/>
      <c r="AM28" s="543"/>
      <c r="AN28" s="543"/>
      <c r="AO28" s="542"/>
      <c r="AP28" s="545"/>
      <c r="AQ28" s="529"/>
      <c r="AR28" s="400"/>
      <c r="AS28" s="507"/>
      <c r="AT28" s="1242"/>
      <c r="AU28" s="1226"/>
      <c r="AV28" s="1226"/>
      <c r="AW28" s="1227"/>
    </row>
    <row r="29" spans="1:49" s="1228" customFormat="1" ht="18" customHeight="1" x14ac:dyDescent="0.3">
      <c r="A29" s="559"/>
      <c r="B29" s="563"/>
      <c r="C29" s="549"/>
      <c r="D29" s="549"/>
      <c r="E29" s="549"/>
      <c r="F29" s="549"/>
      <c r="G29" s="549"/>
      <c r="H29" s="831"/>
      <c r="I29" s="831"/>
      <c r="J29" s="841" t="str">
        <f>S44&amp;" "&amp;'Translate &amp; Prices'!$B$205</f>
        <v xml:space="preserve"> Dodat včetně uvedeného kování</v>
      </c>
      <c r="K29" s="841"/>
      <c r="L29" s="841"/>
      <c r="M29" s="841"/>
      <c r="N29" s="841"/>
      <c r="O29" s="841"/>
      <c r="P29" s="841"/>
      <c r="Q29" s="842"/>
      <c r="R29" s="559"/>
      <c r="S29" s="811"/>
      <c r="T29" s="812"/>
      <c r="U29" s="812"/>
      <c r="V29" s="812"/>
      <c r="W29" s="812"/>
      <c r="X29" s="812"/>
      <c r="Y29" s="813"/>
      <c r="Z29" s="510"/>
      <c r="AA29" s="572" t="e">
        <f>VLOOKUP(H14,kombinace_1!$DN$7:$DO$21,2,0)</f>
        <v>#N/A</v>
      </c>
      <c r="AB29" s="857">
        <f>IFERROR(IF(AND($AU$17&lt;=2,H12=kombinace_1!BQ2),'Translate &amp; Prices'!$B$557,0),0)</f>
        <v>0</v>
      </c>
      <c r="AC29" s="857"/>
      <c r="AD29" s="857"/>
      <c r="AE29" s="857"/>
      <c r="AF29" s="857"/>
      <c r="AG29" s="857"/>
      <c r="AH29" s="857"/>
      <c r="AI29" s="857"/>
      <c r="AJ29" s="857"/>
      <c r="AK29" s="857"/>
      <c r="AL29" s="857"/>
      <c r="AM29" s="857"/>
      <c r="AN29" s="857"/>
      <c r="AO29" s="857"/>
      <c r="AP29" s="400"/>
      <c r="AQ29" s="400"/>
      <c r="AR29" s="400"/>
      <c r="AS29" s="400"/>
      <c r="AT29" s="1242"/>
      <c r="AU29" s="1226"/>
      <c r="AV29" s="1226"/>
      <c r="AW29" s="1227"/>
    </row>
    <row r="30" spans="1:49" s="1228" customFormat="1" ht="13.8" customHeight="1" x14ac:dyDescent="0.3">
      <c r="A30" s="559"/>
      <c r="B30" s="817" t="str">
        <f>'Translate &amp; Prices'!$B$158</f>
        <v>Cena rámečků celkem</v>
      </c>
      <c r="C30" s="761"/>
      <c r="D30" s="761"/>
      <c r="E30" s="761"/>
      <c r="F30" s="761"/>
      <c r="G30" s="761"/>
      <c r="H30" s="761"/>
      <c r="I30" s="761"/>
      <c r="J30" s="761"/>
      <c r="K30" s="764"/>
      <c r="L30" s="766">
        <f>((AT11+AT13+AT15+AT17+AT33+AT35+AT37)*AT43)*(1-Zakaznik!K23)</f>
        <v>0</v>
      </c>
      <c r="M30" s="766"/>
      <c r="N30" s="766"/>
      <c r="O30" s="766"/>
      <c r="P30" s="766"/>
      <c r="Q30" s="819"/>
      <c r="R30" s="559"/>
      <c r="S30" s="811"/>
      <c r="T30" s="812"/>
      <c r="U30" s="812"/>
      <c r="V30" s="812"/>
      <c r="W30" s="812"/>
      <c r="X30" s="812"/>
      <c r="Y30" s="813"/>
      <c r="Z30" s="510"/>
      <c r="AA30" s="507"/>
      <c r="AB30" s="507"/>
      <c r="AC30" s="507"/>
      <c r="AD30" s="507"/>
      <c r="AE30" s="529"/>
      <c r="AF30" s="826" t="str">
        <f>'Translate &amp; Prices'!$B$155</f>
        <v xml:space="preserve">Šířka </v>
      </c>
      <c r="AG30" s="826"/>
      <c r="AH30" s="826"/>
      <c r="AI30" s="801"/>
      <c r="AJ30" s="801"/>
      <c r="AK30" s="801"/>
      <c r="AL30" s="529"/>
      <c r="AM30" s="529"/>
      <c r="AN30" s="400"/>
      <c r="AO30" s="400"/>
      <c r="AP30" s="510"/>
      <c r="AQ30" s="510"/>
      <c r="AR30" s="510"/>
      <c r="AS30" s="510"/>
      <c r="AT30" s="1242"/>
      <c r="AU30" s="1226"/>
      <c r="AV30" s="1226"/>
      <c r="AW30" s="1227"/>
    </row>
    <row r="31" spans="1:49" s="1228" customFormat="1" ht="13.8" customHeight="1" thickBot="1" x14ac:dyDescent="0.35">
      <c r="A31" s="559"/>
      <c r="B31" s="818"/>
      <c r="C31" s="763"/>
      <c r="D31" s="763"/>
      <c r="E31" s="763"/>
      <c r="F31" s="763"/>
      <c r="G31" s="763"/>
      <c r="H31" s="763"/>
      <c r="I31" s="763"/>
      <c r="J31" s="763"/>
      <c r="K31" s="765"/>
      <c r="L31" s="768"/>
      <c r="M31" s="768"/>
      <c r="N31" s="768"/>
      <c r="O31" s="768"/>
      <c r="P31" s="768"/>
      <c r="Q31" s="820"/>
      <c r="R31" s="559"/>
      <c r="S31" s="814"/>
      <c r="T31" s="815"/>
      <c r="U31" s="815"/>
      <c r="V31" s="815"/>
      <c r="W31" s="815"/>
      <c r="X31" s="815"/>
      <c r="Y31" s="816"/>
      <c r="Z31" s="510"/>
      <c r="AA31" s="556"/>
      <c r="AB31" s="556"/>
      <c r="AC31" s="556"/>
      <c r="AD31" s="556"/>
      <c r="AE31" s="556"/>
      <c r="AF31" s="556"/>
      <c r="AG31" s="556"/>
      <c r="AH31" s="556"/>
      <c r="AI31" s="556"/>
      <c r="AJ31" s="556"/>
      <c r="AK31" s="556"/>
      <c r="AL31" s="556"/>
      <c r="AM31" s="556"/>
      <c r="AN31" s="556"/>
      <c r="AO31" s="797" t="str">
        <f>'Translate &amp; Prices'!$B$547</f>
        <v>Souhrn</v>
      </c>
      <c r="AP31" s="797"/>
      <c r="AQ31" s="797"/>
      <c r="AR31" s="797"/>
      <c r="AS31" s="510"/>
      <c r="AT31" s="1242"/>
      <c r="AU31" s="1226"/>
      <c r="AV31" s="1226"/>
      <c r="AW31" s="1227"/>
    </row>
    <row r="32" spans="1:49" s="1228" customFormat="1" ht="18.600000000000001" customHeight="1" x14ac:dyDescent="0.3">
      <c r="A32" s="559"/>
      <c r="B32" s="832" t="str">
        <f>'Translate &amp; Prices'!$B$151</f>
        <v>Uvedené ceny jsou bez DPH a nezahrnují cenu požadovaného kování!</v>
      </c>
      <c r="C32" s="832"/>
      <c r="D32" s="832"/>
      <c r="E32" s="832"/>
      <c r="F32" s="832"/>
      <c r="G32" s="832"/>
      <c r="H32" s="832"/>
      <c r="I32" s="832"/>
      <c r="J32" s="832"/>
      <c r="K32" s="832"/>
      <c r="L32" s="832"/>
      <c r="M32" s="832"/>
      <c r="N32" s="832"/>
      <c r="O32" s="832"/>
      <c r="P32" s="832"/>
      <c r="Q32" s="832"/>
      <c r="R32" s="559"/>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797"/>
      <c r="AP32" s="797"/>
      <c r="AQ32" s="797"/>
      <c r="AR32" s="797"/>
      <c r="AS32" s="559"/>
      <c r="AT32" s="1242"/>
      <c r="AU32" s="1226"/>
      <c r="AV32" s="1226"/>
      <c r="AW32" s="1227"/>
    </row>
    <row r="33" spans="1:55" s="1228" customFormat="1" ht="15" customHeight="1" x14ac:dyDescent="0.3">
      <c r="A33" s="559"/>
      <c r="B33" s="510"/>
      <c r="C33" s="510"/>
      <c r="D33" s="510"/>
      <c r="E33" s="510"/>
      <c r="F33" s="510"/>
      <c r="G33" s="510"/>
      <c r="H33" s="510"/>
      <c r="I33" s="510"/>
      <c r="J33" s="510"/>
      <c r="K33" s="510"/>
      <c r="L33" s="510"/>
      <c r="M33" s="510"/>
      <c r="N33" s="510"/>
      <c r="O33" s="510"/>
      <c r="P33" s="510"/>
      <c r="Q33" s="510"/>
      <c r="R33" s="559"/>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400"/>
      <c r="AS33" s="559"/>
      <c r="AT33" s="1242">
        <f>IF(kombinace_2!V1=2,((AR14/1000)*(AI30/1000))*'Translate &amp; Prices'!C77,0)</f>
        <v>0</v>
      </c>
      <c r="AU33" s="1226"/>
      <c r="AV33" s="1226"/>
      <c r="AW33" s="1227"/>
    </row>
    <row r="34" spans="1:55" s="1247" customFormat="1" ht="18.600000000000001" hidden="1" customHeight="1" x14ac:dyDescent="0.3">
      <c r="A34" s="1253"/>
      <c r="R34" s="1253"/>
      <c r="AS34" s="1246"/>
      <c r="AT34" s="1246"/>
    </row>
    <row r="35" spans="1:55" s="1228" customFormat="1" ht="15" hidden="1" customHeight="1" x14ac:dyDescent="0.3">
      <c r="A35" s="1230"/>
      <c r="R35" s="1230"/>
      <c r="S35" s="1244"/>
      <c r="T35" s="1248"/>
      <c r="AN35" s="1247"/>
      <c r="AO35" s="1247"/>
      <c r="AP35" s="1247"/>
      <c r="AQ35" s="1247"/>
      <c r="AR35" s="1225"/>
      <c r="AS35" s="1242"/>
      <c r="AT35" s="1242">
        <f>IF(kombinace_2!$V$1=3,IFERROR(((VLOOKUP(H24,'Translate &amp; Prices'!B74:C76,2,0))*(AR14/1000)),0),0)</f>
        <v>0</v>
      </c>
      <c r="AU35" s="1226"/>
      <c r="AV35" s="1226"/>
      <c r="AW35" s="1227"/>
      <c r="AX35" s="1227"/>
      <c r="AY35" s="1227"/>
      <c r="AZ35" s="1227"/>
      <c r="BA35" s="1227"/>
      <c r="BB35" s="1227"/>
      <c r="BC35" s="1227"/>
    </row>
    <row r="36" spans="1:55" s="1249" customFormat="1" ht="18.600000000000001" hidden="1" customHeight="1" x14ac:dyDescent="0.3">
      <c r="A36" s="1254"/>
      <c r="R36" s="1254"/>
      <c r="S36" s="1254"/>
      <c r="T36" s="1248"/>
      <c r="AK36" s="1255"/>
      <c r="AL36" s="1255"/>
      <c r="AN36" s="1247"/>
      <c r="AO36" s="1247"/>
      <c r="AP36" s="1247"/>
      <c r="AQ36" s="1247"/>
      <c r="AS36" s="1248"/>
      <c r="AT36" s="1248"/>
    </row>
    <row r="37" spans="1:55" ht="15" hidden="1" customHeight="1" x14ac:dyDescent="0.3">
      <c r="R37" s="1244"/>
      <c r="S37" s="1244"/>
      <c r="T37" s="1248"/>
      <c r="AK37" s="1255"/>
      <c r="AL37" s="1255"/>
      <c r="AN37" s="1247"/>
      <c r="AO37" s="1247"/>
      <c r="AP37" s="1247"/>
      <c r="AQ37" s="1247"/>
      <c r="AS37" s="1245" t="s">
        <v>18</v>
      </c>
      <c r="AT37" s="1245">
        <f>IFERROR((VLOOKUP(H25,'Translate &amp; Prices'!B82:D146,2,0))*((AI30/1000)*(AR14/1000)),0)</f>
        <v>0</v>
      </c>
    </row>
    <row r="38" spans="1:55" ht="18.600000000000001" hidden="1" customHeight="1" x14ac:dyDescent="0.3">
      <c r="R38" s="1244"/>
      <c r="S38" s="1244"/>
      <c r="T38" s="1248"/>
      <c r="AK38" s="1255"/>
      <c r="AL38" s="1255"/>
      <c r="AN38" s="1247"/>
      <c r="AO38" s="1247"/>
      <c r="AP38" s="1247"/>
      <c r="AQ38" s="1247"/>
      <c r="AS38" s="1245"/>
      <c r="AT38" s="1245"/>
    </row>
    <row r="39" spans="1:55" ht="15" hidden="1" customHeight="1" x14ac:dyDescent="0.3">
      <c r="R39" s="1244"/>
      <c r="S39" s="1244"/>
      <c r="T39" s="1248"/>
      <c r="AK39" s="1255"/>
      <c r="AL39" s="1255"/>
      <c r="AN39" s="1247"/>
      <c r="AO39" s="1247"/>
      <c r="AP39" s="1247"/>
      <c r="AQ39" s="1247"/>
      <c r="AS39" s="1245" t="s">
        <v>2438</v>
      </c>
      <c r="AT39" s="1245"/>
    </row>
    <row r="40" spans="1:55" ht="18.600000000000001" hidden="1" customHeight="1" x14ac:dyDescent="0.3">
      <c r="R40" s="1244"/>
      <c r="S40" s="1244"/>
      <c r="T40" s="1248"/>
      <c r="U40" s="1248"/>
      <c r="V40" s="1248"/>
      <c r="W40" s="1248"/>
      <c r="X40" s="1248"/>
      <c r="Y40" s="1255"/>
      <c r="Z40" s="1255"/>
      <c r="AA40" s="1255"/>
      <c r="AB40" s="1255"/>
      <c r="AC40" s="1255"/>
      <c r="AD40" s="1255"/>
      <c r="AE40" s="1255"/>
      <c r="AF40" s="1255"/>
      <c r="AG40" s="1255"/>
      <c r="AH40" s="1255"/>
      <c r="AI40" s="1255"/>
      <c r="AJ40" s="1255"/>
      <c r="AK40" s="1255"/>
      <c r="AL40" s="1255"/>
      <c r="AS40" s="1245"/>
      <c r="AT40" s="1245"/>
    </row>
    <row r="41" spans="1:55" ht="15" hidden="1" customHeight="1" x14ac:dyDescent="0.3">
      <c r="R41" s="1244"/>
      <c r="S41" s="1244"/>
      <c r="T41" s="1248"/>
      <c r="U41" s="1248"/>
      <c r="V41" s="1248"/>
      <c r="W41" s="1248"/>
      <c r="X41" s="1248"/>
      <c r="Y41" s="1255"/>
      <c r="Z41" s="1255"/>
      <c r="AA41" s="1255"/>
      <c r="AB41" s="1255"/>
      <c r="AC41" s="1255"/>
      <c r="AD41" s="1255"/>
      <c r="AE41" s="1255"/>
      <c r="AF41" s="1255"/>
      <c r="AG41" s="1255"/>
      <c r="AH41" s="1255"/>
      <c r="AI41" s="1255"/>
      <c r="AJ41" s="1255"/>
      <c r="AK41" s="1255"/>
      <c r="AL41" s="1255"/>
      <c r="AS41" s="1245" t="s">
        <v>2439</v>
      </c>
      <c r="AT41" s="1245"/>
    </row>
    <row r="42" spans="1:55" ht="18.600000000000001" hidden="1" customHeight="1" x14ac:dyDescent="0.3">
      <c r="R42" s="1244"/>
      <c r="S42" s="1244"/>
      <c r="T42" s="1248"/>
      <c r="U42" s="1248"/>
      <c r="V42" s="1248"/>
      <c r="W42" s="1248"/>
      <c r="X42" s="1248"/>
      <c r="Y42" s="1255"/>
      <c r="Z42" s="1255"/>
      <c r="AA42" s="1255"/>
      <c r="AB42" s="1255"/>
      <c r="AC42" s="1255"/>
      <c r="AD42" s="1255"/>
      <c r="AE42" s="1255"/>
      <c r="AF42" s="1255"/>
      <c r="AG42" s="1255"/>
      <c r="AH42" s="1255"/>
      <c r="AI42" s="1255"/>
      <c r="AJ42" s="1255"/>
      <c r="AK42" s="1255"/>
      <c r="AL42" s="1255"/>
      <c r="AS42" s="1245"/>
      <c r="AT42" s="1245"/>
    </row>
    <row r="43" spans="1:55" ht="15" hidden="1" customHeight="1" x14ac:dyDescent="0.3">
      <c r="R43" s="1244"/>
      <c r="S43" s="1244"/>
      <c r="T43" s="1248"/>
      <c r="U43" s="1248"/>
      <c r="V43" s="1248"/>
      <c r="W43" s="1248"/>
      <c r="X43" s="1248"/>
      <c r="Y43" s="1255"/>
      <c r="Z43" s="1255"/>
      <c r="AA43" s="1255"/>
      <c r="AB43" s="1255"/>
      <c r="AC43" s="1255"/>
      <c r="AD43" s="1255"/>
      <c r="AE43" s="1255"/>
      <c r="AF43" s="1255"/>
      <c r="AG43" s="1255"/>
      <c r="AH43" s="1255"/>
      <c r="AI43" s="1255"/>
      <c r="AJ43" s="1255"/>
      <c r="AK43" s="1255"/>
      <c r="AL43" s="1255"/>
      <c r="AS43" s="1245" t="s">
        <v>2440</v>
      </c>
      <c r="AT43" s="1245">
        <f>H28</f>
        <v>0</v>
      </c>
    </row>
    <row r="44" spans="1:55" ht="18.600000000000001" hidden="1" customHeight="1" x14ac:dyDescent="0.3">
      <c r="A44" s="1245"/>
      <c r="R44" s="1244"/>
      <c r="S44" s="1244"/>
      <c r="T44" s="1248"/>
      <c r="U44" s="1248"/>
      <c r="V44" s="1248"/>
      <c r="W44" s="1248"/>
      <c r="X44" s="1248"/>
      <c r="Y44" s="1255"/>
      <c r="Z44" s="1255"/>
      <c r="AA44" s="1255"/>
      <c r="AB44" s="1255"/>
      <c r="AC44" s="1255"/>
      <c r="AD44" s="1255"/>
      <c r="AE44" s="1255"/>
      <c r="AF44" s="1255"/>
      <c r="AG44" s="1255"/>
      <c r="AH44" s="1255"/>
      <c r="AI44" s="1255"/>
      <c r="AJ44" s="1255"/>
      <c r="AK44" s="1255"/>
      <c r="AL44" s="1255"/>
    </row>
    <row r="45" spans="1:55" ht="14.4" hidden="1" customHeight="1" x14ac:dyDescent="0.3">
      <c r="A45" s="1245"/>
      <c r="R45" s="1244"/>
      <c r="S45" s="1244"/>
      <c r="T45" s="1248"/>
      <c r="U45" s="1248"/>
      <c r="V45" s="1248"/>
      <c r="W45" s="1248"/>
      <c r="X45" s="1248"/>
      <c r="Y45" s="1255"/>
      <c r="Z45" s="1255"/>
      <c r="AA45" s="1255"/>
      <c r="AB45" s="1255"/>
      <c r="AC45" s="1255"/>
      <c r="AD45" s="1255"/>
      <c r="AE45" s="1255"/>
      <c r="AF45" s="1255"/>
      <c r="AG45" s="1255"/>
      <c r="AH45" s="1255"/>
      <c r="AI45" s="1255"/>
      <c r="AJ45" s="1255"/>
      <c r="AK45" s="1255"/>
      <c r="AL45" s="1255"/>
      <c r="AM45" s="1251"/>
    </row>
    <row r="46" spans="1:55" ht="14.4" hidden="1" customHeight="1" x14ac:dyDescent="0.3">
      <c r="R46" s="1244"/>
      <c r="S46" s="1244"/>
      <c r="T46" s="1248"/>
      <c r="U46" s="1248"/>
      <c r="V46" s="1248"/>
      <c r="W46" s="1248"/>
      <c r="X46" s="1248"/>
      <c r="Y46" s="1255"/>
      <c r="Z46" s="1255"/>
      <c r="AA46" s="1255"/>
      <c r="AB46" s="1255"/>
      <c r="AC46" s="1255"/>
      <c r="AD46" s="1255"/>
      <c r="AE46" s="1255"/>
      <c r="AF46" s="1255"/>
      <c r="AG46" s="1255"/>
      <c r="AH46" s="1255"/>
      <c r="AI46" s="1255"/>
      <c r="AJ46" s="1255"/>
      <c r="AK46" s="1255"/>
      <c r="AL46" s="1255"/>
      <c r="AM46" s="1251"/>
    </row>
    <row r="47" spans="1:55" ht="14.4" hidden="1" customHeight="1" x14ac:dyDescent="0.3">
      <c r="C47" s="1245"/>
      <c r="D47" s="1244"/>
      <c r="E47" s="1244"/>
      <c r="F47" s="1244"/>
      <c r="G47" s="1244"/>
      <c r="H47" s="1244"/>
      <c r="I47" s="1244"/>
      <c r="J47" s="1244"/>
      <c r="K47" s="1244"/>
      <c r="L47" s="1244"/>
      <c r="M47" s="1244"/>
      <c r="N47" s="1244"/>
      <c r="O47" s="1244"/>
      <c r="P47" s="1244"/>
      <c r="Q47" s="1244"/>
      <c r="R47" s="1244"/>
      <c r="S47" s="1244"/>
      <c r="T47" s="1248"/>
      <c r="U47" s="1248"/>
      <c r="V47" s="1248"/>
      <c r="W47" s="1248"/>
      <c r="X47" s="1248"/>
      <c r="Y47" s="1255"/>
      <c r="Z47" s="1255"/>
      <c r="AA47" s="1255"/>
      <c r="AB47" s="1255"/>
      <c r="AC47" s="1255"/>
      <c r="AD47" s="1255"/>
      <c r="AE47" s="1255"/>
      <c r="AF47" s="1255"/>
      <c r="AG47" s="1255"/>
      <c r="AH47" s="1255"/>
      <c r="AI47" s="1255"/>
      <c r="AJ47" s="1255"/>
      <c r="AK47" s="1255"/>
      <c r="AL47" s="1255"/>
    </row>
    <row r="48" spans="1:55" ht="14.4" hidden="1" customHeight="1" x14ac:dyDescent="0.3">
      <c r="R48" s="1244"/>
      <c r="S48" s="1244"/>
      <c r="T48" s="1248"/>
      <c r="U48" s="1248"/>
      <c r="V48" s="1248"/>
      <c r="W48" s="1248"/>
      <c r="X48" s="1248"/>
      <c r="Y48" s="1255"/>
      <c r="Z48" s="1255"/>
      <c r="AA48" s="1255"/>
      <c r="AB48" s="1255"/>
      <c r="AC48" s="1255"/>
      <c r="AD48" s="1255"/>
      <c r="AE48" s="1255"/>
      <c r="AF48" s="1255"/>
      <c r="AG48" s="1255"/>
      <c r="AH48" s="1255"/>
      <c r="AI48" s="1255"/>
      <c r="AJ48" s="1255"/>
      <c r="AK48" s="1255"/>
      <c r="AL48" s="1255"/>
    </row>
    <row r="49" spans="3:38" ht="14.4" hidden="1" customHeight="1" x14ac:dyDescent="0.3">
      <c r="R49" s="1244"/>
      <c r="S49" s="1244"/>
      <c r="T49" s="1248"/>
      <c r="U49" s="1248"/>
      <c r="V49" s="1248"/>
      <c r="W49" s="1248"/>
      <c r="X49" s="1248"/>
      <c r="Y49" s="1255"/>
      <c r="Z49" s="1255"/>
      <c r="AA49" s="1255"/>
      <c r="AB49" s="1255"/>
      <c r="AC49" s="1255"/>
      <c r="AD49" s="1255"/>
      <c r="AE49" s="1255"/>
      <c r="AF49" s="1255"/>
      <c r="AG49" s="1255"/>
      <c r="AH49" s="1255"/>
      <c r="AI49" s="1255"/>
      <c r="AJ49" s="1255"/>
      <c r="AK49" s="1255"/>
      <c r="AL49" s="1255"/>
    </row>
    <row r="50" spans="3:38" ht="14.4" hidden="1" customHeight="1" x14ac:dyDescent="0.3">
      <c r="R50" s="1244"/>
      <c r="S50" s="1244"/>
      <c r="T50" s="1248"/>
      <c r="U50" s="1248"/>
      <c r="V50" s="1248"/>
      <c r="W50" s="1248"/>
      <c r="X50" s="1248"/>
      <c r="Y50" s="1255"/>
      <c r="Z50" s="1255"/>
      <c r="AA50" s="1255"/>
      <c r="AB50" s="1255"/>
      <c r="AC50" s="1255"/>
      <c r="AD50" s="1255"/>
      <c r="AE50" s="1255"/>
      <c r="AF50" s="1255"/>
      <c r="AG50" s="1255"/>
      <c r="AH50" s="1255"/>
      <c r="AI50" s="1255"/>
      <c r="AJ50" s="1255"/>
      <c r="AK50" s="1255"/>
      <c r="AL50" s="1255"/>
    </row>
    <row r="51" spans="3:38" ht="14.4" hidden="1" customHeight="1" x14ac:dyDescent="0.3">
      <c r="R51" s="1244"/>
      <c r="S51" s="1244"/>
      <c r="T51" s="1248"/>
      <c r="U51" s="1248"/>
      <c r="V51" s="1248"/>
      <c r="W51" s="1248"/>
      <c r="X51" s="1248"/>
      <c r="Y51" s="1255"/>
      <c r="Z51" s="1255"/>
      <c r="AA51" s="1255"/>
      <c r="AB51" s="1255"/>
      <c r="AC51" s="1255"/>
      <c r="AD51" s="1255"/>
      <c r="AE51" s="1255"/>
      <c r="AF51" s="1255"/>
      <c r="AG51" s="1255"/>
      <c r="AH51" s="1255"/>
      <c r="AI51" s="1255"/>
      <c r="AJ51" s="1255"/>
      <c r="AK51" s="1255"/>
      <c r="AL51" s="1255"/>
    </row>
    <row r="52" spans="3:38" ht="14.4" hidden="1" customHeight="1" x14ac:dyDescent="0.3">
      <c r="R52" s="1244"/>
      <c r="S52" s="1244"/>
      <c r="T52" s="1248"/>
      <c r="U52" s="1248"/>
      <c r="V52" s="1248"/>
      <c r="W52" s="1248"/>
      <c r="X52" s="1248"/>
      <c r="Y52" s="1255"/>
      <c r="Z52" s="1255"/>
      <c r="AA52" s="1255"/>
      <c r="AB52" s="1255"/>
      <c r="AC52" s="1255"/>
      <c r="AD52" s="1255"/>
      <c r="AE52" s="1255"/>
      <c r="AF52" s="1255"/>
      <c r="AG52" s="1255"/>
      <c r="AH52" s="1255"/>
      <c r="AI52" s="1255"/>
      <c r="AJ52" s="1255"/>
      <c r="AK52" s="1255"/>
      <c r="AL52" s="1255"/>
    </row>
    <row r="53" spans="3:38" ht="14.4" hidden="1" customHeight="1" x14ac:dyDescent="0.3">
      <c r="R53" s="1244"/>
      <c r="S53" s="1244"/>
      <c r="T53" s="1248"/>
      <c r="U53" s="1248"/>
      <c r="V53" s="1248"/>
      <c r="W53" s="1248"/>
      <c r="X53" s="1248"/>
      <c r="Y53" s="1255"/>
      <c r="Z53" s="1255"/>
      <c r="AA53" s="1255"/>
      <c r="AB53" s="1255"/>
      <c r="AC53" s="1255"/>
      <c r="AD53" s="1255"/>
      <c r="AE53" s="1255"/>
      <c r="AF53" s="1255"/>
      <c r="AG53" s="1255"/>
      <c r="AH53" s="1255"/>
      <c r="AI53" s="1255"/>
      <c r="AJ53" s="1255"/>
      <c r="AK53" s="1255"/>
      <c r="AL53" s="1255"/>
    </row>
    <row r="54" spans="3:38" ht="14.4" hidden="1" customHeight="1" x14ac:dyDescent="0.3">
      <c r="R54" s="1244"/>
      <c r="S54" s="1244"/>
      <c r="T54" s="1248"/>
      <c r="U54" s="1248"/>
      <c r="V54" s="1248"/>
      <c r="W54" s="1248"/>
      <c r="X54" s="1248"/>
      <c r="Y54" s="1255"/>
      <c r="Z54" s="1255"/>
      <c r="AA54" s="1255"/>
      <c r="AB54" s="1255"/>
      <c r="AC54" s="1255"/>
      <c r="AD54" s="1255"/>
      <c r="AE54" s="1255"/>
      <c r="AF54" s="1255"/>
      <c r="AG54" s="1255"/>
      <c r="AH54" s="1255"/>
      <c r="AI54" s="1255"/>
      <c r="AJ54" s="1255"/>
      <c r="AK54" s="1255"/>
      <c r="AL54" s="1255"/>
    </row>
    <row r="55" spans="3:38" ht="14.4" hidden="1" customHeight="1" x14ac:dyDescent="0.3">
      <c r="R55" s="1244"/>
      <c r="S55" s="1244"/>
      <c r="T55" s="1248"/>
      <c r="U55" s="1248"/>
      <c r="V55" s="1248"/>
      <c r="W55" s="1248"/>
      <c r="X55" s="1248"/>
      <c r="Y55" s="1255"/>
      <c r="Z55" s="1255"/>
      <c r="AA55" s="1255"/>
      <c r="AB55" s="1255"/>
      <c r="AC55" s="1255"/>
      <c r="AD55" s="1255"/>
      <c r="AE55" s="1255"/>
      <c r="AF55" s="1255"/>
      <c r="AG55" s="1255"/>
      <c r="AH55" s="1255"/>
      <c r="AI55" s="1255"/>
      <c r="AJ55" s="1255"/>
      <c r="AK55" s="1255"/>
      <c r="AL55" s="1255"/>
    </row>
    <row r="56" spans="3:38" ht="14.4" hidden="1" customHeight="1" x14ac:dyDescent="0.3">
      <c r="R56" s="1244"/>
      <c r="S56" s="1244"/>
      <c r="T56" s="1248"/>
      <c r="U56" s="1248"/>
      <c r="V56" s="1248"/>
      <c r="W56" s="1248"/>
      <c r="X56" s="1248"/>
      <c r="Y56" s="1255"/>
      <c r="Z56" s="1255"/>
      <c r="AA56" s="1255"/>
      <c r="AB56" s="1255"/>
      <c r="AC56" s="1255"/>
      <c r="AD56" s="1255"/>
      <c r="AE56" s="1255"/>
      <c r="AF56" s="1255"/>
      <c r="AG56" s="1255"/>
      <c r="AH56" s="1255"/>
      <c r="AI56" s="1255"/>
      <c r="AJ56" s="1255"/>
      <c r="AK56" s="1255"/>
      <c r="AL56" s="1255"/>
    </row>
    <row r="57" spans="3:38" ht="14.4" hidden="1" customHeight="1" x14ac:dyDescent="0.3">
      <c r="R57" s="1244"/>
      <c r="S57" s="1244"/>
      <c r="T57" s="1248"/>
      <c r="U57" s="1248"/>
      <c r="V57" s="1248"/>
      <c r="W57" s="1248"/>
      <c r="X57" s="1248"/>
      <c r="Y57" s="1255"/>
      <c r="Z57" s="1255"/>
      <c r="AA57" s="1255"/>
      <c r="AB57" s="1255"/>
      <c r="AC57" s="1255"/>
      <c r="AD57" s="1255"/>
      <c r="AE57" s="1255"/>
      <c r="AF57" s="1255"/>
      <c r="AG57" s="1255"/>
      <c r="AH57" s="1255"/>
      <c r="AI57" s="1255"/>
      <c r="AJ57" s="1255"/>
      <c r="AK57" s="1255"/>
      <c r="AL57" s="1255"/>
    </row>
    <row r="58" spans="3:38" ht="14.4" hidden="1" customHeight="1" x14ac:dyDescent="0.3">
      <c r="R58" s="1244"/>
      <c r="S58" s="1244"/>
      <c r="T58" s="1248"/>
      <c r="U58" s="1248"/>
      <c r="V58" s="1248"/>
      <c r="W58" s="1248"/>
      <c r="X58" s="1248"/>
      <c r="Y58" s="1255"/>
      <c r="Z58" s="1255"/>
      <c r="AA58" s="1255"/>
      <c r="AB58" s="1255"/>
      <c r="AC58" s="1255"/>
      <c r="AD58" s="1255"/>
      <c r="AE58" s="1255"/>
      <c r="AF58" s="1255"/>
      <c r="AG58" s="1255"/>
      <c r="AH58" s="1255"/>
      <c r="AI58" s="1255"/>
      <c r="AJ58" s="1255"/>
      <c r="AK58" s="1255"/>
      <c r="AL58" s="1255"/>
    </row>
    <row r="59" spans="3:38" ht="14.4" hidden="1" customHeight="1" x14ac:dyDescent="0.3">
      <c r="R59" s="1244"/>
      <c r="S59" s="1244"/>
      <c r="T59" s="1248"/>
      <c r="U59" s="1248"/>
      <c r="V59" s="1248"/>
      <c r="W59" s="1248"/>
      <c r="X59" s="1248"/>
      <c r="Y59" s="1255"/>
      <c r="Z59" s="1255"/>
      <c r="AA59" s="1255"/>
      <c r="AB59" s="1255"/>
      <c r="AC59" s="1255"/>
      <c r="AD59" s="1255"/>
      <c r="AE59" s="1255"/>
      <c r="AF59" s="1255"/>
      <c r="AG59" s="1255"/>
      <c r="AH59" s="1255"/>
      <c r="AI59" s="1255"/>
      <c r="AJ59" s="1255"/>
      <c r="AK59" s="1255"/>
      <c r="AL59" s="1255"/>
    </row>
    <row r="60" spans="3:38" ht="14.4" hidden="1" customHeight="1" x14ac:dyDescent="0.3">
      <c r="R60" s="1244"/>
      <c r="S60" s="1244"/>
      <c r="T60" s="1248"/>
      <c r="U60" s="1248"/>
      <c r="V60" s="1248"/>
      <c r="W60" s="1248"/>
      <c r="X60" s="1248"/>
      <c r="Y60" s="1255"/>
      <c r="Z60" s="1255"/>
      <c r="AA60" s="1255"/>
      <c r="AB60" s="1255"/>
      <c r="AC60" s="1255"/>
      <c r="AD60" s="1255"/>
      <c r="AE60" s="1255"/>
      <c r="AF60" s="1255"/>
      <c r="AG60" s="1255"/>
      <c r="AH60" s="1255"/>
      <c r="AI60" s="1255"/>
      <c r="AJ60" s="1255"/>
      <c r="AK60" s="1255"/>
      <c r="AL60" s="1255"/>
    </row>
    <row r="61" spans="3:38" ht="14.4" hidden="1" customHeight="1" x14ac:dyDescent="0.3">
      <c r="R61" s="1244"/>
      <c r="S61" s="1244"/>
      <c r="T61" s="1248"/>
      <c r="U61" s="1248"/>
      <c r="V61" s="1248"/>
      <c r="W61" s="1248"/>
      <c r="X61" s="1248"/>
      <c r="Y61" s="1255"/>
      <c r="Z61" s="1255"/>
      <c r="AA61" s="1255"/>
      <c r="AB61" s="1255"/>
      <c r="AC61" s="1255"/>
      <c r="AD61" s="1255"/>
      <c r="AE61" s="1255"/>
      <c r="AF61" s="1255"/>
      <c r="AG61" s="1255"/>
      <c r="AH61" s="1255"/>
      <c r="AI61" s="1255"/>
      <c r="AJ61" s="1255"/>
      <c r="AK61" s="1255"/>
      <c r="AL61" s="1255"/>
    </row>
    <row r="62" spans="3:38" ht="14.4" hidden="1" customHeight="1" x14ac:dyDescent="0.3">
      <c r="R62" s="1244"/>
      <c r="S62" s="1244"/>
      <c r="T62" s="1248"/>
      <c r="U62" s="1248"/>
      <c r="V62" s="1248"/>
      <c r="W62" s="1248"/>
      <c r="X62" s="1248"/>
      <c r="Y62" s="1255"/>
      <c r="Z62" s="1255"/>
      <c r="AA62" s="1255"/>
      <c r="AB62" s="1255"/>
      <c r="AC62" s="1255"/>
      <c r="AD62" s="1255"/>
      <c r="AE62" s="1255"/>
      <c r="AF62" s="1255"/>
      <c r="AG62" s="1255"/>
      <c r="AH62" s="1255"/>
      <c r="AI62" s="1255"/>
      <c r="AJ62" s="1255"/>
      <c r="AK62" s="1255"/>
      <c r="AL62" s="1255"/>
    </row>
    <row r="63" spans="3:38" ht="14.4" hidden="1" customHeight="1" x14ac:dyDescent="0.3">
      <c r="C63" s="1245"/>
      <c r="D63" s="1244"/>
      <c r="E63" s="1244"/>
      <c r="F63" s="1244"/>
      <c r="G63" s="1244"/>
      <c r="H63" s="1244"/>
      <c r="I63" s="1244"/>
      <c r="J63" s="1244"/>
      <c r="K63" s="1244"/>
      <c r="L63" s="1244"/>
      <c r="M63" s="1244"/>
      <c r="N63" s="1244"/>
      <c r="O63" s="1244"/>
      <c r="P63" s="1244"/>
      <c r="Q63" s="1244"/>
      <c r="R63" s="1244"/>
      <c r="S63" s="1244"/>
      <c r="T63" s="1248"/>
      <c r="U63" s="1248"/>
      <c r="V63" s="1248"/>
      <c r="W63" s="1248"/>
      <c r="X63" s="1248"/>
      <c r="Y63" s="1255"/>
      <c r="Z63" s="1255"/>
      <c r="AA63" s="1255"/>
      <c r="AB63" s="1255"/>
      <c r="AC63" s="1255"/>
      <c r="AD63" s="1255"/>
      <c r="AE63" s="1255"/>
      <c r="AF63" s="1255"/>
      <c r="AG63" s="1255"/>
      <c r="AH63" s="1255"/>
      <c r="AI63" s="1255"/>
      <c r="AJ63" s="1255"/>
      <c r="AK63" s="1255"/>
      <c r="AL63" s="1255"/>
    </row>
    <row r="64" spans="3:38" ht="14.4" hidden="1" customHeight="1" x14ac:dyDescent="0.3">
      <c r="C64" s="1245"/>
      <c r="D64" s="1244"/>
      <c r="E64" s="1244"/>
      <c r="F64" s="1244"/>
      <c r="G64" s="1244"/>
      <c r="H64" s="1244"/>
      <c r="I64" s="1244"/>
      <c r="J64" s="1244"/>
      <c r="K64" s="1244"/>
      <c r="L64" s="1244"/>
      <c r="M64" s="1244"/>
      <c r="N64" s="1244"/>
      <c r="O64" s="1244"/>
      <c r="P64" s="1244"/>
      <c r="Q64" s="1244"/>
      <c r="R64" s="1244"/>
      <c r="S64" s="1244"/>
      <c r="T64" s="1248"/>
      <c r="U64" s="1248"/>
      <c r="V64" s="1248"/>
      <c r="W64" s="1248"/>
      <c r="X64" s="1248"/>
      <c r="Y64" s="1255"/>
      <c r="Z64" s="1255"/>
      <c r="AA64" s="1255"/>
      <c r="AB64" s="1255"/>
      <c r="AC64" s="1255"/>
      <c r="AD64" s="1255"/>
      <c r="AE64" s="1255"/>
      <c r="AF64" s="1255"/>
      <c r="AG64" s="1255"/>
      <c r="AH64" s="1255"/>
      <c r="AI64" s="1255"/>
      <c r="AJ64" s="1255"/>
      <c r="AK64" s="1255"/>
      <c r="AL64" s="1255"/>
    </row>
    <row r="65" spans="3:38" ht="14.4" hidden="1" customHeight="1" x14ac:dyDescent="0.3">
      <c r="C65" s="1245"/>
      <c r="D65" s="1244"/>
      <c r="E65" s="1244"/>
      <c r="F65" s="1244"/>
      <c r="G65" s="1244"/>
      <c r="H65" s="1244"/>
      <c r="I65" s="1244"/>
      <c r="J65" s="1244"/>
      <c r="K65" s="1244"/>
      <c r="L65" s="1244"/>
      <c r="M65" s="1244"/>
      <c r="N65" s="1244"/>
      <c r="O65" s="1244"/>
      <c r="P65" s="1244"/>
      <c r="Q65" s="1244"/>
      <c r="R65" s="1244"/>
      <c r="S65" s="1244"/>
      <c r="T65" s="1248"/>
      <c r="U65" s="1248"/>
      <c r="V65" s="1248"/>
      <c r="W65" s="1248"/>
      <c r="X65" s="1248"/>
      <c r="Y65" s="1255"/>
      <c r="Z65" s="1255"/>
      <c r="AA65" s="1255"/>
      <c r="AB65" s="1255"/>
      <c r="AC65" s="1255"/>
      <c r="AD65" s="1255"/>
      <c r="AE65" s="1255"/>
      <c r="AF65" s="1255"/>
      <c r="AG65" s="1255"/>
      <c r="AH65" s="1255"/>
      <c r="AI65" s="1255"/>
      <c r="AJ65" s="1255"/>
      <c r="AK65" s="1255"/>
      <c r="AL65" s="1255"/>
    </row>
    <row r="66" spans="3:38" ht="14.4" hidden="1" customHeight="1" x14ac:dyDescent="0.3">
      <c r="C66" s="1245"/>
      <c r="D66" s="1244"/>
      <c r="E66" s="1244"/>
      <c r="F66" s="1244"/>
      <c r="G66" s="1244"/>
      <c r="H66" s="1244"/>
      <c r="I66" s="1244"/>
      <c r="J66" s="1244"/>
      <c r="K66" s="1244"/>
      <c r="L66" s="1244"/>
      <c r="M66" s="1244"/>
      <c r="N66" s="1244"/>
      <c r="O66" s="1244"/>
      <c r="P66" s="1244"/>
      <c r="Q66" s="1244"/>
      <c r="R66" s="1244"/>
      <c r="S66" s="1244"/>
      <c r="T66" s="1248"/>
      <c r="U66" s="1248"/>
      <c r="V66" s="1248"/>
      <c r="W66" s="1248"/>
      <c r="X66" s="1248"/>
      <c r="Y66" s="1255"/>
      <c r="Z66" s="1255"/>
      <c r="AA66" s="1255"/>
      <c r="AB66" s="1255"/>
      <c r="AC66" s="1255"/>
      <c r="AD66" s="1255"/>
      <c r="AE66" s="1255"/>
      <c r="AF66" s="1255"/>
      <c r="AG66" s="1255"/>
      <c r="AH66" s="1255"/>
      <c r="AI66" s="1255"/>
      <c r="AJ66" s="1255"/>
      <c r="AK66" s="1255"/>
      <c r="AL66" s="1255"/>
    </row>
    <row r="67" spans="3:38" ht="14.4" hidden="1" customHeight="1" x14ac:dyDescent="0.3">
      <c r="C67" s="1245"/>
      <c r="D67" s="1244"/>
      <c r="E67" s="1244"/>
      <c r="F67" s="1244"/>
      <c r="G67" s="1244"/>
      <c r="H67" s="1244"/>
      <c r="I67" s="1244"/>
      <c r="J67" s="1244"/>
      <c r="K67" s="1244"/>
      <c r="L67" s="1244"/>
      <c r="M67" s="1244"/>
      <c r="N67" s="1244"/>
      <c r="O67" s="1244"/>
      <c r="P67" s="1244"/>
      <c r="Q67" s="1244"/>
      <c r="R67" s="1244"/>
      <c r="S67" s="1244"/>
      <c r="T67" s="1248"/>
      <c r="U67" s="1248"/>
      <c r="V67" s="1248"/>
      <c r="W67" s="1248"/>
      <c r="X67" s="1248"/>
      <c r="Y67" s="1255"/>
      <c r="Z67" s="1255"/>
      <c r="AA67" s="1255"/>
      <c r="AB67" s="1255"/>
      <c r="AC67" s="1255"/>
      <c r="AD67" s="1255"/>
      <c r="AE67" s="1255"/>
      <c r="AF67" s="1255"/>
      <c r="AG67" s="1255"/>
      <c r="AH67" s="1255"/>
      <c r="AI67" s="1255"/>
      <c r="AJ67" s="1255"/>
      <c r="AK67" s="1255"/>
      <c r="AL67" s="1255"/>
    </row>
    <row r="68" spans="3:38" ht="14.4" hidden="1" customHeight="1" x14ac:dyDescent="0.3">
      <c r="C68" s="1245"/>
      <c r="D68" s="1244"/>
      <c r="E68" s="1244"/>
      <c r="F68" s="1244"/>
      <c r="G68" s="1244"/>
      <c r="H68" s="1244"/>
      <c r="I68" s="1244"/>
      <c r="J68" s="1244"/>
      <c r="K68" s="1244"/>
      <c r="L68" s="1244"/>
      <c r="M68" s="1244"/>
      <c r="N68" s="1244"/>
      <c r="O68" s="1244"/>
      <c r="P68" s="1244"/>
      <c r="Q68" s="1244"/>
      <c r="R68" s="1244"/>
      <c r="S68" s="1244"/>
      <c r="T68" s="1248"/>
      <c r="U68" s="1248"/>
      <c r="V68" s="1248"/>
      <c r="W68" s="1248"/>
      <c r="X68" s="1248"/>
      <c r="Y68" s="1255"/>
      <c r="Z68" s="1255"/>
      <c r="AA68" s="1255"/>
      <c r="AB68" s="1255"/>
      <c r="AC68" s="1255"/>
      <c r="AD68" s="1255"/>
      <c r="AE68" s="1255"/>
      <c r="AF68" s="1255"/>
      <c r="AG68" s="1255"/>
      <c r="AH68" s="1255"/>
      <c r="AI68" s="1255"/>
      <c r="AJ68" s="1255"/>
      <c r="AK68" s="1255"/>
      <c r="AL68" s="1255"/>
    </row>
    <row r="69" spans="3:38" ht="14.4" hidden="1" customHeight="1" x14ac:dyDescent="0.3">
      <c r="C69" s="1245"/>
      <c r="D69" s="1244"/>
      <c r="E69" s="1244"/>
      <c r="F69" s="1244"/>
      <c r="G69" s="1244"/>
      <c r="H69" s="1244"/>
      <c r="I69" s="1244"/>
      <c r="J69" s="1244"/>
      <c r="K69" s="1244"/>
      <c r="L69" s="1244"/>
      <c r="M69" s="1244"/>
      <c r="N69" s="1244"/>
      <c r="O69" s="1244"/>
      <c r="P69" s="1244"/>
      <c r="Q69" s="1244"/>
      <c r="R69" s="1244"/>
      <c r="S69" s="1244"/>
      <c r="T69" s="1248"/>
      <c r="U69" s="1248"/>
      <c r="V69" s="1248"/>
      <c r="W69" s="1248"/>
      <c r="X69" s="1248"/>
      <c r="Y69" s="1255"/>
      <c r="Z69" s="1255"/>
      <c r="AA69" s="1255"/>
      <c r="AB69" s="1255"/>
      <c r="AC69" s="1255"/>
      <c r="AD69" s="1255"/>
      <c r="AE69" s="1255"/>
      <c r="AF69" s="1255"/>
      <c r="AG69" s="1255"/>
      <c r="AH69" s="1255"/>
      <c r="AI69" s="1255"/>
      <c r="AJ69" s="1255"/>
      <c r="AK69" s="1255"/>
      <c r="AL69" s="1255"/>
    </row>
    <row r="70" spans="3:38" ht="14.4" hidden="1" customHeight="1" x14ac:dyDescent="0.3">
      <c r="C70" s="1245"/>
      <c r="D70" s="1244"/>
      <c r="E70" s="1244"/>
      <c r="F70" s="1244"/>
      <c r="G70" s="1244"/>
      <c r="H70" s="1244"/>
      <c r="I70" s="1244"/>
      <c r="J70" s="1244"/>
      <c r="K70" s="1244"/>
      <c r="L70" s="1244"/>
      <c r="M70" s="1244"/>
      <c r="N70" s="1244"/>
      <c r="O70" s="1244"/>
      <c r="P70" s="1244"/>
      <c r="Q70" s="1244"/>
      <c r="R70" s="1244"/>
      <c r="S70" s="1244"/>
      <c r="T70" s="1248"/>
      <c r="U70" s="1248"/>
      <c r="V70" s="1248"/>
      <c r="W70" s="1248"/>
      <c r="X70" s="1248"/>
      <c r="Y70" s="1255"/>
      <c r="Z70" s="1255"/>
      <c r="AA70" s="1255"/>
      <c r="AB70" s="1255"/>
      <c r="AC70" s="1255"/>
      <c r="AD70" s="1255"/>
      <c r="AE70" s="1255"/>
      <c r="AF70" s="1255"/>
      <c r="AG70" s="1255"/>
      <c r="AH70" s="1255"/>
      <c r="AI70" s="1255"/>
      <c r="AJ70" s="1255"/>
      <c r="AK70" s="1255"/>
      <c r="AL70" s="1255"/>
    </row>
    <row r="71" spans="3:38" ht="14.4" hidden="1" customHeight="1" x14ac:dyDescent="0.3">
      <c r="C71" s="1245"/>
      <c r="D71" s="1244"/>
      <c r="E71" s="1244"/>
      <c r="F71" s="1244"/>
      <c r="G71" s="1244"/>
      <c r="H71" s="1244"/>
      <c r="I71" s="1244"/>
      <c r="J71" s="1244"/>
      <c r="K71" s="1244"/>
      <c r="L71" s="1244"/>
      <c r="M71" s="1244"/>
      <c r="N71" s="1244"/>
      <c r="O71" s="1244"/>
      <c r="P71" s="1244"/>
      <c r="Q71" s="1244"/>
      <c r="R71" s="1244"/>
      <c r="S71" s="1244"/>
      <c r="T71" s="1248"/>
      <c r="U71" s="1248"/>
      <c r="V71" s="1248"/>
      <c r="W71" s="1248"/>
      <c r="X71" s="1248"/>
      <c r="Y71" s="1255"/>
      <c r="Z71" s="1255"/>
      <c r="AA71" s="1255"/>
      <c r="AB71" s="1255"/>
      <c r="AC71" s="1255"/>
      <c r="AD71" s="1255"/>
      <c r="AE71" s="1255"/>
      <c r="AF71" s="1255"/>
      <c r="AG71" s="1255"/>
      <c r="AH71" s="1255"/>
      <c r="AI71" s="1255"/>
      <c r="AJ71" s="1255"/>
      <c r="AK71" s="1255"/>
      <c r="AL71" s="1255"/>
    </row>
    <row r="72" spans="3:38" ht="14.4" hidden="1" customHeight="1" x14ac:dyDescent="0.3">
      <c r="C72" s="1245"/>
      <c r="D72" s="1244"/>
      <c r="E72" s="1244"/>
      <c r="F72" s="1244"/>
      <c r="G72" s="1244"/>
      <c r="H72" s="1244"/>
      <c r="I72" s="1244"/>
      <c r="J72" s="1244"/>
      <c r="K72" s="1244"/>
      <c r="L72" s="1244"/>
      <c r="M72" s="1244"/>
      <c r="N72" s="1244"/>
      <c r="O72" s="1244"/>
      <c r="P72" s="1244"/>
      <c r="Q72" s="1244"/>
      <c r="R72" s="1244"/>
      <c r="S72" s="1244"/>
      <c r="T72" s="1248"/>
      <c r="U72" s="1248"/>
      <c r="V72" s="1248"/>
      <c r="W72" s="1248"/>
      <c r="X72" s="1248"/>
      <c r="Y72" s="1255"/>
      <c r="Z72" s="1255"/>
      <c r="AA72" s="1255"/>
      <c r="AB72" s="1255"/>
      <c r="AC72" s="1255"/>
      <c r="AD72" s="1255"/>
      <c r="AE72" s="1255"/>
      <c r="AF72" s="1255"/>
      <c r="AG72" s="1255"/>
      <c r="AH72" s="1255"/>
      <c r="AI72" s="1255"/>
      <c r="AJ72" s="1255"/>
      <c r="AK72" s="1255"/>
      <c r="AL72" s="1255"/>
    </row>
    <row r="73" spans="3:38" ht="14.4" hidden="1" customHeight="1" x14ac:dyDescent="0.3">
      <c r="C73" s="1245"/>
      <c r="D73" s="1244"/>
      <c r="E73" s="1244"/>
      <c r="F73" s="1244"/>
      <c r="G73" s="1244"/>
      <c r="H73" s="1244"/>
      <c r="I73" s="1244"/>
      <c r="J73" s="1244"/>
      <c r="K73" s="1244"/>
      <c r="L73" s="1244"/>
      <c r="M73" s="1244"/>
      <c r="N73" s="1244"/>
      <c r="O73" s="1244"/>
      <c r="P73" s="1244"/>
      <c r="Q73" s="1244"/>
      <c r="R73" s="1244"/>
      <c r="S73" s="1244"/>
      <c r="T73" s="1248"/>
      <c r="U73" s="1248"/>
      <c r="V73" s="1248"/>
      <c r="W73" s="1248"/>
      <c r="X73" s="1248"/>
      <c r="Y73" s="1255"/>
      <c r="Z73" s="1255"/>
      <c r="AA73" s="1255"/>
      <c r="AB73" s="1255"/>
      <c r="AC73" s="1255"/>
      <c r="AD73" s="1255"/>
      <c r="AE73" s="1255"/>
      <c r="AF73" s="1255"/>
      <c r="AG73" s="1255"/>
      <c r="AH73" s="1255"/>
      <c r="AI73" s="1255"/>
      <c r="AJ73" s="1255"/>
      <c r="AK73" s="1255"/>
      <c r="AL73" s="1255"/>
    </row>
    <row r="74" spans="3:38" ht="14.4" hidden="1" customHeight="1" x14ac:dyDescent="0.3">
      <c r="C74" s="1245"/>
      <c r="D74" s="1244"/>
      <c r="E74" s="1244"/>
      <c r="F74" s="1244"/>
      <c r="G74" s="1244"/>
      <c r="H74" s="1244"/>
      <c r="I74" s="1244"/>
      <c r="J74" s="1244"/>
      <c r="K74" s="1244"/>
      <c r="L74" s="1244"/>
      <c r="M74" s="1244"/>
      <c r="N74" s="1244"/>
      <c r="O74" s="1244"/>
      <c r="P74" s="1244"/>
      <c r="Q74" s="1244"/>
      <c r="R74" s="1244"/>
      <c r="S74" s="1244"/>
      <c r="T74" s="1248"/>
      <c r="U74" s="1248"/>
      <c r="V74" s="1248"/>
      <c r="W74" s="1248"/>
      <c r="X74" s="1248"/>
      <c r="Y74" s="1255"/>
      <c r="Z74" s="1255"/>
      <c r="AA74" s="1255"/>
      <c r="AB74" s="1255"/>
      <c r="AC74" s="1255"/>
      <c r="AD74" s="1255"/>
      <c r="AE74" s="1255"/>
      <c r="AF74" s="1255"/>
      <c r="AG74" s="1255"/>
      <c r="AH74" s="1255"/>
      <c r="AI74" s="1255"/>
      <c r="AJ74" s="1255"/>
      <c r="AK74" s="1255"/>
      <c r="AL74" s="1255"/>
    </row>
    <row r="75" spans="3:38" ht="14.4" hidden="1" customHeight="1" x14ac:dyDescent="0.3">
      <c r="C75" s="1245"/>
      <c r="D75" s="1244"/>
      <c r="E75" s="1244"/>
      <c r="F75" s="1244"/>
      <c r="G75" s="1244"/>
      <c r="H75" s="1244"/>
      <c r="I75" s="1244"/>
      <c r="J75" s="1244"/>
      <c r="K75" s="1244"/>
      <c r="L75" s="1244"/>
      <c r="M75" s="1244"/>
      <c r="N75" s="1244"/>
      <c r="O75" s="1244"/>
      <c r="P75" s="1244"/>
      <c r="Q75" s="1244"/>
      <c r="R75" s="1244"/>
      <c r="S75" s="1244"/>
      <c r="T75" s="1248"/>
      <c r="U75" s="1248"/>
      <c r="V75" s="1248"/>
      <c r="W75" s="1248"/>
      <c r="X75" s="1248"/>
      <c r="Y75" s="1255"/>
      <c r="Z75" s="1255"/>
      <c r="AA75" s="1255"/>
      <c r="AB75" s="1255"/>
      <c r="AC75" s="1255"/>
      <c r="AD75" s="1255"/>
      <c r="AE75" s="1255"/>
      <c r="AF75" s="1255"/>
      <c r="AG75" s="1255"/>
      <c r="AH75" s="1255"/>
      <c r="AI75" s="1255"/>
      <c r="AJ75" s="1255"/>
      <c r="AK75" s="1255"/>
      <c r="AL75" s="1255"/>
    </row>
    <row r="76" spans="3:38" ht="14.4" hidden="1" customHeight="1" x14ac:dyDescent="0.3">
      <c r="C76" s="1245"/>
      <c r="D76" s="1244"/>
      <c r="E76" s="1244"/>
      <c r="F76" s="1244"/>
      <c r="G76" s="1244"/>
      <c r="H76" s="1244"/>
      <c r="I76" s="1244"/>
      <c r="J76" s="1244"/>
      <c r="K76" s="1244"/>
      <c r="L76" s="1244"/>
      <c r="M76" s="1244"/>
      <c r="N76" s="1244"/>
      <c r="O76" s="1244"/>
      <c r="P76" s="1244"/>
      <c r="Q76" s="1244"/>
      <c r="R76" s="1244"/>
      <c r="S76" s="1244"/>
      <c r="T76" s="1248"/>
      <c r="U76" s="1248"/>
      <c r="V76" s="1248"/>
      <c r="W76" s="1248"/>
      <c r="X76" s="1248"/>
      <c r="Y76" s="1255"/>
      <c r="Z76" s="1255"/>
      <c r="AA76" s="1255"/>
      <c r="AB76" s="1255"/>
      <c r="AC76" s="1255"/>
      <c r="AD76" s="1255"/>
      <c r="AE76" s="1255"/>
      <c r="AF76" s="1255"/>
      <c r="AG76" s="1255"/>
      <c r="AH76" s="1255"/>
      <c r="AI76" s="1255"/>
      <c r="AJ76" s="1255"/>
      <c r="AK76" s="1255"/>
      <c r="AL76" s="1255"/>
    </row>
    <row r="77" spans="3:38" ht="14.4" hidden="1" customHeight="1" x14ac:dyDescent="0.3">
      <c r="C77" s="1245"/>
      <c r="D77" s="1244"/>
      <c r="E77" s="1244"/>
      <c r="F77" s="1244"/>
      <c r="G77" s="1244"/>
      <c r="H77" s="1244"/>
      <c r="I77" s="1244"/>
      <c r="J77" s="1244"/>
      <c r="K77" s="1244"/>
      <c r="L77" s="1244"/>
      <c r="M77" s="1244"/>
      <c r="N77" s="1244"/>
      <c r="O77" s="1244"/>
      <c r="P77" s="1244"/>
      <c r="Q77" s="1244"/>
      <c r="R77" s="1244"/>
      <c r="S77" s="1244"/>
      <c r="T77" s="1248"/>
      <c r="U77" s="1248"/>
      <c r="V77" s="1248"/>
      <c r="W77" s="1248"/>
      <c r="X77" s="1248"/>
      <c r="Y77" s="1255"/>
      <c r="Z77" s="1255"/>
      <c r="AA77" s="1255"/>
      <c r="AB77" s="1255"/>
      <c r="AC77" s="1255"/>
      <c r="AD77" s="1255"/>
      <c r="AE77" s="1255"/>
      <c r="AF77" s="1255"/>
      <c r="AG77" s="1255"/>
      <c r="AH77" s="1255"/>
      <c r="AI77" s="1255"/>
      <c r="AJ77" s="1255"/>
      <c r="AK77" s="1255"/>
      <c r="AL77" s="1255"/>
    </row>
    <row r="78" spans="3:38" ht="14.4" hidden="1" customHeight="1" x14ac:dyDescent="0.3">
      <c r="C78" s="1245"/>
      <c r="D78" s="1244"/>
      <c r="E78" s="1244"/>
      <c r="F78" s="1244"/>
      <c r="G78" s="1244"/>
      <c r="H78" s="1244"/>
      <c r="I78" s="1244"/>
      <c r="J78" s="1244"/>
      <c r="K78" s="1244"/>
      <c r="L78" s="1244"/>
      <c r="M78" s="1244"/>
      <c r="N78" s="1244"/>
      <c r="O78" s="1244"/>
      <c r="P78" s="1244"/>
      <c r="Q78" s="1244"/>
      <c r="R78" s="1244"/>
      <c r="S78" s="1244"/>
      <c r="T78" s="1248"/>
      <c r="U78" s="1248"/>
      <c r="V78" s="1248"/>
      <c r="W78" s="1248"/>
      <c r="X78" s="1248"/>
      <c r="Y78" s="1255"/>
      <c r="Z78" s="1255"/>
      <c r="AA78" s="1255"/>
      <c r="AB78" s="1255"/>
      <c r="AC78" s="1255"/>
      <c r="AD78" s="1255"/>
      <c r="AE78" s="1255"/>
      <c r="AF78" s="1255"/>
      <c r="AG78" s="1255"/>
      <c r="AH78" s="1255"/>
      <c r="AI78" s="1255"/>
      <c r="AJ78" s="1255"/>
      <c r="AK78" s="1255"/>
      <c r="AL78" s="1255"/>
    </row>
    <row r="79" spans="3:38" ht="14.4" hidden="1" customHeight="1" x14ac:dyDescent="0.3">
      <c r="C79" s="1245"/>
      <c r="D79" s="1244"/>
      <c r="E79" s="1244"/>
      <c r="F79" s="1244"/>
      <c r="G79" s="1244"/>
      <c r="H79" s="1244"/>
      <c r="I79" s="1244"/>
      <c r="J79" s="1244"/>
      <c r="K79" s="1244"/>
      <c r="L79" s="1244"/>
      <c r="M79" s="1244"/>
      <c r="N79" s="1244"/>
      <c r="O79" s="1244"/>
      <c r="P79" s="1244"/>
      <c r="Q79" s="1244"/>
      <c r="R79" s="1244"/>
      <c r="S79" s="1244"/>
      <c r="T79" s="1248"/>
      <c r="U79" s="1248"/>
      <c r="V79" s="1248"/>
      <c r="W79" s="1248"/>
      <c r="X79" s="1248"/>
      <c r="Y79" s="1255"/>
      <c r="Z79" s="1255"/>
      <c r="AA79" s="1255"/>
      <c r="AB79" s="1255"/>
      <c r="AC79" s="1255"/>
      <c r="AD79" s="1255"/>
      <c r="AE79" s="1255"/>
      <c r="AF79" s="1255"/>
      <c r="AG79" s="1255"/>
      <c r="AH79" s="1255"/>
      <c r="AI79" s="1255"/>
      <c r="AJ79" s="1255"/>
      <c r="AK79" s="1255"/>
      <c r="AL79" s="1255"/>
    </row>
    <row r="80" spans="3:38" ht="14.4" hidden="1" customHeight="1" x14ac:dyDescent="0.3">
      <c r="C80" s="1245"/>
      <c r="D80" s="1244"/>
      <c r="E80" s="1244"/>
      <c r="F80" s="1244"/>
      <c r="G80" s="1244"/>
      <c r="H80" s="1244"/>
      <c r="I80" s="1244"/>
      <c r="J80" s="1244"/>
      <c r="K80" s="1244"/>
      <c r="L80" s="1244"/>
      <c r="M80" s="1244"/>
      <c r="N80" s="1244"/>
      <c r="O80" s="1244"/>
      <c r="P80" s="1244"/>
      <c r="Q80" s="1244"/>
      <c r="R80" s="1244"/>
      <c r="S80" s="1244"/>
      <c r="T80" s="1248"/>
      <c r="U80" s="1248"/>
      <c r="V80" s="1248"/>
      <c r="W80" s="1248"/>
      <c r="X80" s="1248"/>
      <c r="Y80" s="1255"/>
      <c r="Z80" s="1255"/>
      <c r="AA80" s="1255"/>
      <c r="AB80" s="1255"/>
      <c r="AC80" s="1255"/>
      <c r="AD80" s="1255"/>
      <c r="AE80" s="1255"/>
      <c r="AF80" s="1255"/>
      <c r="AG80" s="1255"/>
      <c r="AH80" s="1255"/>
      <c r="AI80" s="1255"/>
      <c r="AJ80" s="1255"/>
      <c r="AK80" s="1255"/>
      <c r="AL80" s="1255"/>
    </row>
    <row r="81" spans="3:38" ht="14.4" hidden="1" customHeight="1" x14ac:dyDescent="0.3">
      <c r="C81" s="1245"/>
      <c r="D81" s="1244"/>
      <c r="E81" s="1244"/>
      <c r="F81" s="1244"/>
      <c r="G81" s="1244"/>
      <c r="H81" s="1244"/>
      <c r="I81" s="1244"/>
      <c r="J81" s="1244"/>
      <c r="K81" s="1244"/>
      <c r="L81" s="1244"/>
      <c r="M81" s="1244"/>
      <c r="N81" s="1244"/>
      <c r="O81" s="1244"/>
      <c r="P81" s="1244"/>
      <c r="Q81" s="1244"/>
      <c r="R81" s="1244"/>
      <c r="S81" s="1244"/>
      <c r="T81" s="1248"/>
      <c r="U81" s="1248"/>
      <c r="V81" s="1248"/>
      <c r="W81" s="1248"/>
      <c r="X81" s="1248"/>
      <c r="Y81" s="1255"/>
      <c r="Z81" s="1255"/>
      <c r="AA81" s="1255"/>
      <c r="AB81" s="1255"/>
      <c r="AC81" s="1255"/>
      <c r="AD81" s="1255"/>
      <c r="AE81" s="1255"/>
      <c r="AF81" s="1255"/>
      <c r="AG81" s="1255"/>
      <c r="AH81" s="1255"/>
      <c r="AI81" s="1255"/>
      <c r="AJ81" s="1255"/>
      <c r="AK81" s="1255"/>
      <c r="AL81" s="1255"/>
    </row>
    <row r="82" spans="3:38" ht="14.4" hidden="1" customHeight="1" x14ac:dyDescent="0.3">
      <c r="C82" s="1245"/>
      <c r="D82" s="1244"/>
      <c r="E82" s="1244"/>
      <c r="F82" s="1244"/>
      <c r="G82" s="1244"/>
      <c r="H82" s="1244"/>
      <c r="I82" s="1244"/>
      <c r="J82" s="1244"/>
      <c r="K82" s="1244"/>
      <c r="L82" s="1244"/>
      <c r="M82" s="1244"/>
      <c r="N82" s="1244"/>
      <c r="O82" s="1244"/>
      <c r="P82" s="1244"/>
      <c r="Q82" s="1244"/>
      <c r="R82" s="1244"/>
      <c r="S82" s="1244"/>
      <c r="T82" s="1248"/>
      <c r="U82" s="1248"/>
      <c r="V82" s="1248"/>
      <c r="W82" s="1248"/>
      <c r="X82" s="1248"/>
      <c r="Y82" s="1255"/>
      <c r="Z82" s="1255"/>
      <c r="AA82" s="1255"/>
      <c r="AB82" s="1255"/>
      <c r="AC82" s="1255"/>
      <c r="AD82" s="1255"/>
      <c r="AE82" s="1255"/>
      <c r="AF82" s="1255"/>
      <c r="AG82" s="1255"/>
      <c r="AH82" s="1255"/>
      <c r="AI82" s="1255"/>
      <c r="AJ82" s="1255"/>
      <c r="AK82" s="1255"/>
      <c r="AL82" s="1255"/>
    </row>
    <row r="83" spans="3:38" ht="14.4" hidden="1" customHeight="1" x14ac:dyDescent="0.3">
      <c r="C83" s="1245"/>
      <c r="D83" s="1244"/>
      <c r="E83" s="1244"/>
      <c r="F83" s="1244"/>
      <c r="G83" s="1244"/>
      <c r="H83" s="1244"/>
      <c r="I83" s="1244"/>
      <c r="J83" s="1244"/>
      <c r="K83" s="1244"/>
      <c r="L83" s="1244"/>
      <c r="M83" s="1244"/>
      <c r="N83" s="1244"/>
      <c r="O83" s="1244"/>
      <c r="P83" s="1244"/>
      <c r="Q83" s="1244"/>
      <c r="R83" s="1244"/>
      <c r="S83" s="1244"/>
      <c r="T83" s="1248"/>
      <c r="U83" s="1248"/>
      <c r="V83" s="1248"/>
      <c r="W83" s="1248"/>
      <c r="X83" s="1248"/>
      <c r="Y83" s="1255"/>
      <c r="Z83" s="1255"/>
      <c r="AA83" s="1255"/>
      <c r="AB83" s="1255"/>
      <c r="AC83" s="1255"/>
      <c r="AD83" s="1255"/>
      <c r="AE83" s="1255"/>
      <c r="AF83" s="1255"/>
      <c r="AG83" s="1255"/>
      <c r="AH83" s="1255"/>
      <c r="AI83" s="1255"/>
      <c r="AJ83" s="1255"/>
      <c r="AK83" s="1255"/>
      <c r="AL83" s="1255"/>
    </row>
    <row r="84" spans="3:38" ht="14.4" hidden="1" customHeight="1" x14ac:dyDescent="0.3">
      <c r="C84" s="1245"/>
      <c r="D84" s="1244"/>
      <c r="E84" s="1244"/>
      <c r="F84" s="1244"/>
      <c r="G84" s="1244"/>
      <c r="H84" s="1244"/>
      <c r="I84" s="1244"/>
      <c r="J84" s="1244"/>
      <c r="K84" s="1244"/>
      <c r="L84" s="1244"/>
      <c r="M84" s="1244"/>
      <c r="N84" s="1244"/>
      <c r="O84" s="1244"/>
      <c r="P84" s="1244"/>
      <c r="Q84" s="1244"/>
      <c r="R84" s="1244"/>
      <c r="S84" s="1244"/>
      <c r="T84" s="1248"/>
      <c r="U84" s="1248"/>
      <c r="V84" s="1248"/>
      <c r="W84" s="1248"/>
      <c r="X84" s="1248"/>
      <c r="Y84" s="1255"/>
      <c r="Z84" s="1255"/>
      <c r="AA84" s="1255"/>
      <c r="AB84" s="1255"/>
      <c r="AC84" s="1255"/>
      <c r="AD84" s="1255"/>
      <c r="AE84" s="1255"/>
      <c r="AF84" s="1255"/>
      <c r="AG84" s="1255"/>
      <c r="AH84" s="1255"/>
      <c r="AI84" s="1255"/>
      <c r="AJ84" s="1255"/>
      <c r="AK84" s="1255"/>
      <c r="AL84" s="1255"/>
    </row>
    <row r="85" spans="3:38" ht="14.4" hidden="1" customHeight="1" x14ac:dyDescent="0.3">
      <c r="C85" s="1245"/>
      <c r="D85" s="1244"/>
      <c r="E85" s="1244"/>
      <c r="F85" s="1244"/>
      <c r="G85" s="1244"/>
      <c r="H85" s="1244"/>
      <c r="I85" s="1244"/>
      <c r="J85" s="1244"/>
      <c r="K85" s="1244"/>
      <c r="L85" s="1244"/>
      <c r="M85" s="1244"/>
      <c r="N85" s="1244"/>
      <c r="O85" s="1244"/>
      <c r="P85" s="1244"/>
      <c r="Q85" s="1244"/>
      <c r="R85" s="1244"/>
      <c r="S85" s="1244"/>
      <c r="T85" s="1248"/>
      <c r="U85" s="1248"/>
      <c r="V85" s="1248"/>
      <c r="W85" s="1248"/>
      <c r="X85" s="1248"/>
      <c r="Y85" s="1255"/>
      <c r="Z85" s="1255"/>
      <c r="AA85" s="1255"/>
      <c r="AB85" s="1255"/>
      <c r="AC85" s="1255"/>
      <c r="AD85" s="1255"/>
      <c r="AE85" s="1255"/>
      <c r="AF85" s="1255"/>
      <c r="AG85" s="1255"/>
      <c r="AH85" s="1255"/>
      <c r="AI85" s="1255"/>
      <c r="AJ85" s="1255"/>
      <c r="AK85" s="1255"/>
      <c r="AL85" s="1255"/>
    </row>
    <row r="86" spans="3:38" ht="14.4" hidden="1" customHeight="1" x14ac:dyDescent="0.3">
      <c r="C86" s="1245"/>
      <c r="D86" s="1244"/>
      <c r="E86" s="1244"/>
      <c r="F86" s="1244"/>
      <c r="G86" s="1244"/>
      <c r="H86" s="1244"/>
      <c r="I86" s="1244"/>
      <c r="J86" s="1244"/>
      <c r="K86" s="1244"/>
      <c r="L86" s="1244"/>
      <c r="M86" s="1244"/>
      <c r="N86" s="1244"/>
      <c r="O86" s="1244"/>
      <c r="P86" s="1244"/>
      <c r="Q86" s="1244"/>
      <c r="R86" s="1244"/>
      <c r="S86" s="1244"/>
      <c r="T86" s="1248"/>
      <c r="U86" s="1248"/>
      <c r="V86" s="1248"/>
      <c r="W86" s="1248"/>
      <c r="X86" s="1248"/>
      <c r="Y86" s="1255"/>
      <c r="Z86" s="1255"/>
      <c r="AA86" s="1255"/>
      <c r="AB86" s="1255"/>
      <c r="AC86" s="1255"/>
      <c r="AD86" s="1255"/>
      <c r="AE86" s="1255"/>
      <c r="AF86" s="1255"/>
      <c r="AG86" s="1255"/>
      <c r="AH86" s="1255"/>
      <c r="AI86" s="1255"/>
      <c r="AJ86" s="1255"/>
      <c r="AK86" s="1255"/>
      <c r="AL86" s="1255"/>
    </row>
    <row r="87" spans="3:38" ht="14.4" hidden="1" customHeight="1" x14ac:dyDescent="0.3">
      <c r="C87" s="1245"/>
      <c r="D87" s="1244"/>
      <c r="E87" s="1244"/>
      <c r="F87" s="1244"/>
      <c r="G87" s="1244"/>
      <c r="H87" s="1244"/>
      <c r="I87" s="1244"/>
      <c r="J87" s="1244"/>
      <c r="K87" s="1244"/>
      <c r="L87" s="1244"/>
      <c r="M87" s="1244"/>
      <c r="N87" s="1244"/>
      <c r="O87" s="1244"/>
      <c r="P87" s="1244"/>
      <c r="Q87" s="1244"/>
      <c r="R87" s="1244"/>
      <c r="S87" s="1244"/>
      <c r="T87" s="1248"/>
      <c r="U87" s="1248"/>
      <c r="V87" s="1248"/>
      <c r="W87" s="1248"/>
      <c r="X87" s="1248"/>
      <c r="Y87" s="1255"/>
      <c r="Z87" s="1255"/>
      <c r="AA87" s="1255"/>
      <c r="AB87" s="1255"/>
      <c r="AC87" s="1255"/>
      <c r="AD87" s="1255"/>
      <c r="AE87" s="1255"/>
      <c r="AF87" s="1255"/>
      <c r="AG87" s="1255"/>
      <c r="AH87" s="1255"/>
      <c r="AI87" s="1255"/>
      <c r="AJ87" s="1255"/>
      <c r="AK87" s="1255"/>
      <c r="AL87" s="1255"/>
    </row>
    <row r="88" spans="3:38" ht="14.4" hidden="1" customHeight="1" x14ac:dyDescent="0.3">
      <c r="C88" s="1245"/>
      <c r="D88" s="1244"/>
      <c r="E88" s="1244"/>
      <c r="F88" s="1244"/>
      <c r="G88" s="1244"/>
      <c r="H88" s="1244"/>
      <c r="I88" s="1244"/>
      <c r="J88" s="1244"/>
      <c r="K88" s="1244"/>
      <c r="L88" s="1244"/>
      <c r="M88" s="1244"/>
      <c r="N88" s="1244"/>
      <c r="O88" s="1244"/>
      <c r="P88" s="1244"/>
      <c r="Q88" s="1244"/>
      <c r="R88" s="1244"/>
      <c r="S88" s="1244"/>
      <c r="T88" s="1248"/>
      <c r="U88" s="1248"/>
      <c r="V88" s="1248"/>
      <c r="W88" s="1248"/>
      <c r="X88" s="1248"/>
      <c r="Y88" s="1255"/>
      <c r="Z88" s="1255"/>
      <c r="AA88" s="1255"/>
      <c r="AB88" s="1255"/>
      <c r="AC88" s="1255"/>
      <c r="AD88" s="1255"/>
      <c r="AE88" s="1255"/>
      <c r="AF88" s="1255"/>
      <c r="AG88" s="1255"/>
      <c r="AH88" s="1255"/>
      <c r="AI88" s="1255"/>
      <c r="AJ88" s="1255"/>
      <c r="AK88" s="1255"/>
      <c r="AL88" s="1255"/>
    </row>
    <row r="89" spans="3:38" ht="14.4" hidden="1" customHeight="1" x14ac:dyDescent="0.3">
      <c r="C89" s="1245"/>
      <c r="D89" s="1244"/>
      <c r="E89" s="1244"/>
      <c r="F89" s="1244"/>
      <c r="G89" s="1244"/>
      <c r="H89" s="1244"/>
      <c r="I89" s="1244"/>
      <c r="J89" s="1244"/>
      <c r="K89" s="1244"/>
      <c r="L89" s="1244"/>
      <c r="M89" s="1244"/>
      <c r="N89" s="1244"/>
      <c r="O89" s="1244"/>
      <c r="P89" s="1244"/>
      <c r="Q89" s="1244"/>
      <c r="R89" s="1244"/>
      <c r="S89" s="1244"/>
      <c r="T89" s="1248"/>
      <c r="U89" s="1248"/>
      <c r="V89" s="1248"/>
      <c r="W89" s="1248"/>
      <c r="X89" s="1248"/>
      <c r="Y89" s="1255"/>
      <c r="Z89" s="1255"/>
      <c r="AA89" s="1255"/>
      <c r="AB89" s="1255"/>
      <c r="AC89" s="1255"/>
      <c r="AD89" s="1255"/>
      <c r="AE89" s="1255"/>
      <c r="AF89" s="1255"/>
      <c r="AG89" s="1255"/>
      <c r="AH89" s="1255"/>
      <c r="AI89" s="1255"/>
      <c r="AJ89" s="1255"/>
      <c r="AK89" s="1255"/>
      <c r="AL89" s="1255"/>
    </row>
    <row r="90" spans="3:38" ht="14.4" hidden="1" customHeight="1" x14ac:dyDescent="0.3">
      <c r="C90" s="1245"/>
      <c r="D90" s="1244"/>
      <c r="E90" s="1244"/>
      <c r="F90" s="1244"/>
      <c r="G90" s="1244"/>
      <c r="H90" s="1244"/>
      <c r="I90" s="1244"/>
      <c r="J90" s="1244"/>
      <c r="K90" s="1244"/>
      <c r="L90" s="1244"/>
      <c r="M90" s="1244"/>
      <c r="N90" s="1244"/>
      <c r="O90" s="1244"/>
      <c r="P90" s="1244"/>
      <c r="Q90" s="1244"/>
      <c r="R90" s="1244"/>
      <c r="S90" s="1244"/>
      <c r="T90" s="1248"/>
      <c r="U90" s="1248"/>
      <c r="V90" s="1248"/>
      <c r="W90" s="1248"/>
      <c r="X90" s="1248"/>
      <c r="Y90" s="1255"/>
      <c r="Z90" s="1255"/>
      <c r="AA90" s="1255"/>
      <c r="AB90" s="1255"/>
      <c r="AC90" s="1255"/>
      <c r="AD90" s="1255"/>
      <c r="AE90" s="1255"/>
      <c r="AF90" s="1255"/>
      <c r="AG90" s="1255"/>
      <c r="AH90" s="1255"/>
      <c r="AI90" s="1255"/>
      <c r="AJ90" s="1255"/>
      <c r="AK90" s="1255"/>
      <c r="AL90" s="1255"/>
    </row>
    <row r="91" spans="3:38" ht="14.4" hidden="1" customHeight="1" x14ac:dyDescent="0.3">
      <c r="C91" s="1245"/>
      <c r="D91" s="1244"/>
      <c r="E91" s="1244"/>
      <c r="F91" s="1244"/>
      <c r="G91" s="1244"/>
      <c r="H91" s="1244"/>
      <c r="I91" s="1244"/>
      <c r="J91" s="1244"/>
      <c r="K91" s="1244"/>
      <c r="L91" s="1244"/>
      <c r="M91" s="1244"/>
      <c r="N91" s="1244"/>
      <c r="O91" s="1244"/>
      <c r="P91" s="1244"/>
      <c r="Q91" s="1244"/>
      <c r="R91" s="1244"/>
      <c r="S91" s="1244"/>
      <c r="T91" s="1248"/>
      <c r="U91" s="1248"/>
      <c r="V91" s="1248"/>
      <c r="W91" s="1248"/>
      <c r="X91" s="1248"/>
      <c r="Y91" s="1255"/>
      <c r="Z91" s="1255"/>
      <c r="AA91" s="1255"/>
      <c r="AB91" s="1255"/>
      <c r="AC91" s="1255"/>
      <c r="AD91" s="1255"/>
      <c r="AE91" s="1255"/>
      <c r="AF91" s="1255"/>
      <c r="AG91" s="1255"/>
      <c r="AH91" s="1255"/>
      <c r="AI91" s="1255"/>
      <c r="AJ91" s="1255"/>
      <c r="AK91" s="1255"/>
      <c r="AL91" s="1255"/>
    </row>
    <row r="92" spans="3:38" ht="14.4" hidden="1" customHeight="1" x14ac:dyDescent="0.3">
      <c r="C92" s="1245"/>
      <c r="D92" s="1244"/>
      <c r="E92" s="1244"/>
      <c r="F92" s="1244"/>
      <c r="G92" s="1244"/>
      <c r="H92" s="1244"/>
      <c r="I92" s="1244"/>
      <c r="J92" s="1244"/>
      <c r="K92" s="1244"/>
      <c r="L92" s="1244"/>
      <c r="M92" s="1244"/>
      <c r="N92" s="1244"/>
      <c r="O92" s="1244"/>
      <c r="P92" s="1244"/>
      <c r="Q92" s="1244"/>
      <c r="R92" s="1244"/>
      <c r="S92" s="1244"/>
      <c r="T92" s="1248"/>
      <c r="U92" s="1248"/>
      <c r="V92" s="1248"/>
      <c r="W92" s="1248"/>
      <c r="X92" s="1248"/>
      <c r="Y92" s="1255"/>
      <c r="Z92" s="1255"/>
      <c r="AA92" s="1255"/>
      <c r="AB92" s="1255"/>
      <c r="AC92" s="1255"/>
      <c r="AD92" s="1255"/>
      <c r="AE92" s="1255"/>
      <c r="AF92" s="1255"/>
      <c r="AG92" s="1255"/>
      <c r="AH92" s="1255"/>
      <c r="AI92" s="1255"/>
      <c r="AJ92" s="1255"/>
      <c r="AK92" s="1255"/>
      <c r="AL92" s="1255"/>
    </row>
    <row r="93" spans="3:38" ht="14.4" hidden="1" customHeight="1" x14ac:dyDescent="0.3">
      <c r="C93" s="1245"/>
      <c r="D93" s="1244"/>
      <c r="E93" s="1244"/>
      <c r="F93" s="1244"/>
      <c r="G93" s="1244"/>
      <c r="H93" s="1244"/>
      <c r="I93" s="1244"/>
      <c r="J93" s="1244"/>
      <c r="K93" s="1244"/>
      <c r="L93" s="1244"/>
      <c r="M93" s="1244"/>
      <c r="N93" s="1244"/>
      <c r="O93" s="1244"/>
      <c r="P93" s="1244"/>
      <c r="Q93" s="1244"/>
      <c r="R93" s="1244"/>
      <c r="S93" s="1244"/>
      <c r="T93" s="1248"/>
      <c r="U93" s="1248"/>
      <c r="V93" s="1248"/>
      <c r="W93" s="1248"/>
      <c r="X93" s="1248"/>
      <c r="Y93" s="1255"/>
      <c r="Z93" s="1255"/>
      <c r="AA93" s="1255"/>
      <c r="AB93" s="1255"/>
      <c r="AC93" s="1255"/>
      <c r="AD93" s="1255"/>
      <c r="AE93" s="1255"/>
      <c r="AF93" s="1255"/>
      <c r="AG93" s="1255"/>
      <c r="AH93" s="1255"/>
      <c r="AI93" s="1255"/>
      <c r="AJ93" s="1255"/>
      <c r="AK93" s="1255"/>
      <c r="AL93" s="1255"/>
    </row>
    <row r="94" spans="3:38" ht="14.4" hidden="1" customHeight="1" x14ac:dyDescent="0.3">
      <c r="C94" s="1245"/>
      <c r="D94" s="1244"/>
      <c r="E94" s="1244"/>
      <c r="F94" s="1244"/>
      <c r="G94" s="1244"/>
      <c r="H94" s="1244"/>
      <c r="I94" s="1244"/>
      <c r="J94" s="1244"/>
      <c r="K94" s="1244"/>
      <c r="L94" s="1244"/>
      <c r="M94" s="1244"/>
      <c r="N94" s="1244"/>
      <c r="O94" s="1244"/>
      <c r="P94" s="1244"/>
      <c r="Q94" s="1244"/>
      <c r="R94" s="1244"/>
      <c r="S94" s="1244"/>
      <c r="T94" s="1248"/>
      <c r="U94" s="1248"/>
      <c r="V94" s="1248"/>
      <c r="W94" s="1248"/>
      <c r="X94" s="1248"/>
      <c r="Y94" s="1255"/>
      <c r="Z94" s="1255"/>
      <c r="AA94" s="1255"/>
      <c r="AB94" s="1255"/>
      <c r="AC94" s="1255"/>
      <c r="AD94" s="1255"/>
      <c r="AE94" s="1255"/>
      <c r="AF94" s="1255"/>
      <c r="AG94" s="1255"/>
      <c r="AH94" s="1255"/>
      <c r="AI94" s="1255"/>
      <c r="AJ94" s="1255"/>
      <c r="AK94" s="1255"/>
      <c r="AL94" s="1255"/>
    </row>
    <row r="95" spans="3:38" ht="14.4" hidden="1" customHeight="1" x14ac:dyDescent="0.3">
      <c r="C95" s="1245"/>
      <c r="D95" s="1244"/>
      <c r="E95" s="1244"/>
      <c r="F95" s="1244"/>
      <c r="G95" s="1244"/>
      <c r="H95" s="1244"/>
      <c r="I95" s="1244"/>
      <c r="J95" s="1244"/>
      <c r="K95" s="1244"/>
      <c r="L95" s="1244"/>
      <c r="M95" s="1244"/>
      <c r="N95" s="1244"/>
      <c r="O95" s="1244"/>
      <c r="P95" s="1244"/>
      <c r="Q95" s="1244"/>
      <c r="R95" s="1244"/>
      <c r="S95" s="1244"/>
      <c r="T95" s="1248"/>
      <c r="U95" s="1248"/>
      <c r="V95" s="1248"/>
      <c r="W95" s="1248"/>
      <c r="X95" s="1248"/>
      <c r="Y95" s="1255"/>
      <c r="Z95" s="1255"/>
      <c r="AA95" s="1255"/>
      <c r="AB95" s="1255"/>
      <c r="AC95" s="1255"/>
      <c r="AD95" s="1255"/>
      <c r="AE95" s="1255"/>
      <c r="AF95" s="1255"/>
      <c r="AG95" s="1255"/>
      <c r="AH95" s="1255"/>
      <c r="AI95" s="1255"/>
      <c r="AJ95" s="1255"/>
      <c r="AK95" s="1255"/>
      <c r="AL95" s="1255"/>
    </row>
    <row r="96" spans="3:38" ht="14.4" hidden="1" customHeight="1" x14ac:dyDescent="0.3">
      <c r="C96" s="1245"/>
      <c r="D96" s="1244"/>
      <c r="E96" s="1244"/>
      <c r="F96" s="1244"/>
      <c r="G96" s="1244"/>
      <c r="H96" s="1244"/>
      <c r="I96" s="1244"/>
      <c r="J96" s="1244"/>
      <c r="K96" s="1244"/>
      <c r="L96" s="1244"/>
      <c r="M96" s="1244"/>
      <c r="N96" s="1244"/>
      <c r="O96" s="1244"/>
      <c r="P96" s="1244"/>
      <c r="Q96" s="1244"/>
      <c r="R96" s="1244"/>
      <c r="S96" s="1244"/>
      <c r="T96" s="1248"/>
      <c r="U96" s="1248"/>
      <c r="V96" s="1248"/>
      <c r="W96" s="1248"/>
      <c r="X96" s="1248"/>
      <c r="Y96" s="1255"/>
      <c r="Z96" s="1255"/>
      <c r="AA96" s="1255"/>
      <c r="AB96" s="1255"/>
      <c r="AC96" s="1255"/>
      <c r="AD96" s="1255"/>
      <c r="AE96" s="1255"/>
      <c r="AF96" s="1255"/>
      <c r="AG96" s="1255"/>
      <c r="AH96" s="1255"/>
      <c r="AI96" s="1255"/>
      <c r="AJ96" s="1255"/>
      <c r="AK96" s="1255"/>
      <c r="AL96" s="1255"/>
    </row>
    <row r="97" spans="3:38" ht="14.4" hidden="1" customHeight="1" x14ac:dyDescent="0.3">
      <c r="C97" s="1245"/>
      <c r="D97" s="1244"/>
      <c r="E97" s="1244"/>
      <c r="F97" s="1244"/>
      <c r="G97" s="1244"/>
      <c r="H97" s="1244"/>
      <c r="I97" s="1244"/>
      <c r="J97" s="1244"/>
      <c r="K97" s="1244"/>
      <c r="L97" s="1244"/>
      <c r="M97" s="1244"/>
      <c r="N97" s="1244"/>
      <c r="O97" s="1244"/>
      <c r="P97" s="1244"/>
      <c r="Q97" s="1244"/>
      <c r="R97" s="1244"/>
      <c r="S97" s="1244"/>
      <c r="T97" s="1248"/>
      <c r="U97" s="1248"/>
      <c r="V97" s="1248"/>
      <c r="W97" s="1248"/>
      <c r="X97" s="1248"/>
      <c r="Y97" s="1255"/>
      <c r="Z97" s="1255"/>
      <c r="AA97" s="1255"/>
      <c r="AB97" s="1255"/>
      <c r="AC97" s="1255"/>
      <c r="AD97" s="1255"/>
      <c r="AE97" s="1255"/>
      <c r="AF97" s="1255"/>
      <c r="AG97" s="1255"/>
      <c r="AH97" s="1255"/>
      <c r="AI97" s="1255"/>
      <c r="AJ97" s="1255"/>
      <c r="AK97" s="1255"/>
      <c r="AL97" s="1255"/>
    </row>
    <row r="98" spans="3:38" ht="14.4" hidden="1" customHeight="1" x14ac:dyDescent="0.3">
      <c r="C98" s="1245"/>
      <c r="D98" s="1244"/>
      <c r="E98" s="1244"/>
      <c r="F98" s="1244"/>
      <c r="G98" s="1244"/>
      <c r="H98" s="1244"/>
      <c r="I98" s="1244"/>
      <c r="J98" s="1244"/>
      <c r="K98" s="1244"/>
      <c r="L98" s="1244"/>
      <c r="M98" s="1244"/>
      <c r="N98" s="1244"/>
      <c r="O98" s="1244"/>
      <c r="P98" s="1244"/>
      <c r="Q98" s="1244"/>
      <c r="R98" s="1244"/>
      <c r="S98" s="1244"/>
      <c r="T98" s="1248"/>
      <c r="U98" s="1248"/>
      <c r="V98" s="1248"/>
      <c r="W98" s="1248"/>
      <c r="X98" s="1248"/>
      <c r="Y98" s="1255"/>
      <c r="Z98" s="1255"/>
      <c r="AA98" s="1255"/>
      <c r="AB98" s="1255"/>
      <c r="AC98" s="1255"/>
      <c r="AD98" s="1255"/>
      <c r="AE98" s="1255"/>
      <c r="AF98" s="1255"/>
      <c r="AG98" s="1255"/>
      <c r="AH98" s="1255"/>
      <c r="AI98" s="1255"/>
      <c r="AJ98" s="1255"/>
      <c r="AK98" s="1255"/>
      <c r="AL98" s="1255"/>
    </row>
    <row r="99" spans="3:38" ht="14.4" hidden="1" customHeight="1" x14ac:dyDescent="0.3">
      <c r="C99" s="1245"/>
      <c r="D99" s="1244"/>
      <c r="E99" s="1244"/>
      <c r="F99" s="1244"/>
      <c r="G99" s="1244"/>
      <c r="H99" s="1244"/>
      <c r="I99" s="1244"/>
      <c r="J99" s="1244"/>
      <c r="K99" s="1244"/>
      <c r="L99" s="1244"/>
      <c r="M99" s="1244"/>
      <c r="N99" s="1244"/>
      <c r="O99" s="1244"/>
      <c r="P99" s="1244"/>
      <c r="Q99" s="1244"/>
      <c r="R99" s="1244"/>
      <c r="S99" s="1244"/>
      <c r="T99" s="1248"/>
      <c r="U99" s="1248"/>
      <c r="V99" s="1248"/>
      <c r="W99" s="1248"/>
      <c r="X99" s="1248"/>
      <c r="Y99" s="1255"/>
      <c r="Z99" s="1255"/>
      <c r="AA99" s="1255"/>
      <c r="AB99" s="1255"/>
      <c r="AC99" s="1255"/>
      <c r="AD99" s="1255"/>
      <c r="AE99" s="1255"/>
      <c r="AF99" s="1255"/>
      <c r="AG99" s="1255"/>
      <c r="AH99" s="1255"/>
      <c r="AI99" s="1255"/>
      <c r="AJ99" s="1255"/>
      <c r="AK99" s="1255"/>
      <c r="AL99" s="1255"/>
    </row>
    <row r="100" spans="3:38" ht="14.4" hidden="1" customHeight="1" x14ac:dyDescent="0.3">
      <c r="C100" s="1245"/>
      <c r="D100" s="1244"/>
      <c r="E100" s="1244"/>
      <c r="F100" s="1244"/>
      <c r="G100" s="1244"/>
      <c r="H100" s="1244"/>
      <c r="I100" s="1244"/>
      <c r="J100" s="1244"/>
      <c r="K100" s="1244"/>
      <c r="L100" s="1244"/>
      <c r="M100" s="1244"/>
      <c r="N100" s="1244"/>
      <c r="O100" s="1244"/>
      <c r="P100" s="1244"/>
      <c r="Q100" s="1244"/>
      <c r="R100" s="1244"/>
      <c r="S100" s="1244"/>
      <c r="T100" s="1248"/>
      <c r="U100" s="1248"/>
      <c r="V100" s="1248"/>
      <c r="W100" s="1248"/>
      <c r="X100" s="1248"/>
      <c r="Y100" s="1255"/>
      <c r="Z100" s="1255"/>
      <c r="AA100" s="1255"/>
      <c r="AB100" s="1255"/>
      <c r="AC100" s="1255"/>
      <c r="AD100" s="1255"/>
      <c r="AE100" s="1255"/>
      <c r="AF100" s="1255"/>
      <c r="AG100" s="1255"/>
      <c r="AH100" s="1255"/>
      <c r="AI100" s="1255"/>
      <c r="AJ100" s="1255"/>
      <c r="AK100" s="1255"/>
      <c r="AL100" s="1255"/>
    </row>
    <row r="101" spans="3:38" ht="14.4" hidden="1" customHeight="1" x14ac:dyDescent="0.3">
      <c r="T101" s="1255"/>
      <c r="U101" s="1255"/>
      <c r="V101" s="1255"/>
      <c r="W101" s="1255"/>
      <c r="X101" s="1255"/>
      <c r="Y101" s="1255"/>
      <c r="Z101" s="1255"/>
      <c r="AA101" s="1255"/>
      <c r="AB101" s="1255"/>
      <c r="AC101" s="1255"/>
      <c r="AD101" s="1255"/>
      <c r="AE101" s="1255"/>
      <c r="AF101" s="1255"/>
      <c r="AG101" s="1255"/>
      <c r="AH101" s="1255"/>
      <c r="AI101" s="1255"/>
      <c r="AJ101" s="1255"/>
      <c r="AK101" s="1255"/>
      <c r="AL101" s="1255"/>
    </row>
    <row r="102" spans="3:38" ht="14.4" hidden="1" customHeight="1" x14ac:dyDescent="0.3">
      <c r="T102" s="1255"/>
      <c r="U102" s="1255"/>
      <c r="V102" s="1255"/>
      <c r="W102" s="1255"/>
      <c r="X102" s="1255"/>
      <c r="Y102" s="1255"/>
      <c r="Z102" s="1255"/>
      <c r="AA102" s="1255"/>
      <c r="AB102" s="1255"/>
      <c r="AC102" s="1255"/>
      <c r="AD102" s="1255"/>
      <c r="AE102" s="1255"/>
      <c r="AF102" s="1255"/>
      <c r="AG102" s="1255"/>
      <c r="AH102" s="1255"/>
      <c r="AI102" s="1255"/>
      <c r="AJ102" s="1255"/>
      <c r="AK102" s="1255"/>
      <c r="AL102" s="1255"/>
    </row>
    <row r="103" spans="3:38" ht="14.4" hidden="1" customHeight="1" x14ac:dyDescent="0.3">
      <c r="T103" s="1255"/>
      <c r="U103" s="1255"/>
      <c r="V103" s="1255"/>
      <c r="W103" s="1255"/>
      <c r="X103" s="1255"/>
      <c r="Y103" s="1255"/>
      <c r="Z103" s="1255"/>
      <c r="AA103" s="1255"/>
      <c r="AB103" s="1255"/>
      <c r="AC103" s="1255"/>
      <c r="AD103" s="1255"/>
      <c r="AE103" s="1255"/>
      <c r="AF103" s="1255"/>
      <c r="AG103" s="1255"/>
      <c r="AH103" s="1255"/>
      <c r="AI103" s="1255"/>
      <c r="AJ103" s="1255"/>
      <c r="AK103" s="1255"/>
      <c r="AL103" s="1255"/>
    </row>
    <row r="104" spans="3:38" ht="14.4" hidden="1" customHeight="1" x14ac:dyDescent="0.3">
      <c r="T104" s="1255"/>
      <c r="U104" s="1255"/>
      <c r="V104" s="1255"/>
      <c r="W104" s="1255"/>
      <c r="X104" s="1255"/>
      <c r="Y104" s="1255"/>
      <c r="Z104" s="1255"/>
      <c r="AA104" s="1255"/>
      <c r="AB104" s="1255"/>
      <c r="AC104" s="1255"/>
      <c r="AD104" s="1255"/>
      <c r="AE104" s="1255"/>
      <c r="AF104" s="1255"/>
      <c r="AG104" s="1255"/>
      <c r="AH104" s="1255"/>
      <c r="AI104" s="1255"/>
      <c r="AJ104" s="1255"/>
      <c r="AK104" s="1255"/>
      <c r="AL104" s="1255"/>
    </row>
    <row r="105" spans="3:38" ht="14.4" hidden="1" customHeight="1" x14ac:dyDescent="0.3">
      <c r="T105" s="1255"/>
      <c r="U105" s="1255"/>
      <c r="V105" s="1255"/>
      <c r="W105" s="1255"/>
      <c r="X105" s="1255"/>
      <c r="Y105" s="1255"/>
      <c r="Z105" s="1255"/>
      <c r="AA105" s="1255"/>
      <c r="AB105" s="1255"/>
      <c r="AC105" s="1255"/>
      <c r="AD105" s="1255"/>
      <c r="AE105" s="1255"/>
      <c r="AF105" s="1255"/>
      <c r="AG105" s="1255"/>
      <c r="AH105" s="1255"/>
      <c r="AI105" s="1255"/>
      <c r="AJ105" s="1255"/>
      <c r="AK105" s="1255"/>
      <c r="AL105" s="1255"/>
    </row>
    <row r="106" spans="3:38" ht="14.4" hidden="1" customHeight="1" x14ac:dyDescent="0.3">
      <c r="T106" s="1255"/>
      <c r="U106" s="1255"/>
      <c r="V106" s="1255"/>
      <c r="W106" s="1255"/>
      <c r="X106" s="1255"/>
      <c r="Y106" s="1255"/>
      <c r="Z106" s="1255"/>
      <c r="AA106" s="1255"/>
      <c r="AB106" s="1255"/>
      <c r="AC106" s="1255"/>
      <c r="AD106" s="1255"/>
      <c r="AE106" s="1255"/>
      <c r="AF106" s="1255"/>
      <c r="AG106" s="1255"/>
      <c r="AH106" s="1255"/>
      <c r="AI106" s="1255"/>
      <c r="AJ106" s="1255"/>
      <c r="AK106" s="1255"/>
      <c r="AL106" s="1255"/>
    </row>
    <row r="107" spans="3:38" ht="14.4" hidden="1" customHeight="1" x14ac:dyDescent="0.3">
      <c r="T107" s="1255"/>
      <c r="U107" s="1255"/>
      <c r="V107" s="1255"/>
      <c r="W107" s="1255"/>
      <c r="X107" s="1255"/>
      <c r="Y107" s="1255"/>
      <c r="Z107" s="1255"/>
      <c r="AA107" s="1255"/>
      <c r="AB107" s="1255"/>
      <c r="AC107" s="1255"/>
      <c r="AD107" s="1255"/>
      <c r="AE107" s="1255"/>
      <c r="AF107" s="1255"/>
      <c r="AG107" s="1255"/>
      <c r="AH107" s="1255"/>
      <c r="AI107" s="1255"/>
      <c r="AJ107" s="1255"/>
      <c r="AK107" s="1255"/>
      <c r="AL107" s="1255"/>
    </row>
    <row r="108" spans="3:38" ht="14.4" hidden="1" customHeight="1" x14ac:dyDescent="0.3">
      <c r="T108" s="1255"/>
      <c r="U108" s="1255"/>
      <c r="V108" s="1255"/>
      <c r="W108" s="1255"/>
      <c r="X108" s="1255"/>
      <c r="Y108" s="1255"/>
      <c r="Z108" s="1255"/>
      <c r="AA108" s="1255"/>
      <c r="AB108" s="1255"/>
      <c r="AC108" s="1255"/>
      <c r="AD108" s="1255"/>
      <c r="AE108" s="1255"/>
      <c r="AF108" s="1255"/>
      <c r="AG108" s="1255"/>
      <c r="AH108" s="1255"/>
      <c r="AI108" s="1255"/>
      <c r="AJ108" s="1255"/>
      <c r="AK108" s="1255"/>
      <c r="AL108" s="1255"/>
    </row>
    <row r="109" spans="3:38" ht="14.4" hidden="1" customHeight="1" x14ac:dyDescent="0.3">
      <c r="T109" s="1255"/>
      <c r="U109" s="1255"/>
      <c r="V109" s="1255"/>
      <c r="W109" s="1255"/>
      <c r="X109" s="1255"/>
      <c r="Y109" s="1255"/>
      <c r="Z109" s="1255"/>
      <c r="AA109" s="1255"/>
      <c r="AB109" s="1255"/>
      <c r="AC109" s="1255"/>
      <c r="AD109" s="1255"/>
      <c r="AE109" s="1255"/>
      <c r="AF109" s="1255"/>
      <c r="AG109" s="1255"/>
      <c r="AH109" s="1255"/>
      <c r="AI109" s="1255"/>
      <c r="AJ109" s="1255"/>
      <c r="AK109" s="1255"/>
      <c r="AL109" s="1255"/>
    </row>
    <row r="110" spans="3:38" ht="14.4" hidden="1" customHeight="1" x14ac:dyDescent="0.3">
      <c r="T110" s="1255"/>
      <c r="U110" s="1255"/>
      <c r="V110" s="1255"/>
      <c r="W110" s="1255"/>
      <c r="X110" s="1255"/>
      <c r="Y110" s="1255"/>
      <c r="Z110" s="1255"/>
      <c r="AA110" s="1255"/>
      <c r="AB110" s="1255"/>
      <c r="AC110" s="1255"/>
      <c r="AD110" s="1255"/>
      <c r="AE110" s="1255"/>
      <c r="AF110" s="1255"/>
      <c r="AG110" s="1255"/>
      <c r="AH110" s="1255"/>
      <c r="AI110" s="1255"/>
      <c r="AJ110" s="1255"/>
      <c r="AK110" s="1255"/>
      <c r="AL110" s="1255"/>
    </row>
    <row r="111" spans="3:38" ht="14.4" hidden="1" customHeight="1" x14ac:dyDescent="0.3">
      <c r="T111" s="1255"/>
      <c r="U111" s="1255"/>
      <c r="V111" s="1255"/>
      <c r="W111" s="1255"/>
      <c r="X111" s="1255"/>
      <c r="Y111" s="1255"/>
      <c r="Z111" s="1255"/>
      <c r="AA111" s="1255"/>
      <c r="AB111" s="1255"/>
      <c r="AC111" s="1255"/>
      <c r="AD111" s="1255"/>
      <c r="AE111" s="1255"/>
      <c r="AF111" s="1255"/>
      <c r="AG111" s="1255"/>
      <c r="AH111" s="1255"/>
      <c r="AI111" s="1255"/>
      <c r="AJ111" s="1255"/>
      <c r="AK111" s="1255"/>
      <c r="AL111" s="1255"/>
    </row>
    <row r="112" spans="3:38" ht="14.4" hidden="1" customHeight="1" x14ac:dyDescent="0.3">
      <c r="T112" s="1255"/>
      <c r="U112" s="1255"/>
      <c r="V112" s="1255"/>
      <c r="W112" s="1255"/>
      <c r="X112" s="1255"/>
      <c r="Y112" s="1255"/>
      <c r="Z112" s="1255"/>
      <c r="AA112" s="1255"/>
      <c r="AB112" s="1255"/>
      <c r="AC112" s="1255"/>
      <c r="AD112" s="1255"/>
      <c r="AE112" s="1255"/>
      <c r="AF112" s="1255"/>
      <c r="AG112" s="1255"/>
      <c r="AH112" s="1255"/>
      <c r="AI112" s="1255"/>
      <c r="AJ112" s="1255"/>
      <c r="AK112" s="1255"/>
      <c r="AL112" s="1255"/>
    </row>
    <row r="113" spans="20:38" ht="14.4" hidden="1" customHeight="1" x14ac:dyDescent="0.3">
      <c r="T113" s="1255"/>
      <c r="U113" s="1255"/>
      <c r="V113" s="1255"/>
      <c r="W113" s="1255"/>
      <c r="X113" s="1255"/>
      <c r="Y113" s="1255"/>
      <c r="Z113" s="1255"/>
      <c r="AA113" s="1255"/>
      <c r="AB113" s="1255"/>
      <c r="AC113" s="1255"/>
      <c r="AD113" s="1255"/>
      <c r="AE113" s="1255"/>
      <c r="AF113" s="1255"/>
      <c r="AG113" s="1255"/>
      <c r="AH113" s="1255"/>
      <c r="AI113" s="1255"/>
      <c r="AJ113" s="1255"/>
      <c r="AK113" s="1255"/>
      <c r="AL113" s="1255"/>
    </row>
    <row r="114" spans="20:38" ht="14.4" hidden="1" customHeight="1" x14ac:dyDescent="0.3">
      <c r="T114" s="1255"/>
      <c r="U114" s="1255"/>
      <c r="V114" s="1255"/>
      <c r="W114" s="1255"/>
      <c r="X114" s="1255"/>
      <c r="Y114" s="1255"/>
      <c r="Z114" s="1255"/>
      <c r="AA114" s="1255"/>
      <c r="AB114" s="1255"/>
      <c r="AC114" s="1255"/>
      <c r="AD114" s="1255"/>
      <c r="AE114" s="1255"/>
      <c r="AF114" s="1255"/>
      <c r="AG114" s="1255"/>
      <c r="AH114" s="1255"/>
      <c r="AI114" s="1255"/>
      <c r="AJ114" s="1255"/>
      <c r="AK114" s="1255"/>
      <c r="AL114" s="1255"/>
    </row>
    <row r="115" spans="20:38" ht="14.4" hidden="1" customHeight="1" x14ac:dyDescent="0.3">
      <c r="T115" s="1255"/>
      <c r="U115" s="1255"/>
      <c r="V115" s="1255"/>
      <c r="W115" s="1255"/>
      <c r="X115" s="1255"/>
      <c r="Y115" s="1255"/>
      <c r="Z115" s="1255"/>
      <c r="AA115" s="1255"/>
      <c r="AB115" s="1255"/>
      <c r="AC115" s="1255"/>
      <c r="AD115" s="1255"/>
      <c r="AE115" s="1255"/>
      <c r="AF115" s="1255"/>
      <c r="AG115" s="1255"/>
      <c r="AH115" s="1255"/>
      <c r="AI115" s="1255"/>
      <c r="AJ115" s="1255"/>
      <c r="AK115" s="1255"/>
      <c r="AL115" s="1255"/>
    </row>
    <row r="116" spans="20:38" ht="14.4" hidden="1" customHeight="1" x14ac:dyDescent="0.3">
      <c r="T116" s="1255"/>
      <c r="U116" s="1255"/>
      <c r="V116" s="1255"/>
      <c r="W116" s="1255"/>
      <c r="X116" s="1255"/>
      <c r="Y116" s="1255"/>
      <c r="Z116" s="1255"/>
      <c r="AA116" s="1255"/>
      <c r="AB116" s="1255"/>
      <c r="AC116" s="1255"/>
      <c r="AD116" s="1255"/>
      <c r="AE116" s="1255"/>
      <c r="AF116" s="1255"/>
      <c r="AG116" s="1255"/>
      <c r="AH116" s="1255"/>
      <c r="AI116" s="1255"/>
      <c r="AJ116" s="1255"/>
      <c r="AK116" s="1255"/>
      <c r="AL116" s="1255"/>
    </row>
    <row r="117" spans="20:38" ht="14.4" hidden="1" customHeight="1" x14ac:dyDescent="0.3">
      <c r="T117" s="1255"/>
      <c r="U117" s="1255"/>
      <c r="V117" s="1255"/>
      <c r="W117" s="1255"/>
      <c r="X117" s="1255"/>
      <c r="Y117" s="1255"/>
      <c r="Z117" s="1255"/>
      <c r="AA117" s="1255"/>
      <c r="AB117" s="1255"/>
      <c r="AC117" s="1255"/>
      <c r="AD117" s="1255"/>
      <c r="AE117" s="1255"/>
      <c r="AF117" s="1255"/>
      <c r="AG117" s="1255"/>
      <c r="AH117" s="1255"/>
      <c r="AI117" s="1255"/>
      <c r="AJ117" s="1255"/>
      <c r="AK117" s="1255"/>
      <c r="AL117" s="1255"/>
    </row>
    <row r="118" spans="20:38" ht="14.4" hidden="1" customHeight="1" x14ac:dyDescent="0.3">
      <c r="T118" s="1255"/>
      <c r="U118" s="1255"/>
      <c r="V118" s="1255"/>
      <c r="W118" s="1255"/>
      <c r="X118" s="1255"/>
      <c r="Y118" s="1255"/>
      <c r="Z118" s="1255"/>
      <c r="AA118" s="1255"/>
      <c r="AB118" s="1255"/>
      <c r="AC118" s="1255"/>
      <c r="AD118" s="1255"/>
      <c r="AE118" s="1255"/>
      <c r="AF118" s="1255"/>
      <c r="AG118" s="1255"/>
      <c r="AH118" s="1255"/>
      <c r="AI118" s="1255"/>
      <c r="AJ118" s="1255"/>
      <c r="AK118" s="1255"/>
      <c r="AL118" s="1255"/>
    </row>
    <row r="119" spans="20:38" ht="14.4" hidden="1" customHeight="1" x14ac:dyDescent="0.3">
      <c r="T119" s="1255"/>
      <c r="U119" s="1255"/>
      <c r="V119" s="1255"/>
      <c r="W119" s="1255"/>
      <c r="X119" s="1255"/>
      <c r="Y119" s="1255"/>
      <c r="Z119" s="1255"/>
      <c r="AA119" s="1255"/>
      <c r="AB119" s="1255"/>
      <c r="AC119" s="1255"/>
      <c r="AD119" s="1255"/>
      <c r="AE119" s="1255"/>
      <c r="AF119" s="1255"/>
      <c r="AG119" s="1255"/>
      <c r="AH119" s="1255"/>
      <c r="AI119" s="1255"/>
      <c r="AJ119" s="1255"/>
      <c r="AK119" s="1255"/>
      <c r="AL119" s="1255"/>
    </row>
    <row r="120" spans="20:38" ht="14.4" hidden="1" customHeight="1" x14ac:dyDescent="0.3">
      <c r="T120" s="1255"/>
      <c r="U120" s="1255"/>
      <c r="V120" s="1255"/>
      <c r="W120" s="1255"/>
      <c r="X120" s="1255"/>
      <c r="Y120" s="1255"/>
      <c r="Z120" s="1255"/>
      <c r="AA120" s="1255"/>
      <c r="AB120" s="1255"/>
      <c r="AC120" s="1255"/>
      <c r="AD120" s="1255"/>
      <c r="AE120" s="1255"/>
      <c r="AF120" s="1255"/>
      <c r="AG120" s="1255"/>
      <c r="AH120" s="1255"/>
      <c r="AI120" s="1255"/>
      <c r="AJ120" s="1255"/>
      <c r="AK120" s="1255"/>
      <c r="AL120" s="1255"/>
    </row>
    <row r="121" spans="20:38" ht="14.4" hidden="1" customHeight="1" x14ac:dyDescent="0.3">
      <c r="T121" s="1255"/>
      <c r="U121" s="1255"/>
      <c r="V121" s="1255"/>
      <c r="W121" s="1255"/>
      <c r="X121" s="1255"/>
      <c r="Y121" s="1255"/>
      <c r="Z121" s="1255"/>
      <c r="AA121" s="1255"/>
      <c r="AB121" s="1255"/>
      <c r="AC121" s="1255"/>
      <c r="AD121" s="1255"/>
      <c r="AE121" s="1255"/>
      <c r="AF121" s="1255"/>
      <c r="AG121" s="1255"/>
      <c r="AH121" s="1255"/>
      <c r="AI121" s="1255"/>
      <c r="AJ121" s="1255"/>
      <c r="AK121" s="1255"/>
      <c r="AL121" s="1255"/>
    </row>
    <row r="122" spans="20:38" ht="14.4" hidden="1" customHeight="1" x14ac:dyDescent="0.3">
      <c r="T122" s="1255"/>
      <c r="U122" s="1255"/>
      <c r="V122" s="1255"/>
      <c r="W122" s="1255"/>
      <c r="X122" s="1255"/>
      <c r="Y122" s="1255"/>
      <c r="Z122" s="1255"/>
      <c r="AA122" s="1255"/>
      <c r="AB122" s="1255"/>
      <c r="AC122" s="1255"/>
      <c r="AD122" s="1255"/>
      <c r="AE122" s="1255"/>
      <c r="AF122" s="1255"/>
      <c r="AG122" s="1255"/>
      <c r="AH122" s="1255"/>
      <c r="AI122" s="1255"/>
      <c r="AJ122" s="1255"/>
      <c r="AK122" s="1255"/>
      <c r="AL122" s="1255"/>
    </row>
    <row r="123" spans="20:38" ht="14.4" hidden="1" customHeight="1" x14ac:dyDescent="0.3">
      <c r="T123" s="1255"/>
      <c r="U123" s="1255"/>
      <c r="V123" s="1255"/>
      <c r="W123" s="1255"/>
      <c r="X123" s="1255"/>
      <c r="Y123" s="1255"/>
      <c r="Z123" s="1255"/>
      <c r="AA123" s="1255"/>
      <c r="AB123" s="1255"/>
      <c r="AC123" s="1255"/>
      <c r="AD123" s="1255"/>
      <c r="AE123" s="1255"/>
      <c r="AF123" s="1255"/>
      <c r="AG123" s="1255"/>
      <c r="AH123" s="1255"/>
      <c r="AI123" s="1255"/>
      <c r="AJ123" s="1255"/>
      <c r="AK123" s="1255"/>
      <c r="AL123" s="1255"/>
    </row>
    <row r="124" spans="20:38" ht="14.4" hidden="1" customHeight="1" x14ac:dyDescent="0.3">
      <c r="T124" s="1255"/>
      <c r="U124" s="1255"/>
      <c r="V124" s="1255"/>
      <c r="W124" s="1255"/>
      <c r="X124" s="1255"/>
      <c r="Y124" s="1255"/>
      <c r="Z124" s="1255"/>
      <c r="AA124" s="1255"/>
      <c r="AB124" s="1255"/>
      <c r="AC124" s="1255"/>
      <c r="AD124" s="1255"/>
      <c r="AE124" s="1255"/>
      <c r="AF124" s="1255"/>
      <c r="AG124" s="1255"/>
      <c r="AH124" s="1255"/>
      <c r="AI124" s="1255"/>
      <c r="AJ124" s="1255"/>
      <c r="AK124" s="1255"/>
      <c r="AL124" s="1255"/>
    </row>
    <row r="125" spans="20:38" ht="14.4" hidden="1" customHeight="1" x14ac:dyDescent="0.3">
      <c r="T125" s="1255"/>
      <c r="U125" s="1255"/>
      <c r="V125" s="1255"/>
      <c r="W125" s="1255"/>
      <c r="X125" s="1255"/>
      <c r="Y125" s="1255"/>
      <c r="Z125" s="1255"/>
      <c r="AA125" s="1255"/>
      <c r="AB125" s="1255"/>
      <c r="AC125" s="1255"/>
      <c r="AD125" s="1255"/>
      <c r="AE125" s="1255"/>
      <c r="AF125" s="1255"/>
      <c r="AG125" s="1255"/>
      <c r="AH125" s="1255"/>
      <c r="AI125" s="1255"/>
      <c r="AJ125" s="1255"/>
      <c r="AK125" s="1255"/>
      <c r="AL125" s="1255"/>
    </row>
    <row r="126" spans="20:38" ht="14.4" hidden="1" customHeight="1" x14ac:dyDescent="0.3">
      <c r="T126" s="1255"/>
      <c r="U126" s="1255"/>
      <c r="V126" s="1255"/>
      <c r="W126" s="1255"/>
      <c r="X126" s="1255"/>
      <c r="Y126" s="1255"/>
      <c r="Z126" s="1255"/>
      <c r="AA126" s="1255"/>
      <c r="AB126" s="1255"/>
      <c r="AC126" s="1255"/>
      <c r="AD126" s="1255"/>
      <c r="AE126" s="1255"/>
      <c r="AF126" s="1255"/>
      <c r="AG126" s="1255"/>
      <c r="AH126" s="1255"/>
      <c r="AI126" s="1255"/>
      <c r="AJ126" s="1255"/>
      <c r="AK126" s="1255"/>
      <c r="AL126" s="1255"/>
    </row>
    <row r="127" spans="20:38" ht="14.4" hidden="1" customHeight="1" x14ac:dyDescent="0.3">
      <c r="T127" s="1255"/>
      <c r="U127" s="1255"/>
      <c r="V127" s="1255"/>
      <c r="W127" s="1255"/>
      <c r="X127" s="1255"/>
      <c r="Y127" s="1255"/>
      <c r="Z127" s="1255"/>
      <c r="AA127" s="1255"/>
      <c r="AB127" s="1255"/>
      <c r="AC127" s="1255"/>
      <c r="AD127" s="1255"/>
      <c r="AE127" s="1255"/>
      <c r="AF127" s="1255"/>
      <c r="AG127" s="1255"/>
      <c r="AH127" s="1255"/>
      <c r="AI127" s="1255"/>
      <c r="AJ127" s="1255"/>
      <c r="AK127" s="1255"/>
      <c r="AL127" s="1255"/>
    </row>
    <row r="128" spans="20:38" ht="14.4" hidden="1" customHeight="1" x14ac:dyDescent="0.3">
      <c r="T128" s="1255"/>
      <c r="U128" s="1255"/>
      <c r="V128" s="1255"/>
      <c r="W128" s="1255"/>
      <c r="X128" s="1255"/>
      <c r="Y128" s="1255"/>
      <c r="Z128" s="1255"/>
      <c r="AA128" s="1255"/>
      <c r="AB128" s="1255"/>
      <c r="AC128" s="1255"/>
      <c r="AD128" s="1255"/>
      <c r="AE128" s="1255"/>
      <c r="AF128" s="1255"/>
      <c r="AG128" s="1255"/>
      <c r="AH128" s="1255"/>
      <c r="AI128" s="1255"/>
      <c r="AJ128" s="1255"/>
      <c r="AK128" s="1255"/>
      <c r="AL128" s="1255"/>
    </row>
    <row r="129" spans="20:38" ht="14.4" hidden="1" customHeight="1" x14ac:dyDescent="0.3">
      <c r="T129" s="1255"/>
      <c r="U129" s="1255"/>
      <c r="V129" s="1255"/>
      <c r="W129" s="1255"/>
      <c r="X129" s="1255"/>
      <c r="Y129" s="1255"/>
      <c r="Z129" s="1255"/>
      <c r="AA129" s="1255"/>
      <c r="AB129" s="1255"/>
      <c r="AC129" s="1255"/>
      <c r="AD129" s="1255"/>
      <c r="AE129" s="1255"/>
      <c r="AF129" s="1255"/>
      <c r="AG129" s="1255"/>
      <c r="AH129" s="1255"/>
      <c r="AI129" s="1255"/>
      <c r="AJ129" s="1255"/>
      <c r="AK129" s="1255"/>
      <c r="AL129" s="1255"/>
    </row>
    <row r="130" spans="20:38" ht="14.4" hidden="1" customHeight="1" x14ac:dyDescent="0.3">
      <c r="T130" s="1255"/>
      <c r="U130" s="1255"/>
      <c r="V130" s="1255"/>
      <c r="W130" s="1255"/>
      <c r="X130" s="1255"/>
      <c r="Y130" s="1255"/>
      <c r="Z130" s="1255"/>
      <c r="AA130" s="1255"/>
      <c r="AB130" s="1255"/>
      <c r="AC130" s="1255"/>
      <c r="AD130" s="1255"/>
      <c r="AE130" s="1255"/>
      <c r="AF130" s="1255"/>
      <c r="AG130" s="1255"/>
      <c r="AH130" s="1255"/>
      <c r="AI130" s="1255"/>
      <c r="AJ130" s="1255"/>
      <c r="AK130" s="1255"/>
      <c r="AL130" s="1255"/>
    </row>
    <row r="131" spans="20:38" ht="14.4" hidden="1" customHeight="1" x14ac:dyDescent="0.3">
      <c r="T131" s="1255"/>
      <c r="U131" s="1255"/>
      <c r="V131" s="1255"/>
      <c r="W131" s="1255"/>
      <c r="X131" s="1255"/>
      <c r="Y131" s="1255"/>
      <c r="Z131" s="1255"/>
      <c r="AA131" s="1255"/>
      <c r="AB131" s="1255"/>
      <c r="AC131" s="1255"/>
      <c r="AD131" s="1255"/>
      <c r="AE131" s="1255"/>
      <c r="AF131" s="1255"/>
      <c r="AG131" s="1255"/>
      <c r="AH131" s="1255"/>
      <c r="AI131" s="1255"/>
      <c r="AJ131" s="1255"/>
      <c r="AK131" s="1255"/>
      <c r="AL131" s="1255"/>
    </row>
    <row r="132" spans="20:38" ht="14.4" hidden="1" customHeight="1" x14ac:dyDescent="0.3">
      <c r="T132" s="1255"/>
      <c r="U132" s="1255"/>
      <c r="V132" s="1255"/>
      <c r="W132" s="1255"/>
      <c r="X132" s="1255"/>
      <c r="Y132" s="1255"/>
      <c r="Z132" s="1255"/>
      <c r="AA132" s="1255"/>
      <c r="AB132" s="1255"/>
      <c r="AC132" s="1255"/>
      <c r="AD132" s="1255"/>
      <c r="AE132" s="1255"/>
      <c r="AF132" s="1255"/>
      <c r="AG132" s="1255"/>
      <c r="AH132" s="1255"/>
      <c r="AI132" s="1255"/>
      <c r="AJ132" s="1255"/>
      <c r="AK132" s="1255"/>
      <c r="AL132" s="1255"/>
    </row>
    <row r="133" spans="20:38" ht="14.4" hidden="1" customHeight="1" x14ac:dyDescent="0.3">
      <c r="T133" s="1255"/>
      <c r="U133" s="1255"/>
      <c r="V133" s="1255"/>
      <c r="W133" s="1255"/>
      <c r="X133" s="1255"/>
      <c r="Y133" s="1255"/>
      <c r="Z133" s="1255"/>
      <c r="AA133" s="1255"/>
      <c r="AB133" s="1255"/>
      <c r="AC133" s="1255"/>
      <c r="AD133" s="1255"/>
      <c r="AE133" s="1255"/>
      <c r="AF133" s="1255"/>
      <c r="AG133" s="1255"/>
      <c r="AH133" s="1255"/>
      <c r="AI133" s="1255"/>
      <c r="AJ133" s="1255"/>
      <c r="AK133" s="1255"/>
      <c r="AL133" s="1255"/>
    </row>
    <row r="134" spans="20:38" ht="14.4" hidden="1" customHeight="1" x14ac:dyDescent="0.3">
      <c r="T134" s="1255"/>
      <c r="U134" s="1255"/>
      <c r="V134" s="1255"/>
      <c r="W134" s="1255"/>
      <c r="X134" s="1255"/>
      <c r="Y134" s="1255"/>
      <c r="Z134" s="1255"/>
      <c r="AA134" s="1255"/>
      <c r="AB134" s="1255"/>
      <c r="AC134" s="1255"/>
      <c r="AD134" s="1255"/>
      <c r="AE134" s="1255"/>
      <c r="AF134" s="1255"/>
      <c r="AG134" s="1255"/>
      <c r="AH134" s="1255"/>
      <c r="AI134" s="1255"/>
      <c r="AJ134" s="1255"/>
      <c r="AK134" s="1255"/>
      <c r="AL134" s="1255"/>
    </row>
    <row r="135" spans="20:38" ht="14.4" hidden="1" customHeight="1" x14ac:dyDescent="0.3">
      <c r="T135" s="1255"/>
      <c r="U135" s="1255"/>
      <c r="V135" s="1255"/>
      <c r="W135" s="1255"/>
      <c r="X135" s="1255"/>
      <c r="Y135" s="1255"/>
      <c r="Z135" s="1255"/>
      <c r="AA135" s="1255"/>
      <c r="AB135" s="1255"/>
      <c r="AC135" s="1255"/>
      <c r="AD135" s="1255"/>
      <c r="AE135" s="1255"/>
      <c r="AF135" s="1255"/>
      <c r="AG135" s="1255"/>
      <c r="AH135" s="1255"/>
      <c r="AI135" s="1255"/>
      <c r="AJ135" s="1255"/>
      <c r="AK135" s="1255"/>
      <c r="AL135" s="1255"/>
    </row>
    <row r="136" spans="20:38" ht="14.4" hidden="1" customHeight="1" x14ac:dyDescent="0.3">
      <c r="T136" s="1255"/>
      <c r="U136" s="1255"/>
      <c r="V136" s="1255"/>
      <c r="W136" s="1255"/>
      <c r="X136" s="1255"/>
      <c r="Y136" s="1255"/>
      <c r="Z136" s="1255"/>
      <c r="AA136" s="1255"/>
      <c r="AB136" s="1255"/>
      <c r="AC136" s="1255"/>
      <c r="AD136" s="1255"/>
      <c r="AE136" s="1255"/>
      <c r="AF136" s="1255"/>
      <c r="AG136" s="1255"/>
      <c r="AH136" s="1255"/>
      <c r="AI136" s="1255"/>
      <c r="AJ136" s="1255"/>
      <c r="AK136" s="1255"/>
      <c r="AL136" s="1255"/>
    </row>
    <row r="137" spans="20:38" ht="14.4" hidden="1" customHeight="1" x14ac:dyDescent="0.3">
      <c r="T137" s="1255"/>
      <c r="U137" s="1255"/>
      <c r="V137" s="1255"/>
      <c r="W137" s="1255"/>
      <c r="X137" s="1255"/>
      <c r="Y137" s="1255"/>
      <c r="Z137" s="1255"/>
      <c r="AA137" s="1255"/>
      <c r="AB137" s="1255"/>
      <c r="AC137" s="1255"/>
      <c r="AD137" s="1255"/>
      <c r="AE137" s="1255"/>
      <c r="AF137" s="1255"/>
      <c r="AG137" s="1255"/>
      <c r="AH137" s="1255"/>
      <c r="AI137" s="1255"/>
      <c r="AJ137" s="1255"/>
      <c r="AK137" s="1255"/>
      <c r="AL137" s="1255"/>
    </row>
    <row r="138" spans="20:38" ht="14.4" hidden="1" customHeight="1" x14ac:dyDescent="0.3">
      <c r="T138" s="1255"/>
      <c r="U138" s="1255"/>
      <c r="V138" s="1255"/>
      <c r="W138" s="1255"/>
      <c r="X138" s="1255"/>
      <c r="Y138" s="1255"/>
      <c r="Z138" s="1255"/>
      <c r="AA138" s="1255"/>
      <c r="AB138" s="1255"/>
      <c r="AC138" s="1255"/>
      <c r="AD138" s="1255"/>
      <c r="AE138" s="1255"/>
      <c r="AF138" s="1255"/>
      <c r="AG138" s="1255"/>
      <c r="AH138" s="1255"/>
      <c r="AI138" s="1255"/>
      <c r="AJ138" s="1255"/>
      <c r="AK138" s="1255"/>
      <c r="AL138" s="1255"/>
    </row>
  </sheetData>
  <sheetProtection algorithmName="SHA-512" hashValue="C6y9U9XkotxNwyXW/97m4fvGjOKMgqAEJAzzVlK3B6XOTuzrBhtIleIaK67Ii80U8ZxbI7CvaSDZ/jmZcIu2BA==" saltValue="IIJ+xFYQY9XuHSvwgVCeMQ==" spinCount="100000" sheet="1" objects="1" scenarios="1" selectLockedCells="1"/>
  <mergeCells count="94">
    <mergeCell ref="AQ7:AQ27"/>
    <mergeCell ref="A2:AJ3"/>
    <mergeCell ref="AP2:AS3"/>
    <mergeCell ref="BD3:BH3"/>
    <mergeCell ref="BI3:BM3"/>
    <mergeCell ref="B5:D5"/>
    <mergeCell ref="F5:H5"/>
    <mergeCell ref="J5:L5"/>
    <mergeCell ref="N5:P5"/>
    <mergeCell ref="R5:T5"/>
    <mergeCell ref="V5:X5"/>
    <mergeCell ref="B7:F7"/>
    <mergeCell ref="S7:U7"/>
    <mergeCell ref="AJ7:AJ8"/>
    <mergeCell ref="B8:F8"/>
    <mergeCell ref="H8:Q8"/>
    <mergeCell ref="M10:Q10"/>
    <mergeCell ref="AC8:AG8"/>
    <mergeCell ref="B9:F9"/>
    <mergeCell ref="H9:Q9"/>
    <mergeCell ref="AC9:AD9"/>
    <mergeCell ref="S8:Y9"/>
    <mergeCell ref="AF9:AK9"/>
    <mergeCell ref="AD10:AD12"/>
    <mergeCell ref="AE10:AE16"/>
    <mergeCell ref="AD14:AD21"/>
    <mergeCell ref="AB19:AC19"/>
    <mergeCell ref="S13:Y17"/>
    <mergeCell ref="S10:Y12"/>
    <mergeCell ref="S18:Y23"/>
    <mergeCell ref="H10:L10"/>
    <mergeCell ref="B13:F13"/>
    <mergeCell ref="B14:F14"/>
    <mergeCell ref="B19:F19"/>
    <mergeCell ref="B21:F21"/>
    <mergeCell ref="H23:Q23"/>
    <mergeCell ref="H13:Q13"/>
    <mergeCell ref="H14:Q14"/>
    <mergeCell ref="H18:Q18"/>
    <mergeCell ref="H19:Q19"/>
    <mergeCell ref="N20:Q20"/>
    <mergeCell ref="H21:J22"/>
    <mergeCell ref="K21:M22"/>
    <mergeCell ref="N21:Q22"/>
    <mergeCell ref="B11:F11"/>
    <mergeCell ref="H11:L11"/>
    <mergeCell ref="M11:Q11"/>
    <mergeCell ref="B12:F12"/>
    <mergeCell ref="H12:Q12"/>
    <mergeCell ref="AR14:AR18"/>
    <mergeCell ref="B15:F15"/>
    <mergeCell ref="H15:Q15"/>
    <mergeCell ref="B16:E16"/>
    <mergeCell ref="F16:I16"/>
    <mergeCell ref="J16:M16"/>
    <mergeCell ref="N16:Q16"/>
    <mergeCell ref="B17:F17"/>
    <mergeCell ref="H17:Q17"/>
    <mergeCell ref="B18:F18"/>
    <mergeCell ref="AM14:AM21"/>
    <mergeCell ref="AN19:AO19"/>
    <mergeCell ref="AR19:AR23"/>
    <mergeCell ref="B20:E20"/>
    <mergeCell ref="F20:I20"/>
    <mergeCell ref="J20:M20"/>
    <mergeCell ref="B24:F24"/>
    <mergeCell ref="H24:Q24"/>
    <mergeCell ref="AC24:AG24"/>
    <mergeCell ref="B25:F25"/>
    <mergeCell ref="H25:Q25"/>
    <mergeCell ref="S24:U24"/>
    <mergeCell ref="S25:Y31"/>
    <mergeCell ref="AF25:AK25"/>
    <mergeCell ref="B26:F26"/>
    <mergeCell ref="H26:Q26"/>
    <mergeCell ref="AJ26:AJ27"/>
    <mergeCell ref="B27:F27"/>
    <mergeCell ref="H27:Q27"/>
    <mergeCell ref="G7:R7"/>
    <mergeCell ref="AI30:AK30"/>
    <mergeCell ref="AO31:AR32"/>
    <mergeCell ref="B32:Q32"/>
    <mergeCell ref="B28:F28"/>
    <mergeCell ref="H28:Q28"/>
    <mergeCell ref="H29:I29"/>
    <mergeCell ref="J29:Q29"/>
    <mergeCell ref="B30:J31"/>
    <mergeCell ref="K30:K31"/>
    <mergeCell ref="L30:Q31"/>
    <mergeCell ref="AF30:AH30"/>
    <mergeCell ref="AB29:AO29"/>
    <mergeCell ref="AM23:AM25"/>
    <mergeCell ref="AL19:AL25"/>
    <mergeCell ref="AC25:AD25"/>
  </mergeCells>
  <conditionalFormatting sqref="B9:G9">
    <cfRule type="expression" dxfId="679" priority="68">
      <formula>$B$9=0</formula>
    </cfRule>
  </conditionalFormatting>
  <conditionalFormatting sqref="B18:Q18">
    <cfRule type="expression" dxfId="678" priority="67">
      <formula>$B$18=0</formula>
    </cfRule>
  </conditionalFormatting>
  <conditionalFormatting sqref="B14:Q14">
    <cfRule type="expression" dxfId="677" priority="66">
      <formula>$B$14=0</formula>
    </cfRule>
  </conditionalFormatting>
  <conditionalFormatting sqref="B19:G19">
    <cfRule type="expression" dxfId="676" priority="64">
      <formula>$B$19=0</formula>
    </cfRule>
  </conditionalFormatting>
  <conditionalFormatting sqref="H23">
    <cfRule type="expression" dxfId="675" priority="69">
      <formula>$H$25&gt;0</formula>
    </cfRule>
  </conditionalFormatting>
  <conditionalFormatting sqref="AA9:AA10 AA24:AA25">
    <cfRule type="expression" dxfId="674" priority="78">
      <formula>$AU$17=1</formula>
    </cfRule>
  </conditionalFormatting>
  <conditionalFormatting sqref="AP9:AP10 AP24:AP25">
    <cfRule type="expression" dxfId="673" priority="79">
      <formula>$AU$17=2</formula>
    </cfRule>
  </conditionalFormatting>
  <conditionalFormatting sqref="AC6:AD6 AM6:AN6">
    <cfRule type="expression" dxfId="672" priority="80">
      <formula>$AU$17=3</formula>
    </cfRule>
  </conditionalFormatting>
  <conditionalFormatting sqref="AC28:AD28 AM28:AN28">
    <cfRule type="expression" dxfId="671" priority="81">
      <formula>$AU$17=4</formula>
    </cfRule>
  </conditionalFormatting>
  <conditionalFormatting sqref="AA16:AA17">
    <cfRule type="expression" dxfId="670" priority="90">
      <formula>$AU$24="1_3"</formula>
    </cfRule>
  </conditionalFormatting>
  <conditionalFormatting sqref="AP16:AP17">
    <cfRule type="expression" dxfId="669" priority="91">
      <formula>$AU$24="2_3"</formula>
    </cfRule>
  </conditionalFormatting>
  <conditionalFormatting sqref="AH6:AI6">
    <cfRule type="expression" dxfId="668" priority="92">
      <formula>$AU$24="3_3"</formula>
    </cfRule>
  </conditionalFormatting>
  <conditionalFormatting sqref="AH28:AI28">
    <cfRule type="expression" dxfId="667" priority="93">
      <formula>$AU$24="4_3"</formula>
    </cfRule>
  </conditionalFormatting>
  <conditionalFormatting sqref="B11:G11">
    <cfRule type="expression" dxfId="666" priority="99">
      <formula>$AU$10=0</formula>
    </cfRule>
  </conditionalFormatting>
  <conditionalFormatting sqref="B5 F5 J5 N5 R5 V5">
    <cfRule type="cellIs" dxfId="665" priority="53" operator="equal">
      <formula>$A$2</formula>
    </cfRule>
  </conditionalFormatting>
  <conditionalFormatting sqref="S24">
    <cfRule type="cellIs" dxfId="664" priority="50" operator="equal">
      <formula>0</formula>
    </cfRule>
  </conditionalFormatting>
  <conditionalFormatting sqref="S7">
    <cfRule type="cellIs" dxfId="663" priority="51" operator="equal">
      <formula>0</formula>
    </cfRule>
  </conditionalFormatting>
  <conditionalFormatting sqref="S10:Y23">
    <cfRule type="cellIs" dxfId="662" priority="49" operator="equal">
      <formula>0</formula>
    </cfRule>
  </conditionalFormatting>
  <conditionalFormatting sqref="H9:Q9">
    <cfRule type="expression" dxfId="661" priority="45">
      <formula>$B$9=0</formula>
    </cfRule>
  </conditionalFormatting>
  <conditionalFormatting sqref="M11:Q11">
    <cfRule type="expression" dxfId="660" priority="46">
      <formula>$AU$10=1</formula>
    </cfRule>
  </conditionalFormatting>
  <conditionalFormatting sqref="H11:L11">
    <cfRule type="expression" dxfId="659" priority="47">
      <formula>$AU$10=2</formula>
    </cfRule>
  </conditionalFormatting>
  <conditionalFormatting sqref="H11:Q11">
    <cfRule type="expression" dxfId="658" priority="48">
      <formula>$AU$10=0</formula>
    </cfRule>
  </conditionalFormatting>
  <conditionalFormatting sqref="H10:L10">
    <cfRule type="expression" dxfId="657" priority="39">
      <formula>$AU$10=2</formula>
    </cfRule>
  </conditionalFormatting>
  <conditionalFormatting sqref="H10:L10">
    <cfRule type="expression" dxfId="656" priority="40">
      <formula>$AU$10=0</formula>
    </cfRule>
  </conditionalFormatting>
  <conditionalFormatting sqref="M10:Q10">
    <cfRule type="expression" dxfId="655" priority="37">
      <formula>$AU$10=1</formula>
    </cfRule>
  </conditionalFormatting>
  <conditionalFormatting sqref="M10:Q10">
    <cfRule type="expression" dxfId="654" priority="38">
      <formula>$AU$10=0</formula>
    </cfRule>
  </conditionalFormatting>
  <conditionalFormatting sqref="S8">
    <cfRule type="cellIs" dxfId="653" priority="34" operator="equal">
      <formula>0</formula>
    </cfRule>
  </conditionalFormatting>
  <conditionalFormatting sqref="AQ7:AQ27">
    <cfRule type="cellIs" dxfId="652" priority="35" operator="equal">
      <formula>0</formula>
    </cfRule>
  </conditionalFormatting>
  <conditionalFormatting sqref="S8:Y9">
    <cfRule type="cellIs" dxfId="651" priority="33" operator="equal">
      <formula>0</formula>
    </cfRule>
  </conditionalFormatting>
  <conditionalFormatting sqref="B20:Q20">
    <cfRule type="expression" dxfId="650" priority="31">
      <formula>$B$20=0</formula>
    </cfRule>
    <cfRule type="expression" dxfId="649" priority="32">
      <formula>$B$19=0</formula>
    </cfRule>
  </conditionalFormatting>
  <conditionalFormatting sqref="G7">
    <cfRule type="expression" dxfId="648" priority="30">
      <formula>$AS$33=1</formula>
    </cfRule>
  </conditionalFormatting>
  <conditionalFormatting sqref="G7:R7">
    <cfRule type="cellIs" dxfId="647" priority="29" operator="equal">
      <formula>0</formula>
    </cfRule>
  </conditionalFormatting>
  <conditionalFormatting sqref="R8">
    <cfRule type="expression" dxfId="646" priority="28">
      <formula>$AS$33=1</formula>
    </cfRule>
  </conditionalFormatting>
  <conditionalFormatting sqref="S25:Y31">
    <cfRule type="expression" dxfId="645" priority="27">
      <formula>$AS$33=1</formula>
    </cfRule>
  </conditionalFormatting>
  <conditionalFormatting sqref="AD14:AD21">
    <cfRule type="expression" dxfId="644" priority="7">
      <formula>$AU$25=1</formula>
    </cfRule>
  </conditionalFormatting>
  <conditionalFormatting sqref="AD10:AD12 AB19:AC19">
    <cfRule type="expression" dxfId="643" priority="8">
      <formula>$AU$25=1</formula>
    </cfRule>
  </conditionalFormatting>
  <conditionalFormatting sqref="AM14:AM21">
    <cfRule type="expression" dxfId="642" priority="9">
      <formula>$AU$25=2</formula>
    </cfRule>
  </conditionalFormatting>
  <conditionalFormatting sqref="AM23:AM25 AN19:AO19">
    <cfRule type="expression" dxfId="641" priority="10">
      <formula>$AU$25=2</formula>
    </cfRule>
  </conditionalFormatting>
  <conditionalFormatting sqref="AF9:AK9">
    <cfRule type="expression" dxfId="640" priority="11">
      <formula>$AU$25=3</formula>
    </cfRule>
  </conditionalFormatting>
  <conditionalFormatting sqref="AC9:AD9 AJ7:AJ8">
    <cfRule type="expression" dxfId="639" priority="12">
      <formula>$AU$25=3</formula>
    </cfRule>
  </conditionalFormatting>
  <conditionalFormatting sqref="AF25:AK25">
    <cfRule type="expression" dxfId="638" priority="13">
      <formula>$AU$25=4</formula>
    </cfRule>
  </conditionalFormatting>
  <conditionalFormatting sqref="AC25:AD25 AJ26:AJ27">
    <cfRule type="expression" dxfId="637" priority="14">
      <formula>$AU$25=4</formula>
    </cfRule>
  </conditionalFormatting>
  <conditionalFormatting sqref="AC24:AG24">
    <cfRule type="expression" dxfId="636" priority="15">
      <formula>$AU$25=4</formula>
    </cfRule>
  </conditionalFormatting>
  <conditionalFormatting sqref="AE10:AE16">
    <cfRule type="expression" dxfId="635" priority="16">
      <formula>$AU$25=1</formula>
    </cfRule>
  </conditionalFormatting>
  <conditionalFormatting sqref="AL19:AL25">
    <cfRule type="expression" dxfId="634" priority="17">
      <formula>$AU$25=2</formula>
    </cfRule>
  </conditionalFormatting>
  <conditionalFormatting sqref="AC8:AG8">
    <cfRule type="expression" dxfId="633" priority="18">
      <formula>$AU$25=3</formula>
    </cfRule>
  </conditionalFormatting>
  <conditionalFormatting sqref="AC14 AC20">
    <cfRule type="expression" dxfId="632" priority="19">
      <formula>$AU$25=1</formula>
    </cfRule>
  </conditionalFormatting>
  <conditionalFormatting sqref="AN20 AN14">
    <cfRule type="expression" dxfId="631" priority="20">
      <formula>$AU$25=2</formula>
    </cfRule>
  </conditionalFormatting>
  <conditionalFormatting sqref="AJ10 AF10">
    <cfRule type="expression" dxfId="630" priority="21">
      <formula>$AU$25=3</formula>
    </cfRule>
  </conditionalFormatting>
  <conditionalFormatting sqref="AF26">
    <cfRule type="expression" dxfId="629" priority="22">
      <formula>$AU$25=4</formula>
    </cfRule>
  </conditionalFormatting>
  <conditionalFormatting sqref="AH7:AH8 AH10:AH24 AH26:AH27">
    <cfRule type="expression" dxfId="628" priority="23">
      <formula>$AU$10=2</formula>
    </cfRule>
  </conditionalFormatting>
  <conditionalFormatting sqref="AB17:AC17 AE17:AL17 AN17:AO17">
    <cfRule type="expression" dxfId="627" priority="24">
      <formula>$AU$10=1</formula>
    </cfRule>
  </conditionalFormatting>
  <conditionalFormatting sqref="AH26:AH27 AH18:AH24 AH10:AH16 AH7:AH8">
    <cfRule type="expression" dxfId="626" priority="25">
      <formula>$AU$10=3</formula>
    </cfRule>
  </conditionalFormatting>
  <conditionalFormatting sqref="AB17:AC17 AE17:AG17 AI17:AL17 AN17:AO17">
    <cfRule type="expression" dxfId="625" priority="26">
      <formula>$AU$10=3</formula>
    </cfRule>
  </conditionalFormatting>
  <conditionalFormatting sqref="AB29:AO29">
    <cfRule type="cellIs" dxfId="624" priority="6" operator="equal">
      <formula>0</formula>
    </cfRule>
  </conditionalFormatting>
  <conditionalFormatting sqref="AB29:AO29">
    <cfRule type="expression" dxfId="623" priority="5">
      <formula>$AS$33=1</formula>
    </cfRule>
  </conditionalFormatting>
  <conditionalFormatting sqref="H19:Q19">
    <cfRule type="expression" dxfId="622" priority="4">
      <formula>$B$19=0</formula>
    </cfRule>
  </conditionalFormatting>
  <conditionalFormatting sqref="B16:Q16">
    <cfRule type="expression" dxfId="621" priority="2">
      <formula>$AU$19=0</formula>
    </cfRule>
  </conditionalFormatting>
  <conditionalFormatting sqref="B17:Q17">
    <cfRule type="expression" dxfId="620" priority="1">
      <formula>$B$17=0</formula>
    </cfRule>
  </conditionalFormatting>
  <dataValidations count="11">
    <dataValidation type="list" allowBlank="1" showInputMessage="1" showErrorMessage="1" sqref="H18:I18" xr:uid="{7FDE646A-9D01-4B9E-848C-F143F9C33709}">
      <formula1>INDIRECT(CONCATENATE("_",AV7,"_",H15))</formula1>
    </dataValidation>
    <dataValidation type="list" allowBlank="1" showInputMessage="1" showErrorMessage="1" sqref="J18:Q18" xr:uid="{B01FD0D2-3DB7-4D3C-BAD4-809EC0E2D7C9}">
      <formula1>INDIRECT(CONCATENATE("_",AA10,"_",J15))</formula1>
    </dataValidation>
    <dataValidation type="whole" allowBlank="1" showInputMessage="1" showErrorMessage="1" sqref="J11 L11" xr:uid="{8DDF1704-49F5-4E59-BB35-9EA470EDDAC3}">
      <formula1>1</formula1>
      <formula2>(V16/100)-1</formula2>
    </dataValidation>
    <dataValidation type="whole" allowBlank="1" showInputMessage="1" showErrorMessage="1" sqref="H11:I11" xr:uid="{83219508-8C62-4982-B911-8BF8CBF22962}">
      <formula1>1</formula1>
      <formula2>(AR14/100)-1</formula2>
    </dataValidation>
    <dataValidation type="whole" allowBlank="1" showInputMessage="1" showErrorMessage="1" sqref="M11:Q11" xr:uid="{1FA56530-65B3-4FA6-BDBD-CADB646EA685}">
      <formula1>1</formula1>
      <formula2>(AI30/100)-1</formula2>
    </dataValidation>
    <dataValidation type="whole" allowBlank="1" showInputMessage="1" showErrorMessage="1" sqref="K11" xr:uid="{D8CFCF67-40C2-41B4-8CEF-BCF5D45D8EF4}">
      <formula1>1</formula1>
      <formula2>(#REF!/100)-1</formula2>
    </dataValidation>
    <dataValidation type="whole" allowBlank="1" showInputMessage="1" showErrorMessage="1" errorTitle="Minimum 80 mm" sqref="F20:I20 N20:Q20" xr:uid="{ED2F1088-0759-4B48-8F26-5E2C15628FF6}">
      <formula1>80</formula1>
      <formula2>1300</formula2>
    </dataValidation>
    <dataValidation type="list" allowBlank="1" showInputMessage="1" showErrorMessage="1" sqref="H27:Q27" xr:uid="{45741695-B3FC-4BDF-8644-40DC7AAA7AC2}">
      <formula1>_umisteni_zavesu</formula1>
    </dataValidation>
    <dataValidation type="whole" allowBlank="1" showErrorMessage="1" errorTitle="MAX 1300 mm" error="MAXIMUM 1300 mm x 2500 mm" sqref="AI30:AK30" xr:uid="{F643C502-378A-4386-9FF4-2730F1E569A3}">
      <formula1>100</formula1>
      <formula2>IF(AR14&gt;=1250,1250,2550)</formula2>
    </dataValidation>
    <dataValidation type="whole" allowBlank="1" showErrorMessage="1" errorTitle="MAX 2500" error="MAXIMUM 1300 mm x 2500 mm" sqref="AR14:AR18" xr:uid="{87DB139C-6B62-4B7A-9CFA-E866BA0C5565}">
      <formula1>100</formula1>
      <formula2>IF(AI30&gt;=1250,1250,2550)</formula2>
    </dataValidation>
    <dataValidation type="whole" operator="greaterThanOrEqual" allowBlank="1" showInputMessage="1" showErrorMessage="1" sqref="H26:Q26" xr:uid="{EA81447A-12E2-4D00-A832-6219E145A136}">
      <formula1>1</formula1>
    </dataValidation>
  </dataValidations>
  <hyperlinks>
    <hyperlink ref="AP2:AS3" location="Hlavní!A1" display="Hlavní!A1" xr:uid="{0A6A0A23-C7A2-42E8-A67B-F43AD8BE484D}"/>
    <hyperlink ref="F5:H5" location="Ram_2!A1" display="Ram_2!A1" xr:uid="{1B5B7ADE-26E8-4135-B540-40EC6634C403}"/>
    <hyperlink ref="J5:L5" location="Ram_3!A1" display="Ram_3!A1" xr:uid="{8F8FAC1C-B97A-414A-B861-6B25D0B65F9B}"/>
    <hyperlink ref="N5:P5" location="Ram_4!A1" display="Ram_4!A1" xr:uid="{3898CF28-D150-4DE3-936F-39D71382842C}"/>
    <hyperlink ref="R5:T5" location="Ram_5!A1" display="Ram_5!A1" xr:uid="{F7E53B0B-ED8A-4323-AF31-7808A5A59B7D}"/>
    <hyperlink ref="V5:X5" location="Ram_6!A1" display="Ram_6!A1" xr:uid="{7A618145-0711-42E8-8E28-1A488EAEC8E8}"/>
    <hyperlink ref="B5:D5" location="Ram_1!A1" display="Ram_1!A1" xr:uid="{6831F447-5DB0-4473-B919-C4BAEDBDCECE}"/>
    <hyperlink ref="AO31:AR32" location="_souhrn!A1" display="_souhrn!A1" xr:uid="{C589BF43-9D4A-4BBC-AD6B-CD34CF4341A7}"/>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0753" r:id="rId4" name="Check Box 1967">
              <controlPr locked="0" defaultSize="0" autoFill="0" autoLine="0" autoPict="0">
                <anchor moveWithCells="1">
                  <from>
                    <xdr:col>26</xdr:col>
                    <xdr:colOff>685800</xdr:colOff>
                    <xdr:row>0</xdr:row>
                    <xdr:rowOff>0</xdr:rowOff>
                  </from>
                  <to>
                    <xdr:col>27</xdr:col>
                    <xdr:colOff>0</xdr:colOff>
                    <xdr:row>1</xdr:row>
                    <xdr:rowOff>68580</xdr:rowOff>
                  </to>
                </anchor>
              </controlPr>
            </control>
          </mc:Choice>
        </mc:AlternateContent>
        <mc:AlternateContent xmlns:mc="http://schemas.openxmlformats.org/markup-compatibility/2006">
          <mc:Choice Requires="x14">
            <control shapeId="330754" r:id="rId5" name="Option Button 2">
              <controlPr defaultSize="0" autoFill="0" autoLine="0" autoPict="0">
                <anchor moveWithCells="1">
                  <from>
                    <xdr:col>8</xdr:col>
                    <xdr:colOff>91440</xdr:colOff>
                    <xdr:row>20</xdr:row>
                    <xdr:rowOff>45720</xdr:rowOff>
                  </from>
                  <to>
                    <xdr:col>9</xdr:col>
                    <xdr:colOff>22860</xdr:colOff>
                    <xdr:row>21</xdr:row>
                    <xdr:rowOff>30480</xdr:rowOff>
                  </to>
                </anchor>
              </controlPr>
            </control>
          </mc:Choice>
        </mc:AlternateContent>
        <mc:AlternateContent xmlns:mc="http://schemas.openxmlformats.org/markup-compatibility/2006">
          <mc:Choice Requires="x14">
            <control shapeId="330755" r:id="rId6" name="Option Button 3">
              <controlPr defaultSize="0" autoFill="0" autoLine="0" autoPict="0">
                <anchor moveWithCells="1">
                  <from>
                    <xdr:col>11</xdr:col>
                    <xdr:colOff>106680</xdr:colOff>
                    <xdr:row>20</xdr:row>
                    <xdr:rowOff>30480</xdr:rowOff>
                  </from>
                  <to>
                    <xdr:col>12</xdr:col>
                    <xdr:colOff>7620</xdr:colOff>
                    <xdr:row>21</xdr:row>
                    <xdr:rowOff>68580</xdr:rowOff>
                  </to>
                </anchor>
              </controlPr>
            </control>
          </mc:Choice>
        </mc:AlternateContent>
        <mc:AlternateContent xmlns:mc="http://schemas.openxmlformats.org/markup-compatibility/2006">
          <mc:Choice Requires="x14">
            <control shapeId="330756" r:id="rId7" name="Option Button 4">
              <controlPr defaultSize="0" autoFill="0" autoLine="0" autoPict="0">
                <anchor moveWithCells="1">
                  <from>
                    <xdr:col>14</xdr:col>
                    <xdr:colOff>274320</xdr:colOff>
                    <xdr:row>20</xdr:row>
                    <xdr:rowOff>45720</xdr:rowOff>
                  </from>
                  <to>
                    <xdr:col>15</xdr:col>
                    <xdr:colOff>297180</xdr:colOff>
                    <xdr:row>21</xdr:row>
                    <xdr:rowOff>45720</xdr:rowOff>
                  </to>
                </anchor>
              </controlPr>
            </control>
          </mc:Choice>
        </mc:AlternateContent>
        <mc:AlternateContent xmlns:mc="http://schemas.openxmlformats.org/markup-compatibility/2006">
          <mc:Choice Requires="x14">
            <control shapeId="330757" r:id="rId8" name="Check Box 5">
              <controlPr defaultSize="0" autoFill="0" autoLine="0" autoPict="0">
                <anchor moveWithCells="1">
                  <from>
                    <xdr:col>5</xdr:col>
                    <xdr:colOff>68580</xdr:colOff>
                    <xdr:row>6</xdr:row>
                    <xdr:rowOff>0</xdr:rowOff>
                  </from>
                  <to>
                    <xdr:col>5</xdr:col>
                    <xdr:colOff>289560</xdr:colOff>
                    <xdr:row>6</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3" id="{800BB627-E6F3-4146-BC14-C9CF9247FCAA}">
            <xm:f>kombinace_2!$V$1&lt;3</xm:f>
            <x14:dxf>
              <font>
                <color theme="0"/>
              </font>
              <fill>
                <patternFill>
                  <bgColor theme="0"/>
                </patternFill>
              </fill>
              <border>
                <bottom/>
                <vertical/>
                <horizontal/>
              </border>
            </x14:dxf>
          </x14:cfRule>
          <xm:sqref>B24:Q24</xm:sqref>
        </x14:conditionalFormatting>
        <x14:conditionalFormatting xmlns:xm="http://schemas.microsoft.com/office/excel/2006/main">
          <x14:cfRule type="expression" priority="59" id="{F2CF9409-1BD5-41B2-9B4F-9A7BD760F557}">
            <xm:f>'Translate &amp; Prices'!$D$1=4</xm:f>
            <x14:dxf>
              <numFmt numFmtId="173" formatCode="#,##0.00\ [$Ft-40E]"/>
            </x14:dxf>
          </x14:cfRule>
          <x14:cfRule type="expression" priority="60" id="{40BBD9FA-E8BE-4F39-AAD5-AA178679CDCD}">
            <xm:f>'Translate &amp; Prices'!$D$1=3</xm:f>
            <x14:dxf>
              <numFmt numFmtId="172" formatCode="#,##0.00\ [$zł-415]"/>
            </x14:dxf>
          </x14:cfRule>
          <x14:cfRule type="expression" priority="61" id="{5801DB41-87AF-4EF3-969F-A3A48F205935}">
            <xm:f>'Translate &amp; Prices'!$D$1=2</xm:f>
            <x14:dxf>
              <numFmt numFmtId="171" formatCode="#,##0.00\ [$€-1]"/>
            </x14:dxf>
          </x14:cfRule>
          <x14:cfRule type="expression" priority="62" id="{70B5C7B1-4B52-4D91-9928-A9952FEE6BDD}">
            <xm:f>'Translate &amp; Prices'!$D$1=1</xm:f>
            <x14:dxf>
              <numFmt numFmtId="170" formatCode="#,##0.00\ &quot;Kč&quot;"/>
            </x14:dxf>
          </x14:cfRule>
          <xm:sqref>L30</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29EDE295-FB0C-4931-BFEC-976BBA4F5EF2}">
          <x14:formula1>
            <xm:f>IF($H$12=kombinace_1!$DP$2,_znacka_zavesy,_znacka_vyklopy)</xm:f>
          </x14:formula1>
          <xm:sqref>H13:Q13</xm:sqref>
        </x14:dataValidation>
        <x14:dataValidation type="list" allowBlank="1" showInputMessage="1" showErrorMessage="1" xr:uid="{22EC695F-FACD-4392-9D8B-D997A2AEDBEF}">
          <x14:formula1>
            <xm:f>'Translate &amp; Prices'!$B$536:$B$537</xm:f>
          </x14:formula1>
          <xm:sqref>H29:I29</xm:sqref>
        </x14:dataValidation>
        <x14:dataValidation type="list" allowBlank="1" showInputMessage="1" showErrorMessage="1" xr:uid="{0F6F76C7-0277-4E5A-A26B-6B2FBA59BFD6}">
          <x14:formula1>
            <xm:f>kombinace_1!$X$3:$X$5</xm:f>
          </x14:formula1>
          <xm:sqref>H24:Q24</xm:sqref>
        </x14:dataValidation>
        <x14:dataValidation type="list" allowBlank="1" showInputMessage="1" showErrorMessage="1" xr:uid="{F8C2E3C0-98E5-4D82-B550-9C318822B157}">
          <x14:formula1>
            <xm:f>kombinace_1!$BY$13:$BY$16</xm:f>
          </x14:formula1>
          <xm:sqref>H9:Q9</xm:sqref>
        </x14:dataValidation>
        <x14:dataValidation type="list" allowBlank="1" showInputMessage="1" showErrorMessage="1" xr:uid="{DD2201C9-DB89-402B-B4E7-AFED1894AF39}">
          <x14:formula1>
            <xm:f>kombinace_1!$DN$2:$DN$4</xm:f>
          </x14:formula1>
          <xm:sqref>H14:Q14</xm:sqref>
        </x14:dataValidation>
        <x14:dataValidation type="list" allowBlank="1" showInputMessage="1" showErrorMessage="1" xr:uid="{75BEA68A-3985-4771-83ED-E2E94AB37C4D}">
          <x14:formula1>
            <xm:f>IF(AU9=2,INDIRECT(CONCATENATE("_",AV7,"_",H13,"_",AA29)),IF(AU9=3,INDIRECT(VLOOKUP(H13,kombinace_1!$AA:$AB,2,0))))</xm:f>
          </x14:formula1>
          <xm:sqref>H15</xm:sqref>
        </x14:dataValidation>
        <x14:dataValidation type="list" allowBlank="1" showInputMessage="1" showErrorMessage="1" xr:uid="{C16DA67B-B6D0-4078-B509-70E918EBD55D}">
          <x14:formula1>
            <xm:f>IF(#REF!=2,INDIRECT(CONCATENATE("_",AA10,"_",J13,"_",AA20)),IF(#REF!=3,INDIRECT(VLOOKUP(J13,kombinace_1!$AA:$AB,2,0))))</xm:f>
          </x14:formula1>
          <xm:sqref>J15</xm:sqref>
        </x14:dataValidation>
        <x14:dataValidation type="list" allowBlank="1" showInputMessage="1" showErrorMessage="1" xr:uid="{8EF896A1-BF5E-444C-BD76-62696B13F2CB}">
          <x14:formula1>
            <xm:f>IF(AA12=2,INDIRECT(CONCATENATE("_",AB10,"_",K13,"_",AB20)),IF(AA12=3,INDIRECT(VLOOKUP(K13,kombinace_1!$AA:$AB,2,0))))</xm:f>
          </x14:formula1>
          <xm:sqref>K15:Q15</xm:sqref>
        </x14:dataValidation>
        <x14:dataValidation type="list" allowBlank="1" showInputMessage="1" showErrorMessage="1" xr:uid="{6EDBD54D-458D-4177-9730-6A873D2B5CF7}">
          <x14:formula1>
            <xm:f>IF(AV9=2,INDIRECT(CONCATENATE("_",#REF!,"_",I13,"_",#REF!)),IF(AV9=3,INDIRECT(VLOOKUP(I13,kombinace_1!$AA:$AB,2,0))))</xm:f>
          </x14:formula1>
          <xm:sqref>I15</xm:sqref>
        </x14:dataValidation>
        <x14:dataValidation type="list" allowBlank="1" showInputMessage="1" showErrorMessage="1" xr:uid="{D01364D5-F2B3-4724-92E8-DCDD806C068F}">
          <x14:formula1>
            <xm:f>IF(kombinace_2!H1=TRUE,kombinace_1!$BQ$2,kombinace_1!$BQ$2:$BR$2)</xm:f>
          </x14:formula1>
          <xm:sqref>H12:Q12</xm:sqref>
        </x14:dataValidation>
        <x14:dataValidation type="list" allowBlank="1" showInputMessage="1" showErrorMessage="1" xr:uid="{EDC6AF1B-0728-465A-AA77-9BCCCEF947F2}">
          <x14:formula1>
            <xm:f>IF(kombinace_2!H1=TRUE,_kombinovane_profily,_vše_profily)</xm:f>
          </x14:formula1>
          <xm:sqref>H8:Q8</xm:sqref>
        </x14:dataValidation>
        <x14:dataValidation type="list" allowBlank="1" showInputMessage="1" showErrorMessage="1" xr:uid="{746C6176-BB76-4EF2-A416-C59A9CACA80E}">
          <x14:formula1>
            <xm:f>IF(OR(H8=kombinace_1!A15,H8=kombinace_1!A16,H8=kombinace_1!A17,H8=kombinace_1!A22,H8=kombinace_1!A23,,H8=kombinace_1!A24,H8=kombinace_1!A25),_corleone,IF(H8="",_N1,INDIRECT(kombinace_2!S1)))</xm:f>
          </x14:formula1>
          <xm:sqref>H25:Q25</xm:sqref>
        </x14:dataValidation>
        <x14:dataValidation type="list" allowBlank="1" showInputMessage="1" showErrorMessage="1" xr:uid="{A1AF8A9A-A8BB-422A-81E3-01C2E26C032F}">
          <x14:formula1>
            <xm:f>IF(AM19&lt;2100,kombinace_1!BY8:BY12,kombinace_1!BY9:BY12)</xm:f>
          </x14:formula1>
          <xm:sqref>H19:Q19</xm:sqref>
        </x14:dataValidation>
        <x14:dataValidation type="list" allowBlank="1" showInputMessage="1" showErrorMessage="1" xr:uid="{CFD2AE58-75B9-4990-BFA4-916FBD0390BD}">
          <x14:formula1>
            <xm:f>IF(H15=kombinace_1!AB40,'Translate &amp; Prices'!$B$209:$B$211,IF(H15=kombinace_1!AB41,'Translate &amp; Prices'!$B$209:$B$211,'Translate &amp; Prices'!$B$213:$B$217))</xm:f>
          </x14:formula1>
          <xm:sqref>N16:Q16</xm:sqref>
        </x14:dataValidation>
        <x14:dataValidation type="list" allowBlank="1" showInputMessage="1" showErrorMessage="1" xr:uid="{82D8E1EF-A147-4615-B5EB-216269071D9A}">
          <x14:formula1>
            <xm:f>IF(H15=kombinace_1!AB40,_strong_vzpera_horni,IF(H15=kombinace_1!AB41,_strong_klopna,'Translate &amp; Prices'!$B$165:$B$166))</xm:f>
          </x14:formula1>
          <xm:sqref>F16:I16</xm:sqref>
        </x14:dataValidation>
        <x14:dataValidation type="list" allowBlank="1" showInputMessage="1" showErrorMessage="1" xr:uid="{CC34FDFD-D8ED-4036-9B80-0943C717CE59}">
          <x14:formula1>
            <xm:f>IF(OR(H8=kombinace_1!F14,H8=kombinace_1!F15,H8=kombinace_1!F16,H8=kombinace_1!F17,H8=kombinace_1!F18,H8=kombinace_1!F19),_zavesy_kombo,IF(H15=kombinace_1!AB8,_ramena_HL,_umisteni_zavesu))</xm:f>
          </x14:formula1>
          <xm:sqref>H17:Q17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9735C8-4301-4353-9244-C44BDE6B7ECE}">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64fddb11-1e6d-45a8-860c-ea134d1632ab"/>
    <ds:schemaRef ds:uri="http://schemas.microsoft.com/office/2006/documentManagement/types"/>
    <ds:schemaRef ds:uri="2c8825e3-4848-4b63-9b10-965fc9c256c4"/>
    <ds:schemaRef ds:uri="http://www.w3.org/XML/1998/namespace"/>
    <ds:schemaRef ds:uri="http://purl.org/dc/dcmitype/"/>
  </ds:schemaRefs>
</ds:datastoreItem>
</file>

<file path=customXml/itemProps3.xml><?xml version="1.0" encoding="utf-8"?>
<ds:datastoreItem xmlns:ds="http://schemas.openxmlformats.org/officeDocument/2006/customXml" ds:itemID="{F63DC5C0-9A8E-44A5-8971-A70FA6400C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464</vt:i4>
      </vt:variant>
    </vt:vector>
  </HeadingPairs>
  <TitlesOfParts>
    <vt:vector size="494" baseType="lpstr">
      <vt:lpstr>Hlavní</vt:lpstr>
      <vt:lpstr>Zakaznik</vt:lpstr>
      <vt:lpstr>Sklo</vt:lpstr>
      <vt:lpstr>rozpad závěsů bez prázdn. řádků</vt:lpstr>
      <vt:lpstr>Translate &amp; Prices</vt:lpstr>
      <vt:lpstr>Ram_1</vt:lpstr>
      <vt:lpstr>kombinace_1</vt:lpstr>
      <vt:lpstr>závěsy dle výklopu</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_souhrn</vt:lpstr>
      <vt:lpstr>Barevnice</vt:lpstr>
      <vt:lpstr>Typy profilů</vt:lpstr>
      <vt:lpstr>_souhrn (2)</vt:lpstr>
      <vt:lpstr>Posuvné rámečky</vt:lpstr>
      <vt:lpstr>POMOC SEZNAM PANTU</vt:lpstr>
      <vt:lpstr>Běžné rámečky</vt:lpstr>
      <vt:lpstr>Ceny</vt:lpstr>
      <vt:lpstr>Ceny_n</vt:lpstr>
      <vt:lpstr>kombinace_2!_A1</vt:lpstr>
      <vt:lpstr>kombinace_3!_A1</vt:lpstr>
      <vt:lpstr>kombinace_4!_A1</vt:lpstr>
      <vt:lpstr>kombinace_5!_A1</vt:lpstr>
      <vt:lpstr>kombinace_6!_A1</vt:lpstr>
      <vt:lpstr>kombinace_posuv!_A1</vt:lpstr>
      <vt:lpstr>_A1</vt:lpstr>
      <vt:lpstr>kombinace_2!_A2</vt:lpstr>
      <vt:lpstr>kombinace_3!_A2</vt:lpstr>
      <vt:lpstr>kombinace_4!_A2</vt:lpstr>
      <vt:lpstr>kombinace_5!_A2</vt:lpstr>
      <vt:lpstr>kombinace_6!_A2</vt:lpstr>
      <vt:lpstr>kombinace_posuv!_A2</vt:lpstr>
      <vt:lpstr>_A2</vt:lpstr>
      <vt:lpstr>kombinace_2!_A3</vt:lpstr>
      <vt:lpstr>kombinace_3!_A3</vt:lpstr>
      <vt:lpstr>kombinace_4!_A3</vt:lpstr>
      <vt:lpstr>kombinace_5!_A3</vt:lpstr>
      <vt:lpstr>kombinace_6!_A3</vt:lpstr>
      <vt:lpstr>kombinace_posuv!_A3</vt:lpstr>
      <vt:lpstr>_A3</vt:lpstr>
      <vt:lpstr>_corleone</vt:lpstr>
      <vt:lpstr>kombinace_posuv!_kombinovane_profily</vt:lpstr>
      <vt:lpstr>_kombinovane_profily</vt:lpstr>
      <vt:lpstr>kombinace_2!_N1</vt:lpstr>
      <vt:lpstr>kombinace_3!_N1</vt:lpstr>
      <vt:lpstr>kombinace_4!_N1</vt:lpstr>
      <vt:lpstr>kombinace_5!_N1</vt:lpstr>
      <vt:lpstr>kombinace_6!_N1</vt:lpstr>
      <vt:lpstr>kombinace_posuv!_N1</vt:lpstr>
      <vt:lpstr>_N1</vt:lpstr>
      <vt:lpstr>kombinace_2!_N2</vt:lpstr>
      <vt:lpstr>kombinace_3!_N2</vt:lpstr>
      <vt:lpstr>kombinace_4!_N2</vt:lpstr>
      <vt:lpstr>kombinace_5!_N2</vt:lpstr>
      <vt:lpstr>kombinace_6!_N2</vt:lpstr>
      <vt:lpstr>kombinace_posuv!_N2</vt:lpstr>
      <vt:lpstr>_N2</vt:lpstr>
      <vt:lpstr>kombinace_2!_N3</vt:lpstr>
      <vt:lpstr>kombinace_3!_N3</vt:lpstr>
      <vt:lpstr>kombinace_4!_N3</vt:lpstr>
      <vt:lpstr>kombinace_5!_N3</vt:lpstr>
      <vt:lpstr>kombinace_6!_N3</vt:lpstr>
      <vt:lpstr>kombinace_posuv!_N3</vt:lpstr>
      <vt:lpstr>_N3</vt:lpstr>
      <vt:lpstr>kombinace_2!_pocet_sprzosy</vt:lpstr>
      <vt:lpstr>kombinace_3!_pocet_sprzosy</vt:lpstr>
      <vt:lpstr>kombinace_4!_pocet_sprzosy</vt:lpstr>
      <vt:lpstr>kombinace_5!_pocet_sprzosy</vt:lpstr>
      <vt:lpstr>kombinace_6!_pocet_sprzosy</vt:lpstr>
      <vt:lpstr>kombinace_posuv!_pocet_sprzosy</vt:lpstr>
      <vt:lpstr>_pocet_sprzosy</vt:lpstr>
      <vt:lpstr>_ramena_HL</vt:lpstr>
      <vt:lpstr>_strong_klopna</vt:lpstr>
      <vt:lpstr>_strong_vzpera_horni</vt:lpstr>
      <vt:lpstr>kombinace_2!_široký_Automatická_vzpěra</vt:lpstr>
      <vt:lpstr>kombinace_3!_široký_Automatická_vzpěra</vt:lpstr>
      <vt:lpstr>kombinace_4!_široký_Automatická_vzpěra</vt:lpstr>
      <vt:lpstr>kombinace_5!_široký_Automatická_vzpěra</vt:lpstr>
      <vt:lpstr>kombinace_6!_široký_Automatická_vzpěra</vt:lpstr>
      <vt:lpstr>kombinace_posuv!_široký_Automatická_vzpěra</vt:lpstr>
      <vt:lpstr>kombinace_2!_široký_Aventos_HF</vt:lpstr>
      <vt:lpstr>kombinace_3!_široký_Aventos_HF</vt:lpstr>
      <vt:lpstr>kombinace_4!_široký_Aventos_HF</vt:lpstr>
      <vt:lpstr>kombinace_5!_široký_Aventos_HF</vt:lpstr>
      <vt:lpstr>kombinace_6!_široký_Aventos_HF</vt:lpstr>
      <vt:lpstr>kombinace_posuv!_široký_Aventos_HF</vt:lpstr>
      <vt:lpstr>_široký_Aventos_HF</vt:lpstr>
      <vt:lpstr>kombinace_2!_široký_Aventos_HK_XS</vt:lpstr>
      <vt:lpstr>kombinace_3!_široký_Aventos_HK_XS</vt:lpstr>
      <vt:lpstr>kombinace_4!_široký_Aventos_HK_XS</vt:lpstr>
      <vt:lpstr>kombinace_5!_široký_Aventos_HK_XS</vt:lpstr>
      <vt:lpstr>kombinace_6!_široký_Aventos_HK_XS</vt:lpstr>
      <vt:lpstr>kombinace_posuv!_široký_Aventos_HK_XS</vt:lpstr>
      <vt:lpstr>_široký_Aventos_HK_XS</vt:lpstr>
      <vt:lpstr>_široký_BLUM_naložený</vt:lpstr>
      <vt:lpstr>_široký_BLUM_polonaložený</vt:lpstr>
      <vt:lpstr>_široký_BLUM_vložený</vt:lpstr>
      <vt:lpstr>kombinace_2!_široký_Duo</vt:lpstr>
      <vt:lpstr>kombinace_3!_široký_Duo</vt:lpstr>
      <vt:lpstr>kombinace_4!_široký_Duo</vt:lpstr>
      <vt:lpstr>kombinace_5!_široký_Duo</vt:lpstr>
      <vt:lpstr>kombinace_6!_široký_Duo</vt:lpstr>
      <vt:lpstr>kombinace_posuv!_široký_Duo</vt:lpstr>
      <vt:lpstr>_široký_Duo</vt:lpstr>
      <vt:lpstr>kombinace_2!_široký_Duo_Forte</vt:lpstr>
      <vt:lpstr>kombinace_3!_široký_Duo_Forte</vt:lpstr>
      <vt:lpstr>kombinace_4!_široký_Duo_Forte</vt:lpstr>
      <vt:lpstr>kombinace_5!_široký_Duo_Forte</vt:lpstr>
      <vt:lpstr>kombinace_6!_široký_Duo_Forte</vt:lpstr>
      <vt:lpstr>kombinace_posuv!_široký_Duo_Forte</vt:lpstr>
      <vt:lpstr>_široký_Duo_Forte</vt:lpstr>
      <vt:lpstr>kombinace_2!_široký_FREEfold</vt:lpstr>
      <vt:lpstr>kombinace_3!_široký_FREEfold</vt:lpstr>
      <vt:lpstr>kombinace_4!_široký_FREEfold</vt:lpstr>
      <vt:lpstr>kombinace_5!_široký_FREEfold</vt:lpstr>
      <vt:lpstr>kombinace_6!_široký_FREEfold</vt:lpstr>
      <vt:lpstr>kombinace_posuv!_široký_FREEfold</vt:lpstr>
      <vt:lpstr>_široký_FREEfold</vt:lpstr>
      <vt:lpstr>kombinace_2!_široký_FREElight</vt:lpstr>
      <vt:lpstr>kombinace_3!_široký_FREElight</vt:lpstr>
      <vt:lpstr>kombinace_4!_široký_FREElight</vt:lpstr>
      <vt:lpstr>kombinace_5!_široký_FREElight</vt:lpstr>
      <vt:lpstr>kombinace_6!_široký_FREElight</vt:lpstr>
      <vt:lpstr>kombinace_posuv!_široký_FREElight</vt:lpstr>
      <vt:lpstr>_široký_FREElight</vt:lpstr>
      <vt:lpstr>_široký_HETTICH_naložený</vt:lpstr>
      <vt:lpstr>_široký_HETTICH_polonaložený</vt:lpstr>
      <vt:lpstr>_široký_HETTICH_vložený</vt:lpstr>
      <vt:lpstr>kombinace_2!_široký_K12</vt:lpstr>
      <vt:lpstr>kombinace_3!_široký_K12</vt:lpstr>
      <vt:lpstr>kombinace_4!_široký_K12</vt:lpstr>
      <vt:lpstr>kombinace_5!_široký_K12</vt:lpstr>
      <vt:lpstr>kombinace_6!_široký_K12</vt:lpstr>
      <vt:lpstr>kombinace_posuv!_široký_K12</vt:lpstr>
      <vt:lpstr>_široký_K12</vt:lpstr>
      <vt:lpstr>kombinace_2!_široký_Kiaro</vt:lpstr>
      <vt:lpstr>kombinace_3!_široký_Kiaro</vt:lpstr>
      <vt:lpstr>kombinace_4!_široký_Kiaro</vt:lpstr>
      <vt:lpstr>kombinace_5!_široký_Kiaro</vt:lpstr>
      <vt:lpstr>kombinace_6!_široký_Kiaro</vt:lpstr>
      <vt:lpstr>kombinace_posuv!_široký_Kiaro</vt:lpstr>
      <vt:lpstr>_široký_Kiaro</vt:lpstr>
      <vt:lpstr>kombinace_2!_široký_Kraby</vt:lpstr>
      <vt:lpstr>kombinace_3!_široký_Kraby</vt:lpstr>
      <vt:lpstr>kombinace_4!_široký_Kraby</vt:lpstr>
      <vt:lpstr>kombinace_5!_široký_Kraby</vt:lpstr>
      <vt:lpstr>kombinace_6!_široký_Kraby</vt:lpstr>
      <vt:lpstr>kombinace_posuv!_široký_Kraby</vt:lpstr>
      <vt:lpstr>_široký_Kraby</vt:lpstr>
      <vt:lpstr>kombinace_2!_široký_LiftMini</vt:lpstr>
      <vt:lpstr>kombinace_3!_široký_LiftMini</vt:lpstr>
      <vt:lpstr>kombinace_4!_široký_LiftMini</vt:lpstr>
      <vt:lpstr>kombinace_5!_široký_LiftMini</vt:lpstr>
      <vt:lpstr>kombinace_6!_široký_LiftMini</vt:lpstr>
      <vt:lpstr>kombinace_posuv!_široký_LiftMini</vt:lpstr>
      <vt:lpstr>_široký_LiftMini</vt:lpstr>
      <vt:lpstr>kombinace_2!_široký_Link</vt:lpstr>
      <vt:lpstr>kombinace_3!_široký_Link</vt:lpstr>
      <vt:lpstr>kombinace_4!_široký_Link</vt:lpstr>
      <vt:lpstr>kombinace_5!_široký_Link</vt:lpstr>
      <vt:lpstr>kombinace_6!_široký_Link</vt:lpstr>
      <vt:lpstr>kombinace_posuv!_široký_Link</vt:lpstr>
      <vt:lpstr>_široký_Link</vt:lpstr>
      <vt:lpstr>kombinace_2!_široký_Maxi</vt:lpstr>
      <vt:lpstr>kombinace_3!_široký_Maxi</vt:lpstr>
      <vt:lpstr>kombinace_4!_široký_Maxi</vt:lpstr>
      <vt:lpstr>kombinace_5!_široký_Maxi</vt:lpstr>
      <vt:lpstr>kombinace_6!_široký_Maxi</vt:lpstr>
      <vt:lpstr>kombinace_posuv!_široký_Maxi</vt:lpstr>
      <vt:lpstr>_široký_Maxi</vt:lpstr>
      <vt:lpstr>kombinace_2!_široký_Polohovací_vzpěra</vt:lpstr>
      <vt:lpstr>kombinace_3!_široký_Polohovací_vzpěra</vt:lpstr>
      <vt:lpstr>kombinace_4!_široký_Polohovací_vzpěra</vt:lpstr>
      <vt:lpstr>kombinace_5!_široký_Polohovací_vzpěra</vt:lpstr>
      <vt:lpstr>kombinace_6!_široký_Polohovací_vzpěra</vt:lpstr>
      <vt:lpstr>kombinace_posuv!_široký_Polohovací_vzpěra</vt:lpstr>
      <vt:lpstr>kombinace_2!_široký_Spodní_K12</vt:lpstr>
      <vt:lpstr>kombinace_3!_široký_Spodní_K12</vt:lpstr>
      <vt:lpstr>kombinace_4!_široký_Spodní_K12</vt:lpstr>
      <vt:lpstr>kombinace_5!_široký_Spodní_K12</vt:lpstr>
      <vt:lpstr>kombinace_6!_široký_Spodní_K12</vt:lpstr>
      <vt:lpstr>kombinace_posuv!_široký_Spodní_K12</vt:lpstr>
      <vt:lpstr>_široký_Spodní_K12</vt:lpstr>
      <vt:lpstr>kombinace_2!_široký_Spodní_Kraby</vt:lpstr>
      <vt:lpstr>kombinace_3!_široký_Spodní_Kraby</vt:lpstr>
      <vt:lpstr>kombinace_4!_široký_Spodní_Kraby</vt:lpstr>
      <vt:lpstr>kombinace_5!_široký_Spodní_Kraby</vt:lpstr>
      <vt:lpstr>kombinace_6!_široký_Spodní_Kraby</vt:lpstr>
      <vt:lpstr>kombinace_posuv!_široký_Spodní_Kraby</vt:lpstr>
      <vt:lpstr>_široký_Spodní_Kraby</vt:lpstr>
      <vt:lpstr>_široký_Strong_horní</vt:lpstr>
      <vt:lpstr>_široký_STRONG_naložený</vt:lpstr>
      <vt:lpstr>_široký_STRONG_PLUS_naložený</vt:lpstr>
      <vt:lpstr>_široký_STRONG_PLUS_polonaložený</vt:lpstr>
      <vt:lpstr>_široký_STRONG_PLUS_vložený</vt:lpstr>
      <vt:lpstr>_široký_STRONG_polonaložený</vt:lpstr>
      <vt:lpstr>_široký_Strong_spodní</vt:lpstr>
      <vt:lpstr>_široký_STRONG_vložený</vt:lpstr>
      <vt:lpstr>kombinace_posuv!_umisteni_zavesu</vt:lpstr>
      <vt:lpstr>_umisteni_zavesu</vt:lpstr>
      <vt:lpstr>kombinace_posuv!_umisteni_zavesu_vyklop</vt:lpstr>
      <vt:lpstr>_umisteni_zavesu_vyklop</vt:lpstr>
      <vt:lpstr>kombinace_2!_Úzký_Automatická_vzpěra</vt:lpstr>
      <vt:lpstr>kombinace_3!_Úzký_Automatická_vzpěra</vt:lpstr>
      <vt:lpstr>kombinace_4!_Úzký_Automatická_vzpěra</vt:lpstr>
      <vt:lpstr>kombinace_5!_Úzký_Automatická_vzpěra</vt:lpstr>
      <vt:lpstr>kombinace_6!_Úzký_Automatická_vzpěra</vt:lpstr>
      <vt:lpstr>kombinace_posuv!_Úzký_Automatická_vzpěra</vt:lpstr>
      <vt:lpstr>kombinace_2!_Úzký_Aventos_HF</vt:lpstr>
      <vt:lpstr>kombinace_3!_Úzký_Aventos_HF</vt:lpstr>
      <vt:lpstr>kombinace_4!_Úzký_Aventos_HF</vt:lpstr>
      <vt:lpstr>kombinace_5!_Úzký_Aventos_HF</vt:lpstr>
      <vt:lpstr>kombinace_6!_Úzký_Aventos_HF</vt:lpstr>
      <vt:lpstr>kombinace_posuv!_Úzký_Aventos_HF</vt:lpstr>
      <vt:lpstr>_Úzký_Aventos_HF</vt:lpstr>
      <vt:lpstr>kombinace_2!_Úzký_Aventos_HK_XS</vt:lpstr>
      <vt:lpstr>kombinace_3!_Úzký_Aventos_HK_XS</vt:lpstr>
      <vt:lpstr>kombinace_4!_Úzký_Aventos_HK_XS</vt:lpstr>
      <vt:lpstr>kombinace_5!_Úzký_Aventos_HK_XS</vt:lpstr>
      <vt:lpstr>kombinace_6!_Úzký_Aventos_HK_XS</vt:lpstr>
      <vt:lpstr>kombinace_posuv!_Úzký_Aventos_HK_XS</vt:lpstr>
      <vt:lpstr>_Úzký_Aventos_HK_XS</vt:lpstr>
      <vt:lpstr>_úzký_BLUM_naložený</vt:lpstr>
      <vt:lpstr>_úzký_BLUM_polonaložený</vt:lpstr>
      <vt:lpstr>_úzký_BLUM_vložený</vt:lpstr>
      <vt:lpstr>kombinace_2!_Úzký_Duo</vt:lpstr>
      <vt:lpstr>kombinace_3!_Úzký_Duo</vt:lpstr>
      <vt:lpstr>kombinace_4!_Úzký_Duo</vt:lpstr>
      <vt:lpstr>kombinace_5!_Úzký_Duo</vt:lpstr>
      <vt:lpstr>kombinace_6!_Úzký_Duo</vt:lpstr>
      <vt:lpstr>kombinace_posuv!_Úzký_Duo</vt:lpstr>
      <vt:lpstr>_Úzký_Duo</vt:lpstr>
      <vt:lpstr>kombinace_2!_Úzký_Duo_Forte</vt:lpstr>
      <vt:lpstr>kombinace_3!_Úzký_Duo_Forte</vt:lpstr>
      <vt:lpstr>kombinace_4!_Úzký_Duo_Forte</vt:lpstr>
      <vt:lpstr>kombinace_5!_Úzký_Duo_Forte</vt:lpstr>
      <vt:lpstr>kombinace_6!_Úzký_Duo_Forte</vt:lpstr>
      <vt:lpstr>kombinace_posuv!_Úzký_Duo_Forte</vt:lpstr>
      <vt:lpstr>_Úzký_Duo_Forte</vt:lpstr>
      <vt:lpstr>kombinace_2!_Úzký_FREEfold</vt:lpstr>
      <vt:lpstr>kombinace_3!_Úzký_FREEfold</vt:lpstr>
      <vt:lpstr>kombinace_4!_Úzký_FREEfold</vt:lpstr>
      <vt:lpstr>kombinace_5!_Úzký_FREEfold</vt:lpstr>
      <vt:lpstr>kombinace_6!_Úzký_FREEfold</vt:lpstr>
      <vt:lpstr>kombinace_posuv!_Úzký_FREEfold</vt:lpstr>
      <vt:lpstr>_Úzký_FREEfold</vt:lpstr>
      <vt:lpstr>kombinace_2!_Úzký_FREElight</vt:lpstr>
      <vt:lpstr>kombinace_3!_Úzký_FREElight</vt:lpstr>
      <vt:lpstr>kombinace_4!_Úzký_FREElight</vt:lpstr>
      <vt:lpstr>kombinace_5!_Úzký_FREElight</vt:lpstr>
      <vt:lpstr>kombinace_6!_Úzký_FREElight</vt:lpstr>
      <vt:lpstr>kombinace_posuv!_Úzký_FREElight</vt:lpstr>
      <vt:lpstr>_Úzký_FREElight</vt:lpstr>
      <vt:lpstr>_úzký_HETTICH_naložený</vt:lpstr>
      <vt:lpstr>_úzký_HETTICH_polonaložený</vt:lpstr>
      <vt:lpstr>_úzký_HETTICH_vložený</vt:lpstr>
      <vt:lpstr>kombinace_2!_Úzký_K12</vt:lpstr>
      <vt:lpstr>kombinace_3!_Úzký_K12</vt:lpstr>
      <vt:lpstr>kombinace_4!_Úzký_K12</vt:lpstr>
      <vt:lpstr>kombinace_5!_Úzký_K12</vt:lpstr>
      <vt:lpstr>kombinace_6!_Úzký_K12</vt:lpstr>
      <vt:lpstr>kombinace_posuv!_Úzký_K12</vt:lpstr>
      <vt:lpstr>_Úzký_K12</vt:lpstr>
      <vt:lpstr>kombinace_2!_Úzký_Kiaro</vt:lpstr>
      <vt:lpstr>kombinace_3!_Úzký_Kiaro</vt:lpstr>
      <vt:lpstr>kombinace_4!_Úzký_Kiaro</vt:lpstr>
      <vt:lpstr>kombinace_5!_Úzký_Kiaro</vt:lpstr>
      <vt:lpstr>kombinace_6!_Úzký_Kiaro</vt:lpstr>
      <vt:lpstr>kombinace_posuv!_Úzký_Kiaro</vt:lpstr>
      <vt:lpstr>_Úzký_Kiaro</vt:lpstr>
      <vt:lpstr>kombinace_2!_Úzký_Kraby</vt:lpstr>
      <vt:lpstr>kombinace_3!_Úzký_Kraby</vt:lpstr>
      <vt:lpstr>kombinace_4!_Úzký_Kraby</vt:lpstr>
      <vt:lpstr>kombinace_5!_Úzký_Kraby</vt:lpstr>
      <vt:lpstr>kombinace_6!_Úzký_Kraby</vt:lpstr>
      <vt:lpstr>kombinace_posuv!_Úzký_Kraby</vt:lpstr>
      <vt:lpstr>_Úzký_Kraby</vt:lpstr>
      <vt:lpstr>kombinace_2!_Úzký_LiftMini</vt:lpstr>
      <vt:lpstr>kombinace_3!_Úzký_LiftMini</vt:lpstr>
      <vt:lpstr>kombinace_4!_Úzký_LiftMini</vt:lpstr>
      <vt:lpstr>kombinace_5!_Úzký_LiftMini</vt:lpstr>
      <vt:lpstr>kombinace_6!_Úzký_LiftMini</vt:lpstr>
      <vt:lpstr>kombinace_posuv!_Úzký_LiftMini</vt:lpstr>
      <vt:lpstr>_Úzký_LiftMini</vt:lpstr>
      <vt:lpstr>kombinace_2!_Úzký_Link</vt:lpstr>
      <vt:lpstr>kombinace_3!_Úzký_Link</vt:lpstr>
      <vt:lpstr>kombinace_4!_Úzký_Link</vt:lpstr>
      <vt:lpstr>kombinace_5!_Úzký_Link</vt:lpstr>
      <vt:lpstr>kombinace_6!_Úzký_Link</vt:lpstr>
      <vt:lpstr>kombinace_posuv!_Úzký_Link</vt:lpstr>
      <vt:lpstr>_Úzký_Link</vt:lpstr>
      <vt:lpstr>kombinace_2!_Úzký_Maxi</vt:lpstr>
      <vt:lpstr>kombinace_3!_Úzký_Maxi</vt:lpstr>
      <vt:lpstr>kombinace_4!_Úzký_Maxi</vt:lpstr>
      <vt:lpstr>kombinace_5!_Úzký_Maxi</vt:lpstr>
      <vt:lpstr>kombinace_6!_Úzký_Maxi</vt:lpstr>
      <vt:lpstr>kombinace_posuv!_Úzký_Maxi</vt:lpstr>
      <vt:lpstr>_Úzký_Maxi</vt:lpstr>
      <vt:lpstr>kombinace_2!_Úzký_Polohovací_vzpěra</vt:lpstr>
      <vt:lpstr>kombinace_3!_Úzký_Polohovací_vzpěra</vt:lpstr>
      <vt:lpstr>kombinace_4!_Úzký_Polohovací_vzpěra</vt:lpstr>
      <vt:lpstr>kombinace_5!_Úzký_Polohovací_vzpěra</vt:lpstr>
      <vt:lpstr>kombinace_6!_Úzký_Polohovací_vzpěra</vt:lpstr>
      <vt:lpstr>kombinace_posuv!_Úzký_Polohovací_vzpěra</vt:lpstr>
      <vt:lpstr>kombinace_2!_Úzký_Spodní_K12</vt:lpstr>
      <vt:lpstr>kombinace_3!_Úzký_Spodní_K12</vt:lpstr>
      <vt:lpstr>kombinace_4!_Úzký_Spodní_K12</vt:lpstr>
      <vt:lpstr>kombinace_5!_Úzký_Spodní_K12</vt:lpstr>
      <vt:lpstr>kombinace_6!_Úzký_Spodní_K12</vt:lpstr>
      <vt:lpstr>kombinace_posuv!_Úzký_Spodní_K12</vt:lpstr>
      <vt:lpstr>_Úzký_Spodní_K12</vt:lpstr>
      <vt:lpstr>kombinace_2!_Úzký_Spodní_Kraby</vt:lpstr>
      <vt:lpstr>kombinace_3!_Úzký_Spodní_Kraby</vt:lpstr>
      <vt:lpstr>kombinace_4!_Úzký_Spodní_Kraby</vt:lpstr>
      <vt:lpstr>kombinace_5!_Úzký_Spodní_Kraby</vt:lpstr>
      <vt:lpstr>kombinace_6!_Úzký_Spodní_Kraby</vt:lpstr>
      <vt:lpstr>kombinace_posuv!_Úzký_Spodní_Kraby</vt:lpstr>
      <vt:lpstr>_Úzký_Spodní_Kraby</vt:lpstr>
      <vt:lpstr>_Úzký_Strong_horní</vt:lpstr>
      <vt:lpstr>_úzký_STRONG_naložený</vt:lpstr>
      <vt:lpstr>_úzký_STRONG_PLUS_naložený</vt:lpstr>
      <vt:lpstr>_Úzký_Strong_spodní</vt:lpstr>
      <vt:lpstr>_varna_panty_svisle</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vt:lpstr>
      <vt:lpstr>kombinace_2!_znacka_vyklopy</vt:lpstr>
      <vt:lpstr>kombinace_3!_znacka_vyklopy</vt:lpstr>
      <vt:lpstr>kombinace_4!_znacka_vyklopy</vt:lpstr>
      <vt:lpstr>kombinace_5!_znacka_vyklopy</vt:lpstr>
      <vt:lpstr>kombinace_6!_znacka_vyklopy</vt:lpstr>
      <vt:lpstr>kombinace_posuv!_znacka_vyklopy</vt:lpstr>
      <vt:lpstr>_znacka_vyklopy</vt:lpstr>
      <vt:lpstr>kombinace_2!_znacka_zavesy</vt:lpstr>
      <vt:lpstr>kombinace_3!_znacka_zavesy</vt:lpstr>
      <vt:lpstr>kombinace_4!_znacka_zavesy</vt:lpstr>
      <vt:lpstr>kombinace_5!_znacka_zavesy</vt:lpstr>
      <vt:lpstr>kombinace_6!_znacka_zavesy</vt:lpstr>
      <vt:lpstr>kombinace_posuv!_znacka_zavesy</vt:lpstr>
      <vt:lpstr>_znacka_zavesy</vt:lpstr>
      <vt:lpstr>AV_HF</vt:lpstr>
      <vt:lpstr>AV_HF_SD</vt:lpstr>
      <vt:lpstr>AV_HK</vt:lpstr>
      <vt:lpstr>AV_HK_SD</vt:lpstr>
      <vt:lpstr>AV_HK_TIP</vt:lpstr>
      <vt:lpstr>AV_HKS</vt:lpstr>
      <vt:lpstr>AV_HKS_TIP</vt:lpstr>
      <vt:lpstr>AV_HKXS</vt:lpstr>
      <vt:lpstr>AV_HKXS_TIP</vt:lpstr>
      <vt:lpstr>AV_HL</vt:lpstr>
      <vt:lpstr>AV_HL_SD</vt:lpstr>
      <vt:lpstr>AV_HS</vt:lpstr>
      <vt:lpstr>AV_HS_SD</vt:lpstr>
      <vt:lpstr>AV_OST</vt:lpstr>
      <vt:lpstr>BLUM</vt:lpstr>
      <vt:lpstr>BLUM_WIDE</vt:lpstr>
      <vt:lpstr>DOL_DV</vt:lpstr>
      <vt:lpstr>DOLE</vt:lpstr>
      <vt:lpstr>DTDL_18</vt:lpstr>
      <vt:lpstr>HETTICH</vt:lpstr>
      <vt:lpstr>HM_UCH</vt:lpstr>
      <vt:lpstr>HOR_DV</vt:lpstr>
      <vt:lpstr>Ceny_n!MAX_ROZ_RAM</vt:lpstr>
      <vt:lpstr>MAX_ROZ_RAM</vt:lpstr>
      <vt:lpstr>MDF_16</vt:lpstr>
      <vt:lpstr>MDF_18</vt:lpstr>
      <vt:lpstr>Ceny_n!MIN_POZ_ZAVES</vt:lpstr>
      <vt:lpstr>MIN_POZ_ZAVES</vt:lpstr>
      <vt:lpstr>Ceny_n!MIN_POZ_ZAVES_80</vt:lpstr>
      <vt:lpstr>MIN_POZ_ZAVES_80</vt:lpstr>
      <vt:lpstr>Ceny_n!MIN_ROZ_RAM</vt:lpstr>
      <vt:lpstr>MIN_ROZ_RAM</vt:lpstr>
      <vt:lpstr>NAHORE</vt:lpstr>
      <vt:lpstr>OBE_STRANY</vt:lpstr>
      <vt:lpstr>_souhrn!Oblast_tisku</vt:lpstr>
      <vt:lpstr>'_souhrn (2)'!Oblast_tisku</vt:lpstr>
      <vt:lpstr>Ram_1!Oblast_tisku</vt:lpstr>
      <vt:lpstr>Ram_2!Oblast_tisku</vt:lpstr>
      <vt:lpstr>Ram_3!Oblast_tisku</vt:lpstr>
      <vt:lpstr>Ram_4!Oblast_tisku</vt:lpstr>
      <vt:lpstr>Ram_5!Oblast_tisku</vt:lpstr>
      <vt:lpstr>Ram_6!Oblast_tisku</vt:lpstr>
      <vt:lpstr>PANTY_TAB1</vt:lpstr>
      <vt:lpstr>POC_ZAVES</vt:lpstr>
      <vt:lpstr>POZ_RAM</vt:lpstr>
      <vt:lpstr>POZICE_RAMENE</vt:lpstr>
      <vt:lpstr>PRAZDNE_1</vt:lpstr>
      <vt:lpstr>PROV_2_CILKA</vt:lpstr>
      <vt:lpstr>SIR_RAM</vt:lpstr>
      <vt:lpstr>STRONG_BINT_TL</vt:lpstr>
      <vt:lpstr>STRONG_INT_TL</vt:lpstr>
      <vt:lpstr>STRONG_Plus</vt:lpstr>
      <vt:lpstr>T1_PANT_BLUM</vt:lpstr>
      <vt:lpstr>T1_PANT_HETTICH</vt:lpstr>
      <vt:lpstr>T1_PANT_STRONG_BTL</vt:lpstr>
      <vt:lpstr>T1_PANT_STRONG_PLUS</vt:lpstr>
      <vt:lpstr>T1_PANT_STRONG_STL</vt:lpstr>
      <vt:lpstr>T2_PANT_BLUM</vt:lpstr>
      <vt:lpstr>T2_PANT_HETTICH</vt:lpstr>
      <vt:lpstr>T2_PANT_STRONG_BTL</vt:lpstr>
      <vt:lpstr>T2_PANT_STRONG_STL</vt:lpstr>
      <vt:lpstr>T3_PANT_BLUM</vt:lpstr>
      <vt:lpstr>T3_PANT_HETTICH</vt:lpstr>
      <vt:lpstr>T3_PANT_STRONG_BTL</vt:lpstr>
      <vt:lpstr>T3_PANT_STRONG_STL</vt:lpstr>
      <vt:lpstr>T4_PANT_BLUM</vt:lpstr>
      <vt:lpstr>T4_PANT_HETTICH</vt:lpstr>
      <vt:lpstr>T4_PANT_STRONG_BTL</vt:lpstr>
      <vt:lpstr>T4_PANT_STRONG_STL</vt:lpstr>
      <vt:lpstr>T5_PANT_BLUM</vt:lpstr>
      <vt:lpstr>T5_PANT_HETTICH</vt:lpstr>
      <vt:lpstr>T5_PANT_STRONG_BTL</vt:lpstr>
      <vt:lpstr>T5_PANT_STRONG_STL</vt:lpstr>
      <vt:lpstr>T6_PANT_BLUM</vt:lpstr>
      <vt:lpstr>T6_PANT_HETTICH</vt:lpstr>
      <vt:lpstr>T6_PANT_STRONG_BTL</vt:lpstr>
      <vt:lpstr>TYP_AV</vt:lpstr>
      <vt:lpstr>TYP_PODL</vt:lpstr>
      <vt:lpstr>TYP_RAM</vt:lpstr>
      <vt:lpstr>TYP_ZAV</vt:lpstr>
      <vt:lpstr>UZKY_RAM</vt:lpstr>
      <vt:lpstr>VLEVO</vt:lpstr>
      <vt:lpstr>VPRAVO</vt:lpstr>
      <vt:lpstr>VYBER_SEZN</vt:lpstr>
      <vt:lpstr>VYR_ZAVES</vt:lpstr>
      <vt:lpstr>VZD_ZAVES</vt:lpstr>
      <vt:lpstr>ZAVESY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Grygar</dc:creator>
  <cp:lastModifiedBy>Neuwirth Ladislav</cp:lastModifiedBy>
  <cp:lastPrinted>2021-01-21T11:04:27Z</cp:lastPrinted>
  <dcterms:created xsi:type="dcterms:W3CDTF">2008-11-20T10:06:03Z</dcterms:created>
  <dcterms:modified xsi:type="dcterms:W3CDTF">2021-01-29T13:40:06Z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